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4.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drawings/drawing1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mc:AlternateContent xmlns:mc="http://schemas.openxmlformats.org/markup-compatibility/2006">
    <mc:Choice Requires="x15">
      <x15ac:absPath xmlns:x15ac="http://schemas.microsoft.com/office/spreadsheetml/2010/11/ac" url="C:\Users\Stelyana Baleva\LightCounting Dropbox\Optical\QMU\2023\Q4 2023 QMU\Deliverables\"/>
    </mc:Choice>
  </mc:AlternateContent>
  <xr:revisionPtr revIDLastSave="0" documentId="13_ncr:1_{D60461A6-1935-46B2-A9CC-3C6DA64B15F4}" xr6:coauthVersionLast="47" xr6:coauthVersionMax="47" xr10:uidLastSave="{00000000-0000-0000-0000-000000000000}"/>
  <bookViews>
    <workbookView xWindow="-108" yWindow="-108" windowWidth="30936" windowHeight="16776" tabRatio="855"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Datacom equip" sheetId="6" r:id="rId12"/>
    <sheet name="Network equip" sheetId="5" r:id="rId13"/>
    <sheet name="OC vendors" sheetId="7" r:id="rId14"/>
    <sheet name="Semiconductor vendors" sheetId="20" r:id="rId15"/>
  </sheet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#REF!</definedName>
    <definedName name="_Fill" localSheetId="14" hidden="1">#REF!</definedName>
    <definedName name="_Fill" hidden="1">#REF!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#REF!</definedName>
    <definedName name="_Key1" localSheetId="14" hidden="1">#REF!</definedName>
    <definedName name="_Key1" hidden="1">#REF!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3" i="30" l="1"/>
  <c r="AD54" i="28" l="1"/>
  <c r="AE34" i="30"/>
  <c r="AD34" i="30"/>
  <c r="D176" i="25" l="1"/>
  <c r="E176" i="25"/>
  <c r="F176" i="25"/>
  <c r="G176" i="25"/>
  <c r="H176" i="25"/>
  <c r="I176" i="25"/>
  <c r="J176" i="25"/>
  <c r="K176" i="25"/>
  <c r="L176" i="25"/>
  <c r="M176" i="25"/>
  <c r="N176" i="25"/>
  <c r="O176" i="25"/>
  <c r="P176" i="25"/>
  <c r="Q176" i="25"/>
  <c r="R176" i="25"/>
  <c r="S176" i="25"/>
  <c r="T176" i="25"/>
  <c r="U176" i="25"/>
  <c r="V176" i="25"/>
  <c r="C176" i="25"/>
  <c r="AE193" i="27"/>
  <c r="AO109" i="25" s="1"/>
  <c r="AF193" i="27"/>
  <c r="AP109" i="25" s="1"/>
  <c r="AH24" i="20"/>
  <c r="AG32" i="20"/>
  <c r="AR189" i="2"/>
  <c r="AS189" i="2"/>
  <c r="AQ189" i="2"/>
  <c r="AR188" i="2"/>
  <c r="AS188" i="2"/>
  <c r="AQ188" i="2"/>
  <c r="AR183" i="2"/>
  <c r="AS183" i="2"/>
  <c r="AQ183" i="2"/>
  <c r="AG26" i="7" l="1"/>
  <c r="AD87" i="30" l="1"/>
  <c r="AJ30" i="4" l="1"/>
  <c r="AH30" i="4"/>
  <c r="AO284" i="25" l="1"/>
  <c r="AP284" i="25"/>
  <c r="AO138" i="25"/>
  <c r="AP138" i="25"/>
  <c r="U284" i="25"/>
  <c r="V284" i="25"/>
  <c r="U285" i="25"/>
  <c r="V285" i="25"/>
  <c r="U286" i="25"/>
  <c r="U287" i="25"/>
  <c r="V287" i="25"/>
  <c r="U290" i="25"/>
  <c r="U208" i="25"/>
  <c r="V208" i="25"/>
  <c r="U210" i="25"/>
  <c r="V210" i="25"/>
  <c r="U211" i="25"/>
  <c r="V211" i="25"/>
  <c r="U212" i="25"/>
  <c r="V212" i="25"/>
  <c r="U173" i="25"/>
  <c r="V173" i="25"/>
  <c r="U174" i="25"/>
  <c r="V174" i="25"/>
  <c r="U175" i="25"/>
  <c r="V175" i="25"/>
  <c r="T138" i="25"/>
  <c r="U138" i="25"/>
  <c r="V138" i="25"/>
  <c r="T139" i="25"/>
  <c r="U139" i="25"/>
  <c r="V139" i="25"/>
  <c r="T140" i="25"/>
  <c r="U140" i="25"/>
  <c r="T141" i="25"/>
  <c r="T142" i="25"/>
  <c r="U142" i="25"/>
  <c r="V177" i="25" l="1"/>
  <c r="U177" i="25"/>
  <c r="T143" i="25"/>
  <c r="BH266" i="2" l="1"/>
  <c r="BH29" i="2"/>
  <c r="AV56" i="2"/>
  <c r="AV57" i="2"/>
  <c r="AV58" i="2"/>
  <c r="AV59" i="2"/>
  <c r="AV60" i="2"/>
  <c r="AV62" i="2"/>
  <c r="AV61" i="2"/>
  <c r="AM132" i="2"/>
  <c r="AM133" i="2"/>
  <c r="AM134" i="2"/>
  <c r="AM136" i="2"/>
  <c r="AM138" i="2"/>
  <c r="AM135" i="2"/>
  <c r="AM137" i="2"/>
  <c r="AS184" i="2" l="1"/>
  <c r="AS186" i="2"/>
  <c r="AS185" i="2"/>
  <c r="AS187" i="2"/>
  <c r="AL158" i="2"/>
  <c r="AL159" i="2"/>
  <c r="AL160" i="2"/>
  <c r="AL161" i="2"/>
  <c r="AL162" i="2"/>
  <c r="AL163" i="2"/>
  <c r="AL164" i="2"/>
  <c r="AJ44" i="3"/>
  <c r="AI44" i="3"/>
  <c r="AH44" i="3"/>
  <c r="AJ43" i="3"/>
  <c r="AI43" i="3"/>
  <c r="AH43" i="3"/>
  <c r="AJ42" i="3"/>
  <c r="AI42" i="3"/>
  <c r="AH42" i="3"/>
  <c r="AJ41" i="3"/>
  <c r="AI41" i="3"/>
  <c r="AH41" i="3"/>
  <c r="AJ40" i="3"/>
  <c r="AI40" i="3"/>
  <c r="AH40" i="3"/>
  <c r="AJ39" i="3"/>
  <c r="AI39" i="3"/>
  <c r="AH39" i="3"/>
  <c r="AJ38" i="3"/>
  <c r="AI38" i="3"/>
  <c r="AH38" i="3"/>
  <c r="AJ37" i="3"/>
  <c r="AI37" i="3"/>
  <c r="AH37" i="3"/>
  <c r="AJ36" i="3"/>
  <c r="AI36" i="3"/>
  <c r="AH36" i="3"/>
  <c r="AJ35" i="3"/>
  <c r="AI35" i="3"/>
  <c r="AH35" i="3"/>
  <c r="AJ34" i="3"/>
  <c r="AI34" i="3"/>
  <c r="AH34" i="3"/>
  <c r="AJ33" i="3"/>
  <c r="AI33" i="3"/>
  <c r="AH33" i="3"/>
  <c r="AJ32" i="3"/>
  <c r="AI32" i="3"/>
  <c r="AI47" i="3" s="1"/>
  <c r="AH32" i="3"/>
  <c r="AJ31" i="3"/>
  <c r="AI31" i="3"/>
  <c r="AH31" i="3"/>
  <c r="AJ30" i="3"/>
  <c r="AI30" i="3"/>
  <c r="AI46" i="3" s="1"/>
  <c r="AH30" i="3"/>
  <c r="AH9" i="3"/>
  <c r="AI9" i="3"/>
  <c r="AJ9" i="3"/>
  <c r="AH10" i="3"/>
  <c r="AI10" i="3"/>
  <c r="AJ10" i="3"/>
  <c r="AH11" i="3"/>
  <c r="AI11" i="3"/>
  <c r="AJ11" i="3"/>
  <c r="AH12" i="3"/>
  <c r="AI12" i="3"/>
  <c r="AJ12" i="3"/>
  <c r="AH13" i="3"/>
  <c r="AI13" i="3"/>
  <c r="AJ13" i="3"/>
  <c r="AH14" i="3"/>
  <c r="AI14" i="3"/>
  <c r="AJ14" i="3"/>
  <c r="AH15" i="3"/>
  <c r="AI15" i="3"/>
  <c r="AJ15" i="3"/>
  <c r="AH16" i="3"/>
  <c r="AI16" i="3"/>
  <c r="AJ16" i="3"/>
  <c r="AH17" i="3"/>
  <c r="AI17" i="3"/>
  <c r="AJ17" i="3"/>
  <c r="AH18" i="3"/>
  <c r="AI18" i="3"/>
  <c r="AJ18" i="3"/>
  <c r="AH19" i="3"/>
  <c r="AI19" i="3"/>
  <c r="AJ19" i="3"/>
  <c r="AH20" i="3"/>
  <c r="AI20" i="3"/>
  <c r="AJ20" i="3"/>
  <c r="AH21" i="3"/>
  <c r="AI21" i="3"/>
  <c r="AJ21" i="3"/>
  <c r="AH22" i="3"/>
  <c r="AI22" i="3"/>
  <c r="AJ22" i="3"/>
  <c r="AJ8" i="3"/>
  <c r="AI8" i="3"/>
  <c r="AH8" i="3"/>
  <c r="AG51" i="3"/>
  <c r="AG59" i="3"/>
  <c r="AG23" i="3"/>
  <c r="AG29" i="3"/>
  <c r="AG45" i="3"/>
  <c r="AJ43" i="4"/>
  <c r="AI43" i="4"/>
  <c r="AH43" i="4"/>
  <c r="AJ42" i="4"/>
  <c r="AI42" i="4"/>
  <c r="AH42" i="4"/>
  <c r="AJ41" i="4"/>
  <c r="AI41" i="4"/>
  <c r="AH41" i="4"/>
  <c r="AJ40" i="4"/>
  <c r="AI40" i="4"/>
  <c r="AH40" i="4"/>
  <c r="AJ39" i="4"/>
  <c r="AI39" i="4"/>
  <c r="AH39" i="4"/>
  <c r="AJ38" i="4"/>
  <c r="AI38" i="4"/>
  <c r="AH38" i="4"/>
  <c r="AJ37" i="4"/>
  <c r="AI37" i="4"/>
  <c r="AH37" i="4"/>
  <c r="AJ36" i="4"/>
  <c r="AI36" i="4"/>
  <c r="AH36" i="4"/>
  <c r="AJ35" i="4"/>
  <c r="AI35" i="4"/>
  <c r="AH35" i="4"/>
  <c r="AJ34" i="4"/>
  <c r="AI34" i="4"/>
  <c r="AH34" i="4"/>
  <c r="AJ33" i="4"/>
  <c r="AI33" i="4"/>
  <c r="AH33" i="4"/>
  <c r="AJ32" i="4"/>
  <c r="AI32" i="4"/>
  <c r="AH32" i="4"/>
  <c r="AJ31" i="4"/>
  <c r="AI31" i="4"/>
  <c r="AH31" i="4"/>
  <c r="AI30" i="4"/>
  <c r="AJ29" i="4"/>
  <c r="AI29" i="4"/>
  <c r="AH29" i="4"/>
  <c r="AH9" i="4"/>
  <c r="AI9" i="4"/>
  <c r="AJ9" i="4"/>
  <c r="AH10" i="4"/>
  <c r="AI10" i="4"/>
  <c r="AJ10" i="4"/>
  <c r="AH11" i="4"/>
  <c r="AI11" i="4"/>
  <c r="AJ11" i="4"/>
  <c r="AH12" i="4"/>
  <c r="AI12" i="4"/>
  <c r="AJ12" i="4"/>
  <c r="AH13" i="4"/>
  <c r="AI13" i="4"/>
  <c r="AJ13" i="4"/>
  <c r="AH14" i="4"/>
  <c r="AI14" i="4"/>
  <c r="AJ14" i="4"/>
  <c r="AH15" i="4"/>
  <c r="AI15" i="4"/>
  <c r="AJ15" i="4"/>
  <c r="AH16" i="4"/>
  <c r="AI16" i="4"/>
  <c r="AJ16" i="4"/>
  <c r="AH17" i="4"/>
  <c r="AI17" i="4"/>
  <c r="AJ17" i="4"/>
  <c r="AH18" i="4"/>
  <c r="AI18" i="4"/>
  <c r="AJ18" i="4"/>
  <c r="AH19" i="4"/>
  <c r="AI19" i="4"/>
  <c r="AJ19" i="4"/>
  <c r="AH20" i="4"/>
  <c r="AI20" i="4"/>
  <c r="AJ20" i="4"/>
  <c r="AH21" i="4"/>
  <c r="AI21" i="4"/>
  <c r="AJ21" i="4"/>
  <c r="AH22" i="4"/>
  <c r="AI22" i="4"/>
  <c r="AJ22" i="4"/>
  <c r="AJ8" i="4"/>
  <c r="AI8" i="4"/>
  <c r="AH8" i="4"/>
  <c r="AG23" i="4"/>
  <c r="AG28" i="4"/>
  <c r="AG44" i="4"/>
  <c r="AH21" i="6"/>
  <c r="AI21" i="6"/>
  <c r="AJ21" i="6"/>
  <c r="AJ20" i="6"/>
  <c r="AI20" i="6"/>
  <c r="AH20" i="6"/>
  <c r="AJ18" i="6"/>
  <c r="AI18" i="6"/>
  <c r="AH18" i="6"/>
  <c r="AJ17" i="6"/>
  <c r="AI17" i="6"/>
  <c r="AH17" i="6"/>
  <c r="AJ16" i="6"/>
  <c r="AI16" i="6"/>
  <c r="AH16" i="6"/>
  <c r="AJ15" i="6"/>
  <c r="AI15" i="6"/>
  <c r="AH15" i="6"/>
  <c r="AJ14" i="6"/>
  <c r="AI14" i="6"/>
  <c r="AH14" i="6"/>
  <c r="AJ13" i="6"/>
  <c r="AI13" i="6"/>
  <c r="AH13" i="6"/>
  <c r="AJ12" i="6"/>
  <c r="AI12" i="6"/>
  <c r="AH12" i="6"/>
  <c r="AH11" i="6"/>
  <c r="AI11" i="6"/>
  <c r="AJ11" i="6"/>
  <c r="AJ10" i="6"/>
  <c r="AI10" i="6"/>
  <c r="AH10" i="6"/>
  <c r="AJ8" i="6"/>
  <c r="AI8" i="6"/>
  <c r="AH8" i="6"/>
  <c r="AG22" i="6"/>
  <c r="AG29" i="6"/>
  <c r="AG35" i="6"/>
  <c r="AH11" i="5"/>
  <c r="AI11" i="5"/>
  <c r="AJ11" i="5"/>
  <c r="AH12" i="5"/>
  <c r="AI12" i="5"/>
  <c r="AJ12" i="5"/>
  <c r="AH13" i="5"/>
  <c r="AI13" i="5"/>
  <c r="AJ13" i="5"/>
  <c r="AH14" i="5"/>
  <c r="AI14" i="5"/>
  <c r="AJ14" i="5"/>
  <c r="AH15" i="5"/>
  <c r="AI15" i="5"/>
  <c r="AJ15" i="5"/>
  <c r="AH16" i="5"/>
  <c r="AI16" i="5"/>
  <c r="AJ16" i="5"/>
  <c r="AH17" i="5"/>
  <c r="AI17" i="5"/>
  <c r="AJ17" i="5"/>
  <c r="AH18" i="5"/>
  <c r="AI18" i="5"/>
  <c r="AJ18" i="5"/>
  <c r="AH19" i="5"/>
  <c r="AI19" i="5"/>
  <c r="AJ19" i="5"/>
  <c r="AJ10" i="5"/>
  <c r="AI10" i="5"/>
  <c r="AH10" i="5"/>
  <c r="AJ8" i="5"/>
  <c r="AI8" i="5"/>
  <c r="AH8" i="5"/>
  <c r="AG20" i="5"/>
  <c r="AV63" i="2" s="1"/>
  <c r="AV64" i="2" s="1"/>
  <c r="AS190" i="2" l="1"/>
  <c r="AS191" i="2" s="1"/>
  <c r="BG43" i="2"/>
  <c r="BG42" i="2"/>
  <c r="AG58" i="3"/>
  <c r="BG46" i="2"/>
  <c r="BG47" i="2"/>
  <c r="AM139" i="2"/>
  <c r="AM140" i="2" s="1"/>
  <c r="BG120" i="2"/>
  <c r="BG119" i="2"/>
  <c r="BG76" i="2"/>
  <c r="AG54" i="3"/>
  <c r="AG37" i="6"/>
  <c r="AG30" i="6"/>
  <c r="BG44" i="2" l="1"/>
  <c r="BG50" i="2"/>
  <c r="BG49" i="2"/>
  <c r="BG121" i="2"/>
  <c r="AG59" i="7"/>
  <c r="AJ25" i="7"/>
  <c r="AI25" i="7"/>
  <c r="AH25" i="7"/>
  <c r="AJ23" i="7"/>
  <c r="AI23" i="7"/>
  <c r="AH23" i="7"/>
  <c r="AJ21" i="7"/>
  <c r="AI21" i="7"/>
  <c r="AH21" i="7"/>
  <c r="AJ20" i="7"/>
  <c r="AI20" i="7"/>
  <c r="AH20" i="7"/>
  <c r="AJ19" i="7"/>
  <c r="AI19" i="7"/>
  <c r="AH19" i="7"/>
  <c r="AJ18" i="7"/>
  <c r="AI18" i="7"/>
  <c r="AH18" i="7"/>
  <c r="AJ17" i="7"/>
  <c r="AI17" i="7"/>
  <c r="AH17" i="7"/>
  <c r="AJ16" i="7"/>
  <c r="AI16" i="7"/>
  <c r="AH16" i="7"/>
  <c r="AJ15" i="7"/>
  <c r="AI15" i="7"/>
  <c r="AH15" i="7"/>
  <c r="AJ14" i="7"/>
  <c r="AI14" i="7"/>
  <c r="AH14" i="7"/>
  <c r="AJ13" i="7"/>
  <c r="AI13" i="7"/>
  <c r="AH13" i="7"/>
  <c r="AJ12" i="7"/>
  <c r="AI12" i="7"/>
  <c r="AH12" i="7"/>
  <c r="AJ11" i="7"/>
  <c r="AI11" i="7"/>
  <c r="AH11" i="7"/>
  <c r="AJ10" i="7"/>
  <c r="AI10" i="7"/>
  <c r="AH10" i="7"/>
  <c r="AJ8" i="7"/>
  <c r="AI8" i="7"/>
  <c r="AH8" i="7"/>
  <c r="AG40" i="7"/>
  <c r="AG59" i="20"/>
  <c r="AG36" i="20"/>
  <c r="AJ24" i="20"/>
  <c r="AI24" i="20"/>
  <c r="AJ16" i="20"/>
  <c r="AI16" i="20"/>
  <c r="AH16" i="20"/>
  <c r="AJ25" i="20"/>
  <c r="AI25" i="20"/>
  <c r="AH25" i="20"/>
  <c r="AJ22" i="20"/>
  <c r="AI22" i="20"/>
  <c r="AH22" i="20"/>
  <c r="AJ21" i="20"/>
  <c r="AI21" i="20"/>
  <c r="AH21" i="20"/>
  <c r="AJ19" i="20"/>
  <c r="AI19" i="20"/>
  <c r="AH19" i="20"/>
  <c r="AJ18" i="20"/>
  <c r="AI18" i="20"/>
  <c r="AH18" i="20"/>
  <c r="AJ12" i="20"/>
  <c r="AI12" i="20"/>
  <c r="AH12" i="20"/>
  <c r="AJ11" i="20"/>
  <c r="AI11" i="20"/>
  <c r="AH11" i="20"/>
  <c r="AJ9" i="20"/>
  <c r="AI9" i="20"/>
  <c r="AH9" i="20"/>
  <c r="AH8" i="20"/>
  <c r="AI8" i="20"/>
  <c r="AJ8" i="20"/>
  <c r="AG33" i="20"/>
  <c r="AG27" i="20"/>
  <c r="AG50" i="7" l="1"/>
  <c r="AG43" i="7"/>
  <c r="BG208" i="2"/>
  <c r="AG50" i="20"/>
  <c r="AG48" i="20"/>
  <c r="AG45" i="20"/>
  <c r="AG47" i="20"/>
  <c r="AG56" i="20"/>
  <c r="AG41" i="20"/>
  <c r="AG54" i="20"/>
  <c r="AG40" i="20"/>
  <c r="AL165" i="2"/>
  <c r="AL166" i="2" s="1"/>
  <c r="AG53" i="20"/>
  <c r="AG38" i="20"/>
  <c r="AG37" i="20"/>
  <c r="AG51" i="20"/>
  <c r="AG38" i="7"/>
  <c r="AG49" i="7"/>
  <c r="AG48" i="7"/>
  <c r="AG47" i="7"/>
  <c r="AG42" i="7"/>
  <c r="AG41" i="7"/>
  <c r="AG46" i="7"/>
  <c r="AG55" i="7"/>
  <c r="AG45" i="7"/>
  <c r="AG53" i="7"/>
  <c r="AG44" i="7"/>
  <c r="AG51" i="7"/>
  <c r="AG56" i="7" l="1"/>
  <c r="AC64" i="26"/>
  <c r="AM176" i="25" s="1"/>
  <c r="AD64" i="26"/>
  <c r="AN176" i="25" s="1"/>
  <c r="AC65" i="26"/>
  <c r="AD65" i="26"/>
  <c r="AE65" i="26"/>
  <c r="AC66" i="26"/>
  <c r="AD66" i="26"/>
  <c r="AC67" i="26"/>
  <c r="AD67" i="26"/>
  <c r="AC68" i="26"/>
  <c r="AD68" i="26"/>
  <c r="AC69" i="26"/>
  <c r="AD69" i="26"/>
  <c r="AE69" i="26"/>
  <c r="AF69" i="26"/>
  <c r="Y64" i="26"/>
  <c r="AI176" i="25" s="1"/>
  <c r="Z64" i="26"/>
  <c r="AJ176" i="25" s="1"/>
  <c r="AA64" i="26"/>
  <c r="AK176" i="25" s="1"/>
  <c r="AB64" i="26"/>
  <c r="AL176" i="25" s="1"/>
  <c r="Y65" i="26"/>
  <c r="Z65" i="26"/>
  <c r="AA65" i="26"/>
  <c r="AB65" i="26"/>
  <c r="Y66" i="26"/>
  <c r="Z66" i="26"/>
  <c r="AA66" i="26"/>
  <c r="AB66" i="26"/>
  <c r="Y67" i="26"/>
  <c r="Z67" i="26"/>
  <c r="AA67" i="26"/>
  <c r="AB67" i="26"/>
  <c r="Y68" i="26"/>
  <c r="Z68" i="26"/>
  <c r="AA68" i="26"/>
  <c r="AB68" i="26"/>
  <c r="Y69" i="26"/>
  <c r="Z69" i="26"/>
  <c r="U64" i="26"/>
  <c r="AE176" i="25" s="1"/>
  <c r="V64" i="26"/>
  <c r="AF176" i="25" s="1"/>
  <c r="W64" i="26"/>
  <c r="AG176" i="25" s="1"/>
  <c r="X64" i="26"/>
  <c r="AH176" i="25" s="1"/>
  <c r="U65" i="26"/>
  <c r="V65" i="26"/>
  <c r="W65" i="26"/>
  <c r="X65" i="26"/>
  <c r="U66" i="26"/>
  <c r="V66" i="26"/>
  <c r="W66" i="26"/>
  <c r="X66" i="26"/>
  <c r="U67" i="26"/>
  <c r="V67" i="26"/>
  <c r="W67" i="26"/>
  <c r="X67" i="26"/>
  <c r="U68" i="26"/>
  <c r="V68" i="26"/>
  <c r="W68" i="26"/>
  <c r="X68" i="26"/>
  <c r="U69" i="26"/>
  <c r="V69" i="26"/>
  <c r="W69" i="26"/>
  <c r="X69" i="26"/>
  <c r="R63" i="26"/>
  <c r="S63" i="26"/>
  <c r="T63" i="26"/>
  <c r="R64" i="26"/>
  <c r="AB176" i="25" s="1"/>
  <c r="S64" i="26"/>
  <c r="AC176" i="25" s="1"/>
  <c r="T64" i="26"/>
  <c r="AD176" i="25" s="1"/>
  <c r="R65" i="26"/>
  <c r="S65" i="26"/>
  <c r="T65" i="26"/>
  <c r="R66" i="26"/>
  <c r="S66" i="26"/>
  <c r="T66" i="26"/>
  <c r="R67" i="26"/>
  <c r="S67" i="26"/>
  <c r="T67" i="26"/>
  <c r="R68" i="26"/>
  <c r="S68" i="26"/>
  <c r="T68" i="26"/>
  <c r="Q64" i="26"/>
  <c r="AA176" i="25" s="1"/>
  <c r="Q65" i="26"/>
  <c r="Q66" i="26"/>
  <c r="Q67" i="26"/>
  <c r="Q68" i="26"/>
  <c r="P64" i="26"/>
  <c r="Z176" i="25" s="1"/>
  <c r="O64" i="26"/>
  <c r="Y176" i="25" s="1"/>
  <c r="N64" i="26"/>
  <c r="X176" i="25" s="1"/>
  <c r="M64" i="26"/>
  <c r="W176" i="25" s="1"/>
  <c r="L64" i="26"/>
  <c r="K64" i="26"/>
  <c r="J64" i="26"/>
  <c r="I64" i="26"/>
  <c r="H64" i="26"/>
  <c r="G64" i="26"/>
  <c r="F64" i="26"/>
  <c r="E64" i="26"/>
  <c r="D64" i="26"/>
  <c r="C64" i="26"/>
  <c r="B64" i="26"/>
  <c r="A64" i="26"/>
  <c r="AF65" i="26"/>
  <c r="D42" i="26"/>
  <c r="C42" i="26"/>
  <c r="B42" i="26"/>
  <c r="A42" i="26"/>
  <c r="AF64" i="26" l="1"/>
  <c r="AP176" i="25" s="1"/>
  <c r="AE64" i="26" l="1"/>
  <c r="AO176" i="25" s="1"/>
  <c r="E65" i="26" l="1"/>
  <c r="F65" i="26"/>
  <c r="G65" i="26"/>
  <c r="H65" i="26"/>
  <c r="I65" i="26"/>
  <c r="J65" i="26"/>
  <c r="K65" i="26"/>
  <c r="L65" i="26"/>
  <c r="M65" i="26"/>
  <c r="N65" i="26"/>
  <c r="O65" i="26"/>
  <c r="P65" i="26"/>
  <c r="A65" i="26"/>
  <c r="B65" i="26"/>
  <c r="C65" i="26"/>
  <c r="D65" i="26"/>
  <c r="AA44" i="4" l="1"/>
  <c r="X21" i="28"/>
  <c r="Z27" i="26" l="1"/>
  <c r="AB27" i="26"/>
  <c r="Y35" i="30"/>
  <c r="AA35" i="30"/>
  <c r="AC35" i="30"/>
  <c r="V290" i="25" l="1"/>
  <c r="AC50" i="29"/>
  <c r="V286" i="25" l="1"/>
  <c r="V142" i="25" l="1"/>
  <c r="V140" i="25"/>
  <c r="AE242" i="25" l="1"/>
  <c r="AN102" i="25"/>
  <c r="AM102" i="25"/>
  <c r="AC194" i="27" l="1"/>
  <c r="AD194" i="27"/>
  <c r="AE26" i="7"/>
  <c r="AF29" i="6"/>
  <c r="AJ29" i="6" s="1"/>
  <c r="B62" i="7"/>
  <c r="B63" i="7"/>
  <c r="B64" i="7"/>
  <c r="B65" i="7"/>
  <c r="B66" i="7"/>
  <c r="B67" i="7"/>
  <c r="B68" i="7"/>
  <c r="B69" i="7"/>
  <c r="B70" i="7"/>
  <c r="B71" i="7"/>
  <c r="B72" i="7"/>
  <c r="B73" i="7"/>
  <c r="B74" i="7"/>
  <c r="B75" i="7"/>
  <c r="B76" i="7"/>
  <c r="B77" i="7"/>
  <c r="B53" i="7"/>
  <c r="B54" i="7"/>
  <c r="B55" i="7"/>
  <c r="B52" i="7"/>
  <c r="B51" i="7"/>
  <c r="B50" i="7"/>
  <c r="B49" i="7"/>
  <c r="B48" i="7"/>
  <c r="B47" i="7"/>
  <c r="B45" i="7"/>
  <c r="B44" i="7"/>
  <c r="B43" i="7"/>
  <c r="B42" i="7"/>
  <c r="AR184" i="2"/>
  <c r="AR187" i="2"/>
  <c r="AR185" i="2"/>
  <c r="AR186" i="2"/>
  <c r="AK159" i="2"/>
  <c r="AK158" i="2"/>
  <c r="AK161" i="2"/>
  <c r="AK160" i="2"/>
  <c r="AK162" i="2"/>
  <c r="AK163" i="2"/>
  <c r="AK164" i="2"/>
  <c r="AL132" i="2"/>
  <c r="AL133" i="2"/>
  <c r="AL136" i="2"/>
  <c r="AL134" i="2"/>
  <c r="AL138" i="2"/>
  <c r="AL135" i="2"/>
  <c r="AL137" i="2"/>
  <c r="AE45" i="7" l="1"/>
  <c r="AE40" i="7"/>
  <c r="BG266" i="2"/>
  <c r="AU56" i="2" l="1"/>
  <c r="AU59" i="2"/>
  <c r="AU58" i="2"/>
  <c r="AU57" i="2"/>
  <c r="AU60" i="2"/>
  <c r="AU61" i="2"/>
  <c r="AU62" i="2"/>
  <c r="BG29" i="2"/>
  <c r="AF51" i="3"/>
  <c r="AG53" i="3" s="1"/>
  <c r="AF59" i="3"/>
  <c r="AF29" i="3"/>
  <c r="AF45" i="3"/>
  <c r="AG47" i="3" s="1"/>
  <c r="AF23" i="3"/>
  <c r="AF28" i="4"/>
  <c r="AF44" i="4"/>
  <c r="AF23" i="4"/>
  <c r="AJ23" i="4" s="1"/>
  <c r="AF35" i="6"/>
  <c r="AF22" i="6"/>
  <c r="AF20" i="5"/>
  <c r="AF59" i="7"/>
  <c r="AF26" i="7"/>
  <c r="AR190" i="2" s="1"/>
  <c r="AR191" i="2" s="1"/>
  <c r="AF59" i="20"/>
  <c r="AF36" i="20"/>
  <c r="AF33" i="20"/>
  <c r="AF32" i="20"/>
  <c r="AJ32" i="20" s="1"/>
  <c r="AE32" i="20"/>
  <c r="AF27" i="20"/>
  <c r="AJ27" i="20" s="1"/>
  <c r="P32" i="20"/>
  <c r="Q32" i="20"/>
  <c r="R32" i="20"/>
  <c r="S32" i="20"/>
  <c r="T32" i="20"/>
  <c r="U32" i="20"/>
  <c r="V32" i="20"/>
  <c r="W32" i="20"/>
  <c r="X32" i="20"/>
  <c r="Y32" i="20"/>
  <c r="Z32" i="20"/>
  <c r="AA32" i="20"/>
  <c r="AB32" i="20"/>
  <c r="AC32" i="20"/>
  <c r="AD32" i="20"/>
  <c r="O32" i="20"/>
  <c r="AJ33" i="20" l="1"/>
  <c r="AI33" i="20"/>
  <c r="AI32" i="20"/>
  <c r="AH32" i="20"/>
  <c r="AJ20" i="5"/>
  <c r="AG22" i="5"/>
  <c r="BF42" i="2"/>
  <c r="BH42" i="2" s="1"/>
  <c r="AG25" i="3"/>
  <c r="AJ23" i="3"/>
  <c r="AJ45" i="3"/>
  <c r="AF37" i="6"/>
  <c r="AJ22" i="6"/>
  <c r="AG24" i="6"/>
  <c r="BF120" i="2"/>
  <c r="BI120" i="2" s="1"/>
  <c r="AJ44" i="4"/>
  <c r="AF45" i="7"/>
  <c r="AG28" i="7"/>
  <c r="AJ26" i="7"/>
  <c r="AF66" i="26"/>
  <c r="AE66" i="26"/>
  <c r="AF68" i="26"/>
  <c r="AP175" i="25" s="1"/>
  <c r="AE68" i="26"/>
  <c r="AF67" i="26"/>
  <c r="AE67" i="26"/>
  <c r="BF119" i="2"/>
  <c r="AF50" i="7"/>
  <c r="AF48" i="20"/>
  <c r="AK165" i="2"/>
  <c r="AK166" i="2" s="1"/>
  <c r="AF40" i="7"/>
  <c r="BF208" i="2"/>
  <c r="AF58" i="3"/>
  <c r="AF47" i="20"/>
  <c r="AF40" i="20"/>
  <c r="AF54" i="20"/>
  <c r="AF37" i="20"/>
  <c r="AF53" i="20"/>
  <c r="AF51" i="20"/>
  <c r="AF45" i="20"/>
  <c r="AF47" i="7"/>
  <c r="AF56" i="20"/>
  <c r="AF41" i="20"/>
  <c r="AF46" i="7"/>
  <c r="AF55" i="7"/>
  <c r="AF43" i="7"/>
  <c r="BF47" i="2"/>
  <c r="AF50" i="20"/>
  <c r="AF38" i="20"/>
  <c r="AF51" i="7"/>
  <c r="AF41" i="7"/>
  <c r="BF43" i="2"/>
  <c r="BH44" i="2" s="1"/>
  <c r="BF46" i="2"/>
  <c r="AF49" i="7"/>
  <c r="AF38" i="7"/>
  <c r="AF44" i="7"/>
  <c r="AF53" i="7"/>
  <c r="AF42" i="7"/>
  <c r="AF48" i="7"/>
  <c r="BF76" i="2"/>
  <c r="BH76" i="2" s="1"/>
  <c r="AU63" i="2"/>
  <c r="AU64" i="2" s="1"/>
  <c r="AF54" i="3"/>
  <c r="AG56" i="3" s="1"/>
  <c r="AF30" i="6"/>
  <c r="AJ30" i="6" s="1"/>
  <c r="T284" i="25"/>
  <c r="S284" i="25"/>
  <c r="AN284" i="25"/>
  <c r="AM284" i="25"/>
  <c r="T250" i="25"/>
  <c r="S250" i="25"/>
  <c r="T249" i="25"/>
  <c r="S249" i="25"/>
  <c r="T248" i="25"/>
  <c r="S248" i="25"/>
  <c r="T246" i="25"/>
  <c r="S246" i="25"/>
  <c r="T245" i="25"/>
  <c r="S245" i="25"/>
  <c r="AN138" i="25"/>
  <c r="AM138" i="25"/>
  <c r="S142" i="25"/>
  <c r="S138" i="25"/>
  <c r="T109" i="25"/>
  <c r="S109" i="25"/>
  <c r="T107" i="25"/>
  <c r="S107" i="25"/>
  <c r="BF49" i="2" l="1"/>
  <c r="BF121" i="2"/>
  <c r="BI119" i="2"/>
  <c r="BG210" i="2"/>
  <c r="AO175" i="25"/>
  <c r="AO174" i="25"/>
  <c r="AP174" i="25"/>
  <c r="AF56" i="7"/>
  <c r="BF50" i="2"/>
  <c r="BF44" i="2"/>
  <c r="S173" i="25"/>
  <c r="T173" i="25"/>
  <c r="S174" i="25"/>
  <c r="T174" i="25"/>
  <c r="S175" i="25"/>
  <c r="T175" i="25"/>
  <c r="AK26" i="7"/>
  <c r="T211" i="25" l="1"/>
  <c r="S211" i="25"/>
  <c r="AC24" i="29"/>
  <c r="S74" i="25" s="1"/>
  <c r="T212" i="25"/>
  <c r="S212" i="25"/>
  <c r="T210" i="25"/>
  <c r="S210" i="25"/>
  <c r="T209" i="25"/>
  <c r="S209" i="25"/>
  <c r="T208" i="25"/>
  <c r="S208" i="25"/>
  <c r="T207" i="25"/>
  <c r="S207" i="25"/>
  <c r="AA135" i="27"/>
  <c r="AB135" i="27"/>
  <c r="AA71" i="27"/>
  <c r="AB71" i="27"/>
  <c r="Z42" i="28"/>
  <c r="AA42" i="28"/>
  <c r="Z25" i="28"/>
  <c r="AA25" i="28"/>
  <c r="AA48" i="29"/>
  <c r="AB48" i="29"/>
  <c r="AA28" i="29"/>
  <c r="AB28" i="29"/>
  <c r="Z68" i="30"/>
  <c r="AA68" i="30"/>
  <c r="Z38" i="30"/>
  <c r="AA38" i="30"/>
  <c r="Y40" i="31"/>
  <c r="Z40" i="31"/>
  <c r="Y25" i="31"/>
  <c r="Z25" i="31"/>
  <c r="AE73" i="30"/>
  <c r="AD73" i="30"/>
  <c r="AC73" i="30"/>
  <c r="AB73" i="30"/>
  <c r="AE72" i="30"/>
  <c r="AD72" i="30"/>
  <c r="AC72" i="30"/>
  <c r="AB72" i="30"/>
  <c r="AD63" i="29"/>
  <c r="AC63" i="29"/>
  <c r="AD62" i="29"/>
  <c r="AC62" i="29"/>
  <c r="AF61" i="29"/>
  <c r="AE61" i="29"/>
  <c r="AD61" i="29"/>
  <c r="AC61" i="29"/>
  <c r="AF60" i="29"/>
  <c r="AE60" i="29"/>
  <c r="AD60" i="29"/>
  <c r="AC60" i="29"/>
  <c r="AF59" i="29"/>
  <c r="AE59" i="29"/>
  <c r="AD59" i="29"/>
  <c r="AC59" i="29"/>
  <c r="AF58" i="29"/>
  <c r="AE58" i="29"/>
  <c r="AD58" i="29"/>
  <c r="AC58" i="29"/>
  <c r="AF57" i="29"/>
  <c r="AE57" i="29"/>
  <c r="AD57" i="29"/>
  <c r="AC57" i="29"/>
  <c r="AF56" i="29"/>
  <c r="AE56" i="29"/>
  <c r="AD56" i="29"/>
  <c r="AC56" i="29"/>
  <c r="AD55" i="29"/>
  <c r="AC55" i="29"/>
  <c r="AF54" i="29"/>
  <c r="AE54" i="29"/>
  <c r="AD54" i="29"/>
  <c r="AC54" i="29"/>
  <c r="AF53" i="29"/>
  <c r="AE53" i="29"/>
  <c r="AD53" i="29"/>
  <c r="AC53" i="29"/>
  <c r="AE52" i="29"/>
  <c r="AD52" i="29"/>
  <c r="AC52" i="29"/>
  <c r="AF51" i="29"/>
  <c r="AP208" i="25" s="1"/>
  <c r="AE51" i="29"/>
  <c r="AD51" i="29"/>
  <c r="AC51" i="29"/>
  <c r="AD50" i="29"/>
  <c r="AD49" i="29"/>
  <c r="AC49" i="29"/>
  <c r="AE54" i="28"/>
  <c r="AC54" i="28"/>
  <c r="AB54" i="28"/>
  <c r="AN175" i="25"/>
  <c r="AM175" i="25"/>
  <c r="AF63" i="26"/>
  <c r="AE63" i="26"/>
  <c r="AD63" i="26"/>
  <c r="AC63" i="26"/>
  <c r="AF62" i="26"/>
  <c r="AE62" i="26"/>
  <c r="AD62" i="26"/>
  <c r="AC62" i="26"/>
  <c r="AF61" i="26"/>
  <c r="AE61" i="26"/>
  <c r="AD61" i="26"/>
  <c r="AC61" i="26"/>
  <c r="AF60" i="26"/>
  <c r="AE60" i="26"/>
  <c r="AD60" i="26"/>
  <c r="AC60" i="26"/>
  <c r="AF59" i="26"/>
  <c r="AE59" i="26"/>
  <c r="AO173" i="25" s="1"/>
  <c r="AO177" i="25" s="1"/>
  <c r="AD59" i="26"/>
  <c r="AC59" i="26"/>
  <c r="AF58" i="26"/>
  <c r="AE58" i="26"/>
  <c r="AD58" i="26"/>
  <c r="AC58" i="26"/>
  <c r="AF57" i="26"/>
  <c r="AE57" i="26"/>
  <c r="AD57" i="26"/>
  <c r="AC57" i="26"/>
  <c r="W39" i="31"/>
  <c r="W24" i="31"/>
  <c r="W7" i="31"/>
  <c r="X37" i="30"/>
  <c r="X67" i="30"/>
  <c r="X7" i="30"/>
  <c r="Y51" i="26"/>
  <c r="Y29" i="26"/>
  <c r="Y7" i="26"/>
  <c r="Y6" i="27"/>
  <c r="AF70" i="26" l="1"/>
  <c r="AP212" i="25"/>
  <c r="AO212" i="25"/>
  <c r="AC70" i="26"/>
  <c r="AM173" i="25"/>
  <c r="AO211" i="25"/>
  <c r="AP211" i="25"/>
  <c r="AO210" i="25"/>
  <c r="AO208" i="25"/>
  <c r="AP210" i="25"/>
  <c r="AE70" i="26"/>
  <c r="AO72" i="25" s="1"/>
  <c r="BH240" i="2" s="1"/>
  <c r="AP173" i="25"/>
  <c r="AP177" i="25" s="1"/>
  <c r="AN207" i="25"/>
  <c r="AM208" i="25"/>
  <c r="AN212" i="25"/>
  <c r="AM211" i="25"/>
  <c r="AN208" i="25"/>
  <c r="AM207" i="25"/>
  <c r="AN173" i="25"/>
  <c r="AN174" i="25"/>
  <c r="AM174" i="25"/>
  <c r="AM212" i="25"/>
  <c r="AN210" i="25"/>
  <c r="AD64" i="29"/>
  <c r="AN209" i="25"/>
  <c r="AN211" i="25"/>
  <c r="AM210" i="25"/>
  <c r="AC64" i="29"/>
  <c r="AM209" i="25"/>
  <c r="S213" i="25"/>
  <c r="T213" i="25"/>
  <c r="AN74" i="25" l="1"/>
  <c r="BG242" i="2" s="1"/>
  <c r="AM74" i="25"/>
  <c r="BF242" i="2" s="1"/>
  <c r="AN213" i="25"/>
  <c r="AM213" i="25"/>
  <c r="V288" i="25"/>
  <c r="U288" i="25"/>
  <c r="S288" i="25" l="1"/>
  <c r="T288" i="25"/>
  <c r="AD26" i="26" l="1"/>
  <c r="T72" i="25" s="1"/>
  <c r="S251" i="25"/>
  <c r="AB42" i="31"/>
  <c r="AC93" i="30"/>
  <c r="S290" i="25"/>
  <c r="V289" i="25"/>
  <c r="V291" i="25" s="1"/>
  <c r="U289" i="25"/>
  <c r="U291" i="25" s="1"/>
  <c r="S285" i="25"/>
  <c r="S141" i="25"/>
  <c r="V109" i="25"/>
  <c r="U109" i="25"/>
  <c r="V108" i="25"/>
  <c r="U108" i="25"/>
  <c r="V107" i="25"/>
  <c r="U107" i="25"/>
  <c r="AE166" i="27"/>
  <c r="AD166" i="27"/>
  <c r="AC166" i="27"/>
  <c r="AF163" i="27"/>
  <c r="AE163" i="27"/>
  <c r="AD163" i="27"/>
  <c r="AE161" i="27"/>
  <c r="AD161" i="27"/>
  <c r="AC161" i="27"/>
  <c r="AF159" i="27"/>
  <c r="AE159" i="27"/>
  <c r="AD159" i="27"/>
  <c r="V105" i="25"/>
  <c r="U105" i="25"/>
  <c r="V104" i="25"/>
  <c r="U104" i="25"/>
  <c r="AK283" i="25"/>
  <c r="AL283" i="25"/>
  <c r="AK244" i="25"/>
  <c r="AL244" i="25"/>
  <c r="AK206" i="25"/>
  <c r="AL206" i="25"/>
  <c r="AK172" i="25"/>
  <c r="AL172" i="25"/>
  <c r="AK137" i="25"/>
  <c r="AL137" i="25"/>
  <c r="AK102" i="25"/>
  <c r="AL102" i="25"/>
  <c r="AK68" i="25"/>
  <c r="AL68" i="25"/>
  <c r="Q283" i="25"/>
  <c r="R283" i="25"/>
  <c r="Q244" i="25"/>
  <c r="R244" i="25"/>
  <c r="Q206" i="25"/>
  <c r="R206" i="25"/>
  <c r="Q172" i="25"/>
  <c r="R172" i="25"/>
  <c r="Q137" i="25"/>
  <c r="R137" i="25"/>
  <c r="Q102" i="25"/>
  <c r="R102" i="25"/>
  <c r="Q68" i="25"/>
  <c r="R68" i="25"/>
  <c r="AC168" i="27" l="1"/>
  <c r="AE93" i="30"/>
  <c r="AF167" i="27"/>
  <c r="AD168" i="27"/>
  <c r="AF168" i="27"/>
  <c r="S104" i="25"/>
  <c r="AD170" i="27"/>
  <c r="AD174" i="27"/>
  <c r="AD176" i="27"/>
  <c r="AD186" i="27"/>
  <c r="AD188" i="27"/>
  <c r="AD190" i="27"/>
  <c r="T105" i="25"/>
  <c r="T108" i="25"/>
  <c r="S140" i="25"/>
  <c r="S287" i="25"/>
  <c r="T247" i="25"/>
  <c r="T287" i="25"/>
  <c r="AD169" i="27"/>
  <c r="AD173" i="27"/>
  <c r="AF171" i="27"/>
  <c r="AF173" i="27"/>
  <c r="AF175" i="27"/>
  <c r="T286" i="25"/>
  <c r="T289" i="25"/>
  <c r="T290" i="25"/>
  <c r="AD171" i="27"/>
  <c r="AD175" i="27"/>
  <c r="T251" i="25"/>
  <c r="AD185" i="27"/>
  <c r="AD193" i="27"/>
  <c r="AN109" i="25" s="1"/>
  <c r="AC174" i="27"/>
  <c r="AC176" i="27"/>
  <c r="S105" i="25"/>
  <c r="S106" i="25"/>
  <c r="S108" i="25"/>
  <c r="S247" i="25"/>
  <c r="AF185" i="27"/>
  <c r="T103" i="25"/>
  <c r="AF169" i="27"/>
  <c r="AD167" i="27"/>
  <c r="T106" i="25"/>
  <c r="S286" i="25"/>
  <c r="S289" i="25"/>
  <c r="AC159" i="27"/>
  <c r="AB93" i="30"/>
  <c r="AA42" i="31"/>
  <c r="AF186" i="27"/>
  <c r="AF161" i="27"/>
  <c r="V73" i="25"/>
  <c r="AC167" i="27"/>
  <c r="AC169" i="27"/>
  <c r="AC193" i="27"/>
  <c r="AM109" i="25" s="1"/>
  <c r="AB34" i="30"/>
  <c r="S73" i="25" s="1"/>
  <c r="AF166" i="27"/>
  <c r="AC163" i="27"/>
  <c r="U73" i="25"/>
  <c r="S139" i="25"/>
  <c r="AD24" i="29"/>
  <c r="T74" i="25" s="1"/>
  <c r="AC47" i="28"/>
  <c r="AB48" i="28"/>
  <c r="AB49" i="28"/>
  <c r="AB50" i="28"/>
  <c r="AB51" i="28"/>
  <c r="AB47" i="28"/>
  <c r="AC49" i="28"/>
  <c r="AC50" i="28"/>
  <c r="AC51" i="28"/>
  <c r="AC170" i="27"/>
  <c r="AC171" i="27"/>
  <c r="AC173" i="27"/>
  <c r="AC175" i="27"/>
  <c r="AC185" i="27"/>
  <c r="AC186" i="27"/>
  <c r="AC188" i="27"/>
  <c r="AC190" i="27"/>
  <c r="AE26" i="26"/>
  <c r="U72" i="25" s="1"/>
  <c r="AD70" i="26"/>
  <c r="AC26" i="26"/>
  <c r="S72" i="25" s="1"/>
  <c r="AF26" i="26"/>
  <c r="V72" i="25" s="1"/>
  <c r="AN177" i="25"/>
  <c r="AM177" i="25"/>
  <c r="S177" i="25"/>
  <c r="T177" i="25"/>
  <c r="AE29" i="6"/>
  <c r="V106" i="25" l="1"/>
  <c r="U106" i="25"/>
  <c r="AE167" i="27"/>
  <c r="AE168" i="27"/>
  <c r="AP72" i="25"/>
  <c r="AC67" i="27"/>
  <c r="AF190" i="27"/>
  <c r="AM72" i="25"/>
  <c r="BF240" i="2" s="1"/>
  <c r="AN72" i="25"/>
  <c r="BG240" i="2" s="1"/>
  <c r="AC48" i="28"/>
  <c r="AN140" i="25" s="1"/>
  <c r="AF174" i="27"/>
  <c r="S143" i="25"/>
  <c r="T252" i="25"/>
  <c r="AF188" i="27"/>
  <c r="AB21" i="28"/>
  <c r="S70" i="25" s="1"/>
  <c r="AF176" i="27"/>
  <c r="AC162" i="27"/>
  <c r="AC153" i="27"/>
  <c r="AF153" i="27"/>
  <c r="AF179" i="27"/>
  <c r="AA49" i="31"/>
  <c r="AC152" i="27"/>
  <c r="AF152" i="27"/>
  <c r="AC140" i="27"/>
  <c r="AC149" i="27"/>
  <c r="AF149" i="27"/>
  <c r="AF189" i="27"/>
  <c r="AC165" i="27"/>
  <c r="AF165" i="27"/>
  <c r="AA45" i="31"/>
  <c r="AC155" i="27"/>
  <c r="AF155" i="27"/>
  <c r="AC151" i="27"/>
  <c r="AF151" i="27"/>
  <c r="AC144" i="27"/>
  <c r="AC139" i="27"/>
  <c r="AF139" i="27"/>
  <c r="AC157" i="27"/>
  <c r="AF157" i="27"/>
  <c r="AC146" i="27"/>
  <c r="AC137" i="27"/>
  <c r="AD149" i="27"/>
  <c r="AC145" i="27"/>
  <c r="AF145" i="27"/>
  <c r="AF170" i="27"/>
  <c r="AD145" i="27"/>
  <c r="AF181" i="27"/>
  <c r="AC160" i="27"/>
  <c r="AA43" i="31"/>
  <c r="AC164" i="27"/>
  <c r="AA46" i="31"/>
  <c r="S103" i="25"/>
  <c r="S110" i="25" s="1"/>
  <c r="AC158" i="27"/>
  <c r="AC154" i="27"/>
  <c r="AC148" i="27"/>
  <c r="AC142" i="27"/>
  <c r="AC138" i="27"/>
  <c r="AA44" i="31"/>
  <c r="AB46" i="28"/>
  <c r="AC156" i="27"/>
  <c r="AM141" i="25"/>
  <c r="AA47" i="31"/>
  <c r="AF187" i="27"/>
  <c r="AF183" i="27"/>
  <c r="T104" i="25"/>
  <c r="T110" i="25" s="1"/>
  <c r="AB53" i="28"/>
  <c r="AE52" i="28"/>
  <c r="AE185" i="27"/>
  <c r="AE175" i="27"/>
  <c r="AE173" i="27"/>
  <c r="AE171" i="27"/>
  <c r="AE169" i="27"/>
  <c r="AC21" i="28"/>
  <c r="AC34" i="30"/>
  <c r="T285" i="25"/>
  <c r="T291" i="25" s="1"/>
  <c r="AD67" i="27"/>
  <c r="T69" i="25" s="1"/>
  <c r="AB45" i="31"/>
  <c r="AE190" i="27"/>
  <c r="AE188" i="27"/>
  <c r="AE186" i="27"/>
  <c r="AE176" i="27"/>
  <c r="AE174" i="27"/>
  <c r="AE170" i="27"/>
  <c r="AN141" i="25"/>
  <c r="AM140" i="25"/>
  <c r="AA21" i="31"/>
  <c r="S71" i="25" s="1"/>
  <c r="AC53" i="28"/>
  <c r="S252" i="25"/>
  <c r="S291" i="25"/>
  <c r="S69" i="25" l="1"/>
  <c r="S75" i="25" s="1"/>
  <c r="AM139" i="25"/>
  <c r="AE67" i="27"/>
  <c r="U69" i="25" s="1"/>
  <c r="U103" i="25"/>
  <c r="U110" i="25" s="1"/>
  <c r="T70" i="25"/>
  <c r="T73" i="25"/>
  <c r="AM248" i="25"/>
  <c r="AM245" i="25"/>
  <c r="AM246" i="25"/>
  <c r="AM250" i="25"/>
  <c r="AE153" i="27"/>
  <c r="AE149" i="27"/>
  <c r="AE145" i="27"/>
  <c r="AE189" i="27"/>
  <c r="AE155" i="27"/>
  <c r="AD153" i="27"/>
  <c r="AB46" i="31"/>
  <c r="AE183" i="27"/>
  <c r="AE165" i="27"/>
  <c r="AB44" i="31"/>
  <c r="AD155" i="27"/>
  <c r="AD157" i="27"/>
  <c r="AD52" i="28"/>
  <c r="AB43" i="31"/>
  <c r="AC183" i="27"/>
  <c r="AM103" i="25"/>
  <c r="AE181" i="27"/>
  <c r="AC187" i="27"/>
  <c r="AB52" i="28"/>
  <c r="AB49" i="31"/>
  <c r="AM104" i="25"/>
  <c r="AD189" i="27"/>
  <c r="AM105" i="25"/>
  <c r="AM247" i="25"/>
  <c r="AC189" i="27"/>
  <c r="AC46" i="28"/>
  <c r="AC52" i="28"/>
  <c r="AN142" i="25" s="1"/>
  <c r="AE157" i="27"/>
  <c r="AE187" i="27"/>
  <c r="AD187" i="27"/>
  <c r="AD179" i="27"/>
  <c r="AD156" i="27"/>
  <c r="AD148" i="27"/>
  <c r="AD180" i="27"/>
  <c r="AD144" i="27"/>
  <c r="AD181" i="27"/>
  <c r="AE179" i="27"/>
  <c r="AC180" i="27"/>
  <c r="AD160" i="27"/>
  <c r="AD137" i="27"/>
  <c r="AD140" i="27"/>
  <c r="AE139" i="27"/>
  <c r="AC184" i="27"/>
  <c r="AD182" i="27"/>
  <c r="AC179" i="27"/>
  <c r="AC172" i="27"/>
  <c r="AD138" i="27"/>
  <c r="AD158" i="27"/>
  <c r="AC181" i="27"/>
  <c r="AC182" i="27"/>
  <c r="AD154" i="27"/>
  <c r="AD184" i="27"/>
  <c r="AN107" i="25" s="1"/>
  <c r="AD146" i="27"/>
  <c r="AD172" i="27"/>
  <c r="AE152" i="27"/>
  <c r="AB47" i="31"/>
  <c r="AD142" i="27"/>
  <c r="AD164" i="27"/>
  <c r="AD151" i="27"/>
  <c r="AD162" i="27"/>
  <c r="AD152" i="27"/>
  <c r="AE151" i="27"/>
  <c r="AD165" i="27"/>
  <c r="AD183" i="27"/>
  <c r="AD139" i="27"/>
  <c r="AB21" i="31"/>
  <c r="T71" i="25" s="1"/>
  <c r="AA51" i="31"/>
  <c r="AM142" i="25" l="1"/>
  <c r="AM143" i="25" s="1"/>
  <c r="V103" i="25"/>
  <c r="V110" i="25" s="1"/>
  <c r="AF67" i="27"/>
  <c r="AC55" i="28"/>
  <c r="AC38" i="28" s="1"/>
  <c r="T75" i="25"/>
  <c r="T38" i="25" s="1"/>
  <c r="S38" i="25"/>
  <c r="AN250" i="25"/>
  <c r="AN247" i="25"/>
  <c r="AN139" i="25"/>
  <c r="AN143" i="25" s="1"/>
  <c r="AN248" i="25"/>
  <c r="AN246" i="25"/>
  <c r="AN245" i="25"/>
  <c r="AB55" i="28"/>
  <c r="AN105" i="25"/>
  <c r="AF138" i="27"/>
  <c r="AE138" i="27"/>
  <c r="AM107" i="25"/>
  <c r="AF160" i="27"/>
  <c r="AE160" i="27"/>
  <c r="AF180" i="27"/>
  <c r="AE180" i="27"/>
  <c r="AF142" i="27"/>
  <c r="AE142" i="27"/>
  <c r="AF154" i="27"/>
  <c r="AP104" i="25" s="1"/>
  <c r="AE154" i="27"/>
  <c r="AN104" i="25"/>
  <c r="AF162" i="27"/>
  <c r="AE162" i="27"/>
  <c r="AF156" i="27"/>
  <c r="AE156" i="27"/>
  <c r="AF172" i="27"/>
  <c r="AE172" i="27"/>
  <c r="AF146" i="27"/>
  <c r="AE146" i="27"/>
  <c r="AF140" i="27"/>
  <c r="AE140" i="27"/>
  <c r="AF148" i="27"/>
  <c r="AE148" i="27"/>
  <c r="AF158" i="27"/>
  <c r="AE158" i="27"/>
  <c r="AN103" i="25"/>
  <c r="AF144" i="27"/>
  <c r="AE144" i="27"/>
  <c r="AF164" i="27"/>
  <c r="AE164" i="27"/>
  <c r="AF184" i="27"/>
  <c r="AP107" i="25" s="1"/>
  <c r="AE184" i="27"/>
  <c r="AF182" i="27"/>
  <c r="AE182" i="27"/>
  <c r="AB51" i="31"/>
  <c r="AD20" i="5"/>
  <c r="V69" i="25" l="1"/>
  <c r="AO107" i="25"/>
  <c r="AO104" i="25"/>
  <c r="AN70" i="25"/>
  <c r="BG238" i="2" s="1"/>
  <c r="T40" i="25"/>
  <c r="AO105" i="25"/>
  <c r="AP105" i="25"/>
  <c r="AB38" i="28"/>
  <c r="AM70" i="25"/>
  <c r="AE23" i="4"/>
  <c r="BF238" i="2" l="1"/>
  <c r="BF266" i="2"/>
  <c r="BF29" i="2"/>
  <c r="AT56" i="2"/>
  <c r="AT59" i="2"/>
  <c r="AT58" i="2"/>
  <c r="AT57" i="2"/>
  <c r="AT60" i="2"/>
  <c r="AT61" i="2"/>
  <c r="AT62" i="2"/>
  <c r="AK132" i="2" l="1"/>
  <c r="AK133" i="2"/>
  <c r="AK136" i="2"/>
  <c r="AK134" i="2"/>
  <c r="AK138" i="2"/>
  <c r="AK135" i="2"/>
  <c r="AK137" i="2"/>
  <c r="AJ159" i="2"/>
  <c r="AJ158" i="2"/>
  <c r="AJ161" i="2"/>
  <c r="AJ160" i="2"/>
  <c r="AJ162" i="2"/>
  <c r="AJ163" i="2"/>
  <c r="AJ164" i="2"/>
  <c r="AQ184" i="2"/>
  <c r="AQ187" i="2"/>
  <c r="AQ185" i="2"/>
  <c r="AQ186" i="2"/>
  <c r="A197" i="2"/>
  <c r="A194" i="2"/>
  <c r="A188" i="2"/>
  <c r="A187" i="2"/>
  <c r="AQ190" i="2" l="1"/>
  <c r="AQ191" i="2" s="1"/>
  <c r="AE51" i="3"/>
  <c r="AF53" i="3" s="1"/>
  <c r="AE59" i="3"/>
  <c r="AE29" i="3"/>
  <c r="AE45" i="3"/>
  <c r="AF47" i="3" s="1"/>
  <c r="AE23" i="3"/>
  <c r="AE28" i="4"/>
  <c r="AE44" i="4"/>
  <c r="AE45" i="4" s="1"/>
  <c r="BE119" i="2"/>
  <c r="AE35" i="6"/>
  <c r="AE22" i="6"/>
  <c r="AE20" i="5"/>
  <c r="AF24" i="6" l="1"/>
  <c r="BE42" i="2"/>
  <c r="AF25" i="3"/>
  <c r="BE43" i="2"/>
  <c r="BE120" i="2"/>
  <c r="AF22" i="5"/>
  <c r="AE22" i="5"/>
  <c r="AE37" i="6"/>
  <c r="AE30" i="6"/>
  <c r="BE47" i="2"/>
  <c r="AE58" i="3"/>
  <c r="BE46" i="2"/>
  <c r="AT63" i="2"/>
  <c r="AT64" i="2" s="1"/>
  <c r="BE76" i="2"/>
  <c r="AE54" i="3"/>
  <c r="AF56" i="3" s="1"/>
  <c r="AE59" i="7"/>
  <c r="AE50" i="7"/>
  <c r="BF125" i="2" l="1"/>
  <c r="BE121" i="2"/>
  <c r="BE50" i="2"/>
  <c r="BE44" i="2"/>
  <c r="AF28" i="7"/>
  <c r="BE49" i="2"/>
  <c r="BE208" i="2"/>
  <c r="BF210" i="2" s="1"/>
  <c r="AE44" i="7"/>
  <c r="AE38" i="7"/>
  <c r="AE47" i="7"/>
  <c r="AE46" i="7"/>
  <c r="AE55" i="7"/>
  <c r="AE43" i="7"/>
  <c r="AE53" i="7"/>
  <c r="AE42" i="7"/>
  <c r="AE48" i="7"/>
  <c r="AE51" i="7"/>
  <c r="AE41" i="7"/>
  <c r="AE49" i="7"/>
  <c r="AE59" i="20"/>
  <c r="AE36" i="20"/>
  <c r="AE33" i="20"/>
  <c r="AE27" i="20"/>
  <c r="AJ165" i="2" l="1"/>
  <c r="AJ166" i="2" s="1"/>
  <c r="AE56" i="7"/>
  <c r="AE56" i="20"/>
  <c r="AE54" i="20"/>
  <c r="AE47" i="20"/>
  <c r="AE45" i="20"/>
  <c r="AE41" i="20"/>
  <c r="AE40" i="20"/>
  <c r="AE53" i="20"/>
  <c r="AE38" i="20"/>
  <c r="AE51" i="20"/>
  <c r="AE37" i="20"/>
  <c r="AE50" i="20"/>
  <c r="AE48" i="20"/>
  <c r="T21" i="31" l="1"/>
  <c r="O20" i="31"/>
  <c r="R247" i="25"/>
  <c r="Q247" i="25"/>
  <c r="P247" i="25"/>
  <c r="O247" i="25"/>
  <c r="N247" i="25"/>
  <c r="M247" i="25"/>
  <c r="L247" i="25"/>
  <c r="K247" i="25"/>
  <c r="J247" i="25"/>
  <c r="I247" i="25"/>
  <c r="H247" i="25"/>
  <c r="G247" i="25"/>
  <c r="F247" i="25"/>
  <c r="E247" i="25"/>
  <c r="D247" i="25"/>
  <c r="R251" i="25"/>
  <c r="Q251" i="25"/>
  <c r="P251" i="25"/>
  <c r="O251" i="25"/>
  <c r="N251" i="25"/>
  <c r="M251" i="25"/>
  <c r="L251" i="25"/>
  <c r="K251" i="25"/>
  <c r="J251" i="25"/>
  <c r="I251" i="25"/>
  <c r="H251" i="25"/>
  <c r="G251" i="25"/>
  <c r="F251" i="25"/>
  <c r="E251" i="25"/>
  <c r="D251" i="25"/>
  <c r="C251" i="25"/>
  <c r="C248" i="25"/>
  <c r="D248" i="25"/>
  <c r="E248" i="25"/>
  <c r="F248" i="25"/>
  <c r="G248" i="25"/>
  <c r="H248" i="25"/>
  <c r="I248" i="25"/>
  <c r="J248" i="25"/>
  <c r="K248" i="25"/>
  <c r="L248" i="25"/>
  <c r="M248" i="25"/>
  <c r="N248" i="25"/>
  <c r="O248" i="25"/>
  <c r="P248" i="25"/>
  <c r="Q248" i="25"/>
  <c r="R248" i="25"/>
  <c r="C249" i="25"/>
  <c r="D249" i="25"/>
  <c r="E249" i="25"/>
  <c r="F249" i="25"/>
  <c r="G249" i="25"/>
  <c r="H249" i="25"/>
  <c r="I249" i="25"/>
  <c r="J249" i="25"/>
  <c r="K249" i="25"/>
  <c r="L249" i="25"/>
  <c r="M249" i="25"/>
  <c r="N249" i="25"/>
  <c r="O249" i="25"/>
  <c r="P249" i="25"/>
  <c r="Q249" i="25"/>
  <c r="R249" i="25"/>
  <c r="C250" i="25"/>
  <c r="D250" i="25"/>
  <c r="E250" i="25"/>
  <c r="F250" i="25"/>
  <c r="G250" i="25"/>
  <c r="H250" i="25"/>
  <c r="I250" i="25"/>
  <c r="J250" i="25"/>
  <c r="K250" i="25"/>
  <c r="L250" i="25"/>
  <c r="M250" i="25"/>
  <c r="N250" i="25"/>
  <c r="O250" i="25"/>
  <c r="P250" i="25"/>
  <c r="Q250" i="25"/>
  <c r="R250" i="25"/>
  <c r="C247" i="25"/>
  <c r="C245" i="25"/>
  <c r="D245" i="25"/>
  <c r="E245" i="25"/>
  <c r="F245" i="25"/>
  <c r="G245" i="25"/>
  <c r="H245" i="25"/>
  <c r="I245" i="25"/>
  <c r="J245" i="25"/>
  <c r="K245" i="25"/>
  <c r="L245" i="25"/>
  <c r="M245" i="25"/>
  <c r="N245" i="25"/>
  <c r="O245" i="25"/>
  <c r="P245" i="25"/>
  <c r="Q245" i="25"/>
  <c r="R245" i="25"/>
  <c r="C246" i="25"/>
  <c r="D246" i="25"/>
  <c r="E246" i="25"/>
  <c r="F246" i="25"/>
  <c r="G246" i="25"/>
  <c r="H246" i="25"/>
  <c r="I246" i="25"/>
  <c r="J246" i="25"/>
  <c r="K246" i="25"/>
  <c r="L246" i="25"/>
  <c r="M246" i="25"/>
  <c r="N246" i="25"/>
  <c r="O246" i="25"/>
  <c r="P246" i="25"/>
  <c r="Q246" i="25"/>
  <c r="R246" i="25"/>
  <c r="G242" i="25"/>
  <c r="L252" i="25" l="1"/>
  <c r="D252" i="25"/>
  <c r="I252" i="25"/>
  <c r="O252" i="25"/>
  <c r="M252" i="25"/>
  <c r="E252" i="25"/>
  <c r="C252" i="25"/>
  <c r="H252" i="25"/>
  <c r="P252" i="25"/>
  <c r="G252" i="25"/>
  <c r="J252" i="25"/>
  <c r="K252" i="25"/>
  <c r="Q252" i="25"/>
  <c r="R252" i="25"/>
  <c r="N252" i="25"/>
  <c r="F252" i="25"/>
  <c r="I209" i="2" l="1"/>
  <c r="Y38" i="2"/>
  <c r="BH39" i="2"/>
  <c r="AD51" i="3"/>
  <c r="AD59" i="3"/>
  <c r="AD23" i="3"/>
  <c r="BD42" i="2" l="1"/>
  <c r="AE25" i="3"/>
  <c r="BD47" i="2"/>
  <c r="AE53" i="3"/>
  <c r="R29" i="6"/>
  <c r="Q29" i="6"/>
  <c r="P29" i="6"/>
  <c r="S29" i="6"/>
  <c r="T29" i="6"/>
  <c r="U29" i="6"/>
  <c r="V29" i="6"/>
  <c r="W29" i="6"/>
  <c r="X29" i="6"/>
  <c r="Y29" i="6"/>
  <c r="Z29" i="6"/>
  <c r="AA29" i="6"/>
  <c r="AB29" i="6"/>
  <c r="AC29" i="6"/>
  <c r="AD29" i="6"/>
  <c r="O29" i="6"/>
  <c r="AD35" i="6"/>
  <c r="AD22" i="6"/>
  <c r="AI29" i="6" l="1"/>
  <c r="AH29" i="6"/>
  <c r="AE24" i="6"/>
  <c r="AD37" i="6"/>
  <c r="AD30" i="6"/>
  <c r="AD33" i="20"/>
  <c r="Z33" i="20"/>
  <c r="B43" i="31" l="1"/>
  <c r="B44" i="31"/>
  <c r="B45" i="31"/>
  <c r="B46" i="31"/>
  <c r="B47" i="31"/>
  <c r="B48" i="31"/>
  <c r="B49" i="31"/>
  <c r="B50" i="31"/>
  <c r="B51" i="31"/>
  <c r="B28" i="31"/>
  <c r="B29" i="31"/>
  <c r="B30" i="31"/>
  <c r="B31" i="31"/>
  <c r="B32" i="31"/>
  <c r="B33" i="31"/>
  <c r="B34" i="31"/>
  <c r="B35" i="31"/>
  <c r="B36" i="31"/>
  <c r="B108" i="2" l="1"/>
  <c r="Z48" i="31"/>
  <c r="AL249" i="25" s="1"/>
  <c r="Z49" i="31"/>
  <c r="AL250" i="25" s="1"/>
  <c r="Z47" i="31"/>
  <c r="AL248" i="25" s="1"/>
  <c r="Z44" i="31"/>
  <c r="AL246" i="25" s="1"/>
  <c r="Z45" i="31"/>
  <c r="AB55" i="29"/>
  <c r="AB57" i="29"/>
  <c r="AA193" i="27"/>
  <c r="AK109" i="25" s="1"/>
  <c r="AB185" i="27"/>
  <c r="AB188" i="27"/>
  <c r="AB193" i="27"/>
  <c r="AL109" i="25" s="1"/>
  <c r="AC44" i="4"/>
  <c r="AC33" i="20"/>
  <c r="AH33" i="20" s="1"/>
  <c r="N267" i="2"/>
  <c r="R212" i="25"/>
  <c r="Q212" i="25"/>
  <c r="P212" i="25"/>
  <c r="O212" i="25"/>
  <c r="P210" i="25"/>
  <c r="O210" i="25"/>
  <c r="P209" i="25"/>
  <c r="O209" i="25"/>
  <c r="P208" i="25"/>
  <c r="O208" i="25"/>
  <c r="P207" i="25"/>
  <c r="O207" i="25"/>
  <c r="O282" i="25"/>
  <c r="O243" i="25"/>
  <c r="O205" i="25"/>
  <c r="O171" i="25"/>
  <c r="O136" i="25"/>
  <c r="O101" i="25"/>
  <c r="B53" i="26"/>
  <c r="B54" i="26"/>
  <c r="B55" i="26"/>
  <c r="B56" i="26"/>
  <c r="B57" i="26"/>
  <c r="B58" i="26"/>
  <c r="B59" i="26"/>
  <c r="B60" i="26"/>
  <c r="B61" i="26"/>
  <c r="B62" i="26"/>
  <c r="B63" i="26"/>
  <c r="B66" i="26"/>
  <c r="B67" i="26"/>
  <c r="B68" i="26"/>
  <c r="B31" i="26"/>
  <c r="B32" i="26"/>
  <c r="B33" i="26"/>
  <c r="B34" i="26"/>
  <c r="B35" i="26"/>
  <c r="B36" i="26"/>
  <c r="B37" i="26"/>
  <c r="B38" i="26"/>
  <c r="B39" i="26"/>
  <c r="B40" i="26"/>
  <c r="B41" i="26"/>
  <c r="B43" i="26"/>
  <c r="B44" i="26"/>
  <c r="B45" i="26"/>
  <c r="B46" i="26"/>
  <c r="D109" i="25"/>
  <c r="E109" i="25"/>
  <c r="F109" i="25"/>
  <c r="G109" i="25"/>
  <c r="H109" i="25"/>
  <c r="I109" i="25"/>
  <c r="J109" i="25"/>
  <c r="K109" i="25"/>
  <c r="L109" i="25"/>
  <c r="M109" i="25"/>
  <c r="N109" i="25"/>
  <c r="O109" i="25"/>
  <c r="P109" i="25"/>
  <c r="Q109" i="25"/>
  <c r="R109" i="25"/>
  <c r="C109" i="25"/>
  <c r="D108" i="25"/>
  <c r="E108" i="25"/>
  <c r="F108" i="25"/>
  <c r="G108" i="25"/>
  <c r="H108" i="25"/>
  <c r="I108" i="25"/>
  <c r="J108" i="25"/>
  <c r="K108" i="25"/>
  <c r="L108" i="25"/>
  <c r="M108" i="25"/>
  <c r="N108" i="25"/>
  <c r="O108" i="25"/>
  <c r="P108" i="25"/>
  <c r="C108" i="25"/>
  <c r="D107" i="25"/>
  <c r="E107" i="25"/>
  <c r="F107" i="25"/>
  <c r="G107" i="25"/>
  <c r="H107" i="25"/>
  <c r="I107" i="25"/>
  <c r="J107" i="25"/>
  <c r="K107" i="25"/>
  <c r="L107" i="25"/>
  <c r="M107" i="25"/>
  <c r="N107" i="25"/>
  <c r="O107" i="25"/>
  <c r="P107" i="25"/>
  <c r="Q107" i="25"/>
  <c r="C107" i="25"/>
  <c r="D106" i="25"/>
  <c r="E106" i="25"/>
  <c r="F106" i="25"/>
  <c r="G106" i="25"/>
  <c r="H106" i="25"/>
  <c r="I106" i="25"/>
  <c r="J106" i="25"/>
  <c r="K106" i="25"/>
  <c r="L106" i="25"/>
  <c r="M106" i="25"/>
  <c r="N106" i="25"/>
  <c r="O106" i="25"/>
  <c r="P106" i="25"/>
  <c r="C106" i="25"/>
  <c r="D105" i="25"/>
  <c r="E105" i="25"/>
  <c r="F105" i="25"/>
  <c r="G105" i="25"/>
  <c r="H105" i="25"/>
  <c r="I105" i="25"/>
  <c r="J105" i="25"/>
  <c r="K105" i="25"/>
  <c r="L105" i="25"/>
  <c r="M105" i="25"/>
  <c r="N105" i="25"/>
  <c r="O105" i="25"/>
  <c r="P105" i="25"/>
  <c r="C105" i="25"/>
  <c r="D104" i="25"/>
  <c r="E104" i="25"/>
  <c r="F104" i="25"/>
  <c r="G104" i="25"/>
  <c r="H104" i="25"/>
  <c r="I104" i="25"/>
  <c r="J104" i="25"/>
  <c r="K104" i="25"/>
  <c r="L104" i="25"/>
  <c r="M104" i="25"/>
  <c r="N104" i="25"/>
  <c r="O104" i="25"/>
  <c r="P104" i="25"/>
  <c r="C104" i="25"/>
  <c r="D103" i="25"/>
  <c r="E103" i="25"/>
  <c r="F103" i="25"/>
  <c r="G103" i="25"/>
  <c r="H103" i="25"/>
  <c r="I103" i="25"/>
  <c r="J103" i="25"/>
  <c r="K103" i="25"/>
  <c r="L103" i="25"/>
  <c r="M103" i="25"/>
  <c r="N103" i="25"/>
  <c r="O103" i="25"/>
  <c r="P103" i="25"/>
  <c r="R103" i="25"/>
  <c r="C103" i="25"/>
  <c r="X175" i="25"/>
  <c r="Y175" i="25"/>
  <c r="Z175" i="25"/>
  <c r="W175" i="25"/>
  <c r="D175" i="25"/>
  <c r="E175" i="25"/>
  <c r="F175" i="25"/>
  <c r="G175" i="25"/>
  <c r="H175" i="25"/>
  <c r="I175" i="25"/>
  <c r="J175" i="25"/>
  <c r="K175" i="25"/>
  <c r="L175" i="25"/>
  <c r="M175" i="25"/>
  <c r="N175" i="25"/>
  <c r="O175" i="25"/>
  <c r="P175" i="25"/>
  <c r="C175" i="25"/>
  <c r="O173" i="25"/>
  <c r="P173" i="25"/>
  <c r="D174" i="25"/>
  <c r="E174" i="25"/>
  <c r="F174" i="25"/>
  <c r="G174" i="25"/>
  <c r="H174" i="25"/>
  <c r="I174" i="25"/>
  <c r="J174" i="25"/>
  <c r="K174" i="25"/>
  <c r="L174" i="25"/>
  <c r="M174" i="25"/>
  <c r="N174" i="25"/>
  <c r="O174" i="25"/>
  <c r="P174" i="25"/>
  <c r="C174" i="25"/>
  <c r="D173" i="25"/>
  <c r="E173" i="25"/>
  <c r="F173" i="25"/>
  <c r="G173" i="25"/>
  <c r="H173" i="25"/>
  <c r="I173" i="25"/>
  <c r="J173" i="25"/>
  <c r="K173" i="25"/>
  <c r="L173" i="25"/>
  <c r="M173" i="25"/>
  <c r="N173" i="25"/>
  <c r="C173" i="25"/>
  <c r="U164" i="27"/>
  <c r="U165" i="27"/>
  <c r="A42" i="31"/>
  <c r="V45" i="31"/>
  <c r="Y62" i="29"/>
  <c r="Z62" i="29"/>
  <c r="Y63" i="29"/>
  <c r="Z63" i="29"/>
  <c r="Z61" i="29"/>
  <c r="Y55" i="29"/>
  <c r="Z55" i="29"/>
  <c r="Y56" i="29"/>
  <c r="Z56" i="29"/>
  <c r="Z54" i="29"/>
  <c r="Y67" i="27"/>
  <c r="Z67" i="27"/>
  <c r="P69" i="25" s="1"/>
  <c r="Q103" i="25"/>
  <c r="O33" i="20"/>
  <c r="P33" i="20"/>
  <c r="Q33" i="20"/>
  <c r="R33" i="20"/>
  <c r="S33" i="20"/>
  <c r="T33" i="20"/>
  <c r="U33" i="20"/>
  <c r="V33" i="20"/>
  <c r="W33" i="20"/>
  <c r="X33" i="20"/>
  <c r="Y33" i="20"/>
  <c r="AA33" i="20"/>
  <c r="AB33" i="20"/>
  <c r="AI68" i="25"/>
  <c r="AJ68" i="25"/>
  <c r="O281" i="25"/>
  <c r="O242" i="25"/>
  <c r="O204" i="25"/>
  <c r="O170" i="25"/>
  <c r="O135" i="25"/>
  <c r="R138" i="25"/>
  <c r="Q138" i="25"/>
  <c r="R284" i="25"/>
  <c r="Q284" i="25"/>
  <c r="AI283" i="25"/>
  <c r="AJ283" i="25"/>
  <c r="AH283" i="25"/>
  <c r="AG283" i="25"/>
  <c r="AJ244" i="25"/>
  <c r="AI244" i="25"/>
  <c r="AH244" i="25"/>
  <c r="AG244" i="25"/>
  <c r="AJ206" i="25"/>
  <c r="AI206" i="25"/>
  <c r="AH206" i="25"/>
  <c r="AG206" i="25"/>
  <c r="AJ102" i="25"/>
  <c r="AI102" i="25"/>
  <c r="AK284" i="25"/>
  <c r="AL284" i="25"/>
  <c r="AB174" i="27"/>
  <c r="Y151" i="27"/>
  <c r="O290" i="25"/>
  <c r="O289" i="25"/>
  <c r="O288" i="25"/>
  <c r="O287" i="25"/>
  <c r="O286" i="25"/>
  <c r="O285" i="25"/>
  <c r="O141" i="25"/>
  <c r="O140" i="25"/>
  <c r="O139" i="25"/>
  <c r="O138" i="25"/>
  <c r="Y164" i="27"/>
  <c r="Z164" i="27"/>
  <c r="AA27" i="20"/>
  <c r="BH38" i="2"/>
  <c r="AA62" i="26"/>
  <c r="Q175" i="25"/>
  <c r="Q174" i="25"/>
  <c r="AA51" i="28"/>
  <c r="AA92" i="30"/>
  <c r="AA85" i="30"/>
  <c r="AA82" i="30"/>
  <c r="AA81" i="30"/>
  <c r="AA80" i="30"/>
  <c r="AA78" i="30"/>
  <c r="AA77" i="30"/>
  <c r="AA76" i="30"/>
  <c r="AA74" i="30"/>
  <c r="R288" i="25"/>
  <c r="Q288" i="25"/>
  <c r="Q140" i="25"/>
  <c r="R286" i="25"/>
  <c r="Q286" i="25"/>
  <c r="Q290" i="25"/>
  <c r="R141" i="25"/>
  <c r="Q141" i="25"/>
  <c r="R287" i="25"/>
  <c r="Q287" i="25"/>
  <c r="R285" i="25"/>
  <c r="Q285" i="25"/>
  <c r="R289" i="25"/>
  <c r="Q289" i="25"/>
  <c r="R290" i="25"/>
  <c r="AB183" i="27"/>
  <c r="AB180" i="27"/>
  <c r="AB169" i="27"/>
  <c r="AA160" i="27"/>
  <c r="AB147" i="27"/>
  <c r="AB146" i="27"/>
  <c r="AB145" i="27"/>
  <c r="AB144" i="27"/>
  <c r="AB142" i="27"/>
  <c r="AB138" i="27"/>
  <c r="AB137" i="27"/>
  <c r="R107" i="25"/>
  <c r="AA157" i="27"/>
  <c r="AB164" i="27"/>
  <c r="AA164" i="27"/>
  <c r="Z42" i="31"/>
  <c r="AA51" i="29"/>
  <c r="AB50" i="29"/>
  <c r="Z51" i="31"/>
  <c r="Y51" i="31"/>
  <c r="Z50" i="31"/>
  <c r="AL251" i="25" s="1"/>
  <c r="Y50" i="31"/>
  <c r="Y49" i="31"/>
  <c r="AK250" i="25" s="1"/>
  <c r="Y48" i="31"/>
  <c r="AK249" i="25" s="1"/>
  <c r="Y47" i="31"/>
  <c r="AK248" i="25" s="1"/>
  <c r="Z46" i="31"/>
  <c r="Y46" i="31"/>
  <c r="Y44" i="31"/>
  <c r="AK246" i="25" s="1"/>
  <c r="Z43" i="31"/>
  <c r="AL245" i="25" s="1"/>
  <c r="Y43" i="31"/>
  <c r="AK245" i="25" s="1"/>
  <c r="AA93" i="30"/>
  <c r="Z93" i="30"/>
  <c r="Z92" i="30"/>
  <c r="AA87" i="30"/>
  <c r="Z87" i="30"/>
  <c r="AA83" i="30"/>
  <c r="Z83" i="30"/>
  <c r="Z82" i="30"/>
  <c r="Z80" i="30"/>
  <c r="Z78" i="30"/>
  <c r="Z77" i="30"/>
  <c r="Z76" i="30"/>
  <c r="Z74" i="30"/>
  <c r="AA73" i="30"/>
  <c r="Z73" i="30"/>
  <c r="AA72" i="30"/>
  <c r="Z72" i="30"/>
  <c r="AA34" i="30"/>
  <c r="R73" i="25" s="1"/>
  <c r="Z34" i="30"/>
  <c r="Q73" i="25" s="1"/>
  <c r="Z51" i="28"/>
  <c r="AA46" i="28"/>
  <c r="Z46" i="28"/>
  <c r="AA45" i="28"/>
  <c r="Z45" i="28"/>
  <c r="AA44" i="28"/>
  <c r="Z44" i="28"/>
  <c r="AB61" i="29"/>
  <c r="AA61" i="29"/>
  <c r="AB60" i="29"/>
  <c r="AA60" i="29"/>
  <c r="AB59" i="29"/>
  <c r="AA59" i="29"/>
  <c r="AB58" i="29"/>
  <c r="AA58" i="29"/>
  <c r="AA57" i="29"/>
  <c r="AB52" i="29"/>
  <c r="AA50" i="29"/>
  <c r="AB194" i="27"/>
  <c r="AA194" i="27"/>
  <c r="AB192" i="27"/>
  <c r="AA192" i="27"/>
  <c r="AB190" i="27"/>
  <c r="AA190" i="27"/>
  <c r="AB189" i="27"/>
  <c r="AA189" i="27"/>
  <c r="AA188" i="27"/>
  <c r="AB186" i="27"/>
  <c r="AA186" i="27"/>
  <c r="AA185" i="27"/>
  <c r="AB184" i="27"/>
  <c r="AA184" i="27"/>
  <c r="AA180" i="27"/>
  <c r="AA177" i="27"/>
  <c r="AB176" i="27"/>
  <c r="AA176" i="27"/>
  <c r="AA174" i="27"/>
  <c r="AA173" i="27"/>
  <c r="AA169" i="27"/>
  <c r="AA163" i="27"/>
  <c r="AB155" i="27"/>
  <c r="AA155" i="27"/>
  <c r="AB153" i="27"/>
  <c r="AA153" i="27"/>
  <c r="AB152" i="27"/>
  <c r="AA152" i="27"/>
  <c r="AB151" i="27"/>
  <c r="AA151" i="27"/>
  <c r="AB149" i="27"/>
  <c r="AA149" i="27"/>
  <c r="AB148" i="27"/>
  <c r="AA148" i="27"/>
  <c r="AA147" i="27"/>
  <c r="AA145" i="27"/>
  <c r="AA144" i="27"/>
  <c r="AB143" i="27"/>
  <c r="AA143" i="27"/>
  <c r="AB141" i="27"/>
  <c r="AA141" i="27"/>
  <c r="AB140" i="27"/>
  <c r="AA140" i="27"/>
  <c r="AA138" i="27"/>
  <c r="AA137" i="27"/>
  <c r="AB136" i="27"/>
  <c r="AA136" i="27"/>
  <c r="AA59" i="26"/>
  <c r="R174" i="25"/>
  <c r="R175" i="25"/>
  <c r="AA35" i="6"/>
  <c r="AE36" i="6" s="1"/>
  <c r="AB35" i="6"/>
  <c r="AF36" i="6" s="1"/>
  <c r="AC35" i="6"/>
  <c r="AG36" i="6" s="1"/>
  <c r="AC22" i="6"/>
  <c r="AB22" i="6"/>
  <c r="AA22" i="6"/>
  <c r="AC20" i="5"/>
  <c r="AB20" i="5"/>
  <c r="AA20" i="5"/>
  <c r="AE21" i="5" s="1"/>
  <c r="AB51" i="3"/>
  <c r="AF52" i="3" s="1"/>
  <c r="AC51" i="3"/>
  <c r="AG52" i="3" s="1"/>
  <c r="AB59" i="3"/>
  <c r="BB46" i="2" s="1"/>
  <c r="AC59" i="3"/>
  <c r="BC46" i="2" s="1"/>
  <c r="BD46" i="2"/>
  <c r="BD49" i="2" s="1"/>
  <c r="AD45" i="3"/>
  <c r="AC45" i="3"/>
  <c r="AB45" i="3"/>
  <c r="AA45" i="3"/>
  <c r="AD48" i="3" s="1"/>
  <c r="AC23" i="3"/>
  <c r="AB23" i="3"/>
  <c r="AA23" i="3"/>
  <c r="AD26" i="3" s="1"/>
  <c r="AD44" i="4"/>
  <c r="AB44" i="4"/>
  <c r="AD23" i="4"/>
  <c r="AC23" i="4"/>
  <c r="AB23" i="4"/>
  <c r="AF24" i="4" s="1"/>
  <c r="AA23" i="4"/>
  <c r="AA51" i="3"/>
  <c r="AE52" i="3" s="1"/>
  <c r="AA59" i="3"/>
  <c r="BA46" i="2" s="1"/>
  <c r="W45" i="3"/>
  <c r="Z23" i="3"/>
  <c r="T21" i="28"/>
  <c r="K70" i="25" s="1"/>
  <c r="U21" i="28"/>
  <c r="L70" i="25" s="1"/>
  <c r="V21" i="28"/>
  <c r="M70" i="25" s="1"/>
  <c r="W21" i="28"/>
  <c r="N70" i="25" s="1"/>
  <c r="T34" i="30"/>
  <c r="U34" i="30"/>
  <c r="L73" i="25" s="1"/>
  <c r="V34" i="30"/>
  <c r="M73" i="25" s="1"/>
  <c r="W34" i="30"/>
  <c r="N73" i="25" s="1"/>
  <c r="G29" i="26"/>
  <c r="G7" i="26"/>
  <c r="G51" i="26"/>
  <c r="Z51" i="3"/>
  <c r="Z59" i="3"/>
  <c r="AZ46" i="2" s="1"/>
  <c r="Z45" i="3"/>
  <c r="X35" i="6"/>
  <c r="Y35" i="6"/>
  <c r="Z35" i="6"/>
  <c r="Z22" i="6"/>
  <c r="Z20" i="5"/>
  <c r="AH172" i="25"/>
  <c r="AG172" i="25"/>
  <c r="AH137" i="25"/>
  <c r="AG137" i="25"/>
  <c r="AG102" i="25"/>
  <c r="AH102" i="25"/>
  <c r="W135" i="25"/>
  <c r="Z44" i="4"/>
  <c r="AZ120" i="2" s="1"/>
  <c r="Z23" i="4"/>
  <c r="Y45" i="3"/>
  <c r="AY43" i="2" s="1"/>
  <c r="Y23" i="3"/>
  <c r="AA36" i="20"/>
  <c r="AB36" i="20"/>
  <c r="AC36" i="20"/>
  <c r="AD36" i="20"/>
  <c r="AA59" i="20"/>
  <c r="AB59" i="20"/>
  <c r="AC59" i="20"/>
  <c r="AD59" i="20"/>
  <c r="AB27" i="20"/>
  <c r="AF28" i="20" s="1"/>
  <c r="AC27" i="20"/>
  <c r="AI27" i="20" s="1"/>
  <c r="AD27" i="20"/>
  <c r="AA26" i="7"/>
  <c r="AB26" i="7"/>
  <c r="AC26" i="7"/>
  <c r="AA37" i="7"/>
  <c r="AA59" i="7" s="1"/>
  <c r="AB37" i="7"/>
  <c r="AB59" i="7" s="1"/>
  <c r="AC37" i="7"/>
  <c r="AC59" i="7" s="1"/>
  <c r="AD37" i="7"/>
  <c r="AD59" i="7" s="1"/>
  <c r="Y44" i="4"/>
  <c r="Y23" i="4"/>
  <c r="AY119" i="2" s="1"/>
  <c r="Y22" i="6"/>
  <c r="Y51" i="3"/>
  <c r="AY47" i="2" s="1"/>
  <c r="Y59" i="3"/>
  <c r="AY46" i="2" s="1"/>
  <c r="AA28" i="4"/>
  <c r="AB28" i="4"/>
  <c r="AC28" i="4"/>
  <c r="AD28" i="4"/>
  <c r="AA29" i="3"/>
  <c r="AB29" i="3"/>
  <c r="AC29" i="3"/>
  <c r="AD29" i="3"/>
  <c r="BB266" i="2"/>
  <c r="BC266" i="2"/>
  <c r="BD266" i="2"/>
  <c r="BE266" i="2"/>
  <c r="BB29" i="2"/>
  <c r="BC29" i="2"/>
  <c r="BD29" i="2"/>
  <c r="BE29" i="2"/>
  <c r="Y20" i="5"/>
  <c r="W175" i="27"/>
  <c r="X41" i="28"/>
  <c r="X24" i="28"/>
  <c r="X7" i="28"/>
  <c r="Y7" i="29"/>
  <c r="Y27" i="29"/>
  <c r="Y47" i="29"/>
  <c r="W176" i="27"/>
  <c r="X176" i="27"/>
  <c r="Y176" i="27"/>
  <c r="Z176" i="27"/>
  <c r="W177" i="27"/>
  <c r="X177" i="27"/>
  <c r="Y177" i="27"/>
  <c r="Z177" i="27"/>
  <c r="W178" i="27"/>
  <c r="X178" i="27"/>
  <c r="Y178" i="27"/>
  <c r="Z178" i="27"/>
  <c r="W179" i="27"/>
  <c r="X179" i="27"/>
  <c r="Y179" i="27"/>
  <c r="Z179" i="27"/>
  <c r="W180" i="27"/>
  <c r="X180" i="27"/>
  <c r="Y180" i="27"/>
  <c r="Z180" i="27"/>
  <c r="X22" i="6"/>
  <c r="X51" i="3"/>
  <c r="X59" i="3"/>
  <c r="AX46" i="2" s="1"/>
  <c r="X23" i="3"/>
  <c r="AX42" i="2" s="1"/>
  <c r="X45" i="3"/>
  <c r="AJ284" i="25"/>
  <c r="AI284" i="25"/>
  <c r="AJ172" i="25"/>
  <c r="AI172" i="25"/>
  <c r="AJ137" i="25"/>
  <c r="AI137" i="25"/>
  <c r="P290" i="25"/>
  <c r="P289" i="25"/>
  <c r="P288" i="25"/>
  <c r="P287" i="25"/>
  <c r="P286" i="25"/>
  <c r="P285" i="25"/>
  <c r="P284" i="25"/>
  <c r="O284" i="25"/>
  <c r="P142" i="25"/>
  <c r="O142" i="25"/>
  <c r="P141" i="25"/>
  <c r="P140" i="25"/>
  <c r="P139" i="25"/>
  <c r="P138" i="25"/>
  <c r="U49" i="29"/>
  <c r="AE209" i="25" s="1"/>
  <c r="V49" i="29"/>
  <c r="U50" i="29"/>
  <c r="V50" i="29"/>
  <c r="U51" i="29"/>
  <c r="V51" i="29"/>
  <c r="U52" i="29"/>
  <c r="V52" i="29"/>
  <c r="Y54" i="29"/>
  <c r="Z194" i="27"/>
  <c r="Y194" i="27"/>
  <c r="Z193" i="27"/>
  <c r="Y193" i="27"/>
  <c r="AI109" i="25" s="1"/>
  <c r="Z192" i="27"/>
  <c r="Y192" i="27"/>
  <c r="Z191" i="27"/>
  <c r="Y191" i="27"/>
  <c r="Z190" i="27"/>
  <c r="Y190" i="27"/>
  <c r="Z188" i="27"/>
  <c r="Y188" i="27"/>
  <c r="Z186" i="27"/>
  <c r="Y186" i="27"/>
  <c r="Z189" i="27"/>
  <c r="Y189" i="27"/>
  <c r="Z185" i="27"/>
  <c r="Y185" i="27"/>
  <c r="Z184" i="27"/>
  <c r="Y184" i="27"/>
  <c r="Z183" i="27"/>
  <c r="Y183" i="27"/>
  <c r="Z182" i="27"/>
  <c r="Y182" i="27"/>
  <c r="Z181" i="27"/>
  <c r="Y181" i="27"/>
  <c r="Z175" i="27"/>
  <c r="Y175" i="27"/>
  <c r="Z174" i="27"/>
  <c r="Y174" i="27"/>
  <c r="Z173" i="27"/>
  <c r="Y173" i="27"/>
  <c r="Z172" i="27"/>
  <c r="Y172" i="27"/>
  <c r="Z171" i="27"/>
  <c r="Y171" i="27"/>
  <c r="Z170" i="27"/>
  <c r="Y170" i="27"/>
  <c r="Z169" i="27"/>
  <c r="Y169" i="27"/>
  <c r="Z168" i="27"/>
  <c r="Y168" i="27"/>
  <c r="Z167" i="27"/>
  <c r="Y167" i="27"/>
  <c r="Z166" i="27"/>
  <c r="Y166" i="27"/>
  <c r="Z165" i="27"/>
  <c r="Z163" i="27"/>
  <c r="Y163" i="27"/>
  <c r="Z162" i="27"/>
  <c r="Y162" i="27"/>
  <c r="Z161" i="27"/>
  <c r="Y161" i="27"/>
  <c r="Z160" i="27"/>
  <c r="Y160" i="27"/>
  <c r="Z159" i="27"/>
  <c r="Y159" i="27"/>
  <c r="Z158" i="27"/>
  <c r="Y158" i="27"/>
  <c r="Z157" i="27"/>
  <c r="Y157" i="27"/>
  <c r="Z156" i="27"/>
  <c r="Y156" i="27"/>
  <c r="Z155" i="27"/>
  <c r="Y155" i="27"/>
  <c r="Z154" i="27"/>
  <c r="Y154" i="27"/>
  <c r="Z153" i="27"/>
  <c r="Y153" i="27"/>
  <c r="Z152" i="27"/>
  <c r="Y152" i="27"/>
  <c r="Z151" i="27"/>
  <c r="Z150" i="27"/>
  <c r="Y150" i="27"/>
  <c r="Z149" i="27"/>
  <c r="Y149" i="27"/>
  <c r="Z148" i="27"/>
  <c r="Y148" i="27"/>
  <c r="Z147" i="27"/>
  <c r="Y147" i="27"/>
  <c r="Z146" i="27"/>
  <c r="Y146" i="27"/>
  <c r="Z145" i="27"/>
  <c r="Y145" i="27"/>
  <c r="Z144" i="27"/>
  <c r="Y144" i="27"/>
  <c r="Z143" i="27"/>
  <c r="Y143" i="27"/>
  <c r="Z142" i="27"/>
  <c r="Y142" i="27"/>
  <c r="Z141" i="27"/>
  <c r="Y141" i="27"/>
  <c r="Z140" i="27"/>
  <c r="Y140" i="27"/>
  <c r="Z139" i="27"/>
  <c r="Y139" i="27"/>
  <c r="Z138" i="27"/>
  <c r="Y138" i="27"/>
  <c r="Z137" i="27"/>
  <c r="Y137" i="27"/>
  <c r="Z136" i="27"/>
  <c r="Y136" i="27"/>
  <c r="Y61" i="29"/>
  <c r="Z60" i="29"/>
  <c r="Y60" i="29"/>
  <c r="Z59" i="29"/>
  <c r="Y59" i="29"/>
  <c r="Z58" i="29"/>
  <c r="Y58" i="29"/>
  <c r="Z57" i="29"/>
  <c r="Y57" i="29"/>
  <c r="Z53" i="29"/>
  <c r="Y53" i="29"/>
  <c r="Z52" i="29"/>
  <c r="Y52" i="29"/>
  <c r="Z51" i="29"/>
  <c r="Y51" i="29"/>
  <c r="Z50" i="29"/>
  <c r="Y50" i="29"/>
  <c r="Z49" i="29"/>
  <c r="Y49" i="29"/>
  <c r="AI209" i="25" s="1"/>
  <c r="Z24" i="29"/>
  <c r="Y24" i="29"/>
  <c r="AJ175" i="25"/>
  <c r="Z63" i="26"/>
  <c r="Y63" i="26"/>
  <c r="Z62" i="26"/>
  <c r="Y62" i="26"/>
  <c r="Z61" i="26"/>
  <c r="Y61" i="26"/>
  <c r="Z60" i="26"/>
  <c r="Y60" i="26"/>
  <c r="Z59" i="26"/>
  <c r="Y59" i="26"/>
  <c r="Z57" i="26"/>
  <c r="Y57" i="26"/>
  <c r="Z26" i="26"/>
  <c r="P72" i="25" s="1"/>
  <c r="Y26" i="26"/>
  <c r="Y93" i="30"/>
  <c r="X93" i="30"/>
  <c r="Y92" i="30"/>
  <c r="X92" i="30"/>
  <c r="Y91" i="30"/>
  <c r="X91" i="30"/>
  <c r="Y90" i="30"/>
  <c r="X90" i="30"/>
  <c r="Y89" i="30"/>
  <c r="X89" i="30"/>
  <c r="Y88" i="30"/>
  <c r="X88" i="30"/>
  <c r="Y87" i="30"/>
  <c r="X87" i="30"/>
  <c r="Y86" i="30"/>
  <c r="X86" i="30"/>
  <c r="Y85" i="30"/>
  <c r="X85" i="30"/>
  <c r="Y84" i="30"/>
  <c r="X84" i="30"/>
  <c r="Y83" i="30"/>
  <c r="X83" i="30"/>
  <c r="Y82" i="30"/>
  <c r="X82" i="30"/>
  <c r="Y81" i="30"/>
  <c r="X81" i="30"/>
  <c r="Y80" i="30"/>
  <c r="X80" i="30"/>
  <c r="Y79" i="30"/>
  <c r="X79" i="30"/>
  <c r="Y78" i="30"/>
  <c r="X78" i="30"/>
  <c r="Y77" i="30"/>
  <c r="X77" i="30"/>
  <c r="Y76" i="30"/>
  <c r="X76" i="30"/>
  <c r="Y75" i="30"/>
  <c r="X75" i="30"/>
  <c r="Y74" i="30"/>
  <c r="X74" i="30"/>
  <c r="Y73" i="30"/>
  <c r="X73" i="30"/>
  <c r="Y72" i="30"/>
  <c r="X72" i="30"/>
  <c r="Y34" i="30"/>
  <c r="P73" i="25" s="1"/>
  <c r="X34" i="30"/>
  <c r="Y54" i="28"/>
  <c r="X54" i="28"/>
  <c r="Y53" i="28"/>
  <c r="X53" i="28"/>
  <c r="Y52" i="28"/>
  <c r="X52" i="28"/>
  <c r="Y51" i="28"/>
  <c r="X51" i="28"/>
  <c r="Y50" i="28"/>
  <c r="X50" i="28"/>
  <c r="Y49" i="28"/>
  <c r="X49" i="28"/>
  <c r="Y48" i="28"/>
  <c r="X48" i="28"/>
  <c r="Y47" i="28"/>
  <c r="X47" i="28"/>
  <c r="Y46" i="28"/>
  <c r="X46" i="28"/>
  <c r="Y45" i="28"/>
  <c r="X45" i="28"/>
  <c r="Y44" i="28"/>
  <c r="X44" i="28"/>
  <c r="Y21" i="28"/>
  <c r="P70" i="25" s="1"/>
  <c r="X51" i="31"/>
  <c r="W51" i="31"/>
  <c r="X50" i="31"/>
  <c r="W50" i="31"/>
  <c r="X49" i="31"/>
  <c r="AJ250" i="25" s="1"/>
  <c r="W49" i="31"/>
  <c r="AI250" i="25" s="1"/>
  <c r="X48" i="31"/>
  <c r="AJ249" i="25" s="1"/>
  <c r="W48" i="31"/>
  <c r="AI249" i="25" s="1"/>
  <c r="X47" i="31"/>
  <c r="AJ248" i="25" s="1"/>
  <c r="W47" i="31"/>
  <c r="AI248" i="25" s="1"/>
  <c r="X46" i="31"/>
  <c r="W46" i="31"/>
  <c r="X45" i="31"/>
  <c r="W45" i="31"/>
  <c r="X44" i="31"/>
  <c r="AJ246" i="25" s="1"/>
  <c r="W44" i="31"/>
  <c r="AI246" i="25" s="1"/>
  <c r="X43" i="31"/>
  <c r="AJ245" i="25" s="1"/>
  <c r="W43" i="31"/>
  <c r="AI245" i="25" s="1"/>
  <c r="X42" i="31"/>
  <c r="W42" i="31"/>
  <c r="X21" i="31"/>
  <c r="W21" i="31"/>
  <c r="X44" i="4"/>
  <c r="X23" i="4"/>
  <c r="X20" i="5"/>
  <c r="W54" i="28"/>
  <c r="V54" i="28"/>
  <c r="U54" i="28"/>
  <c r="T54" i="28"/>
  <c r="W53" i="28"/>
  <c r="V53" i="28"/>
  <c r="U53" i="28"/>
  <c r="T53" i="28"/>
  <c r="W52" i="28"/>
  <c r="V52" i="28"/>
  <c r="U52" i="28"/>
  <c r="T52" i="28"/>
  <c r="W51" i="28"/>
  <c r="V51" i="28"/>
  <c r="U51" i="28"/>
  <c r="T51" i="28"/>
  <c r="W50" i="28"/>
  <c r="V50" i="28"/>
  <c r="U50" i="28"/>
  <c r="T50" i="28"/>
  <c r="W49" i="28"/>
  <c r="V49" i="28"/>
  <c r="U49" i="28"/>
  <c r="T49" i="28"/>
  <c r="W48" i="28"/>
  <c r="V48" i="28"/>
  <c r="U48" i="28"/>
  <c r="T48" i="28"/>
  <c r="W47" i="28"/>
  <c r="V47" i="28"/>
  <c r="U47" i="28"/>
  <c r="T47" i="28"/>
  <c r="W46" i="28"/>
  <c r="V46" i="28"/>
  <c r="U46" i="28"/>
  <c r="T46" i="28"/>
  <c r="W45" i="28"/>
  <c r="V45" i="28"/>
  <c r="U45" i="28"/>
  <c r="T45" i="28"/>
  <c r="W44" i="28"/>
  <c r="V44" i="28"/>
  <c r="U44" i="28"/>
  <c r="T44" i="28"/>
  <c r="O54" i="28"/>
  <c r="N54" i="28"/>
  <c r="M54" i="28"/>
  <c r="L54" i="28"/>
  <c r="K54" i="28"/>
  <c r="J54" i="28"/>
  <c r="I54" i="28"/>
  <c r="H54" i="28"/>
  <c r="O53" i="28"/>
  <c r="N53" i="28"/>
  <c r="M53" i="28"/>
  <c r="L53" i="28"/>
  <c r="K53" i="28"/>
  <c r="J53" i="28"/>
  <c r="I53" i="28"/>
  <c r="H53" i="28"/>
  <c r="O52" i="28"/>
  <c r="Z142" i="25" s="1"/>
  <c r="N52" i="28"/>
  <c r="M52" i="28"/>
  <c r="L52" i="28"/>
  <c r="K52" i="28"/>
  <c r="J52" i="28"/>
  <c r="I52" i="28"/>
  <c r="H52" i="28"/>
  <c r="O51" i="28"/>
  <c r="N51" i="28"/>
  <c r="M51" i="28"/>
  <c r="L51" i="28"/>
  <c r="K51" i="28"/>
  <c r="J51" i="28"/>
  <c r="I51" i="28"/>
  <c r="H51" i="28"/>
  <c r="O50" i="28"/>
  <c r="N50" i="28"/>
  <c r="M50" i="28"/>
  <c r="L50" i="28"/>
  <c r="K50" i="28"/>
  <c r="J50" i="28"/>
  <c r="I50" i="28"/>
  <c r="H50" i="28"/>
  <c r="O49" i="28"/>
  <c r="N49" i="28"/>
  <c r="M49" i="28"/>
  <c r="L49" i="28"/>
  <c r="K49" i="28"/>
  <c r="J49" i="28"/>
  <c r="I49" i="28"/>
  <c r="H49" i="28"/>
  <c r="O48" i="28"/>
  <c r="N48" i="28"/>
  <c r="M48" i="28"/>
  <c r="X140" i="25" s="1"/>
  <c r="L48" i="28"/>
  <c r="K48" i="28"/>
  <c r="J48" i="28"/>
  <c r="I48" i="28"/>
  <c r="H48" i="28"/>
  <c r="O47" i="28"/>
  <c r="N47" i="28"/>
  <c r="M47" i="28"/>
  <c r="L47" i="28"/>
  <c r="K47" i="28"/>
  <c r="J47" i="28"/>
  <c r="I47" i="28"/>
  <c r="H47" i="28"/>
  <c r="O46" i="28"/>
  <c r="N46" i="28"/>
  <c r="Y139" i="25" s="1"/>
  <c r="M46" i="28"/>
  <c r="X139" i="25" s="1"/>
  <c r="L46" i="28"/>
  <c r="K46" i="28"/>
  <c r="J46" i="28"/>
  <c r="I46" i="28"/>
  <c r="H46" i="28"/>
  <c r="O45" i="28"/>
  <c r="N45" i="28"/>
  <c r="M45" i="28"/>
  <c r="L45" i="28"/>
  <c r="K45" i="28"/>
  <c r="J45" i="28"/>
  <c r="I45" i="28"/>
  <c r="H45" i="28"/>
  <c r="O44" i="28"/>
  <c r="N44" i="28"/>
  <c r="M44" i="28"/>
  <c r="L44" i="28"/>
  <c r="K44" i="28"/>
  <c r="J44" i="28"/>
  <c r="I44" i="28"/>
  <c r="H44" i="28"/>
  <c r="O43" i="28"/>
  <c r="Z138" i="25" s="1"/>
  <c r="N43" i="28"/>
  <c r="M43" i="28"/>
  <c r="L43" i="28"/>
  <c r="K43" i="28"/>
  <c r="J43" i="28"/>
  <c r="I43" i="28"/>
  <c r="V51" i="31"/>
  <c r="U51" i="31"/>
  <c r="V50" i="31"/>
  <c r="U50" i="31"/>
  <c r="V49" i="31"/>
  <c r="AH250" i="25" s="1"/>
  <c r="U49" i="31"/>
  <c r="AG250" i="25" s="1"/>
  <c r="V48" i="31"/>
  <c r="AH249" i="25" s="1"/>
  <c r="U48" i="31"/>
  <c r="AG249" i="25" s="1"/>
  <c r="V47" i="31"/>
  <c r="AH248" i="25" s="1"/>
  <c r="U47" i="31"/>
  <c r="AG248" i="25" s="1"/>
  <c r="V46" i="31"/>
  <c r="U46" i="31"/>
  <c r="U45" i="31"/>
  <c r="V44" i="31"/>
  <c r="AH246" i="25" s="1"/>
  <c r="U44" i="31"/>
  <c r="AG246" i="25" s="1"/>
  <c r="V43" i="31"/>
  <c r="AH245" i="25" s="1"/>
  <c r="U43" i="31"/>
  <c r="AG245" i="25" s="1"/>
  <c r="V42" i="31"/>
  <c r="U42" i="31"/>
  <c r="K283" i="25"/>
  <c r="AE283" i="25" s="1"/>
  <c r="L283" i="25"/>
  <c r="AF283" i="25" s="1"/>
  <c r="K244" i="25"/>
  <c r="AE244" i="25" s="1"/>
  <c r="L244" i="25"/>
  <c r="AF244" i="25" s="1"/>
  <c r="K206" i="25"/>
  <c r="AE206" i="25" s="1"/>
  <c r="L206" i="25"/>
  <c r="AF206" i="25" s="1"/>
  <c r="K172" i="25"/>
  <c r="AE172" i="25" s="1"/>
  <c r="L172" i="25"/>
  <c r="AF172" i="25" s="1"/>
  <c r="K137" i="25"/>
  <c r="AE137" i="25" s="1"/>
  <c r="L137" i="25"/>
  <c r="AF137" i="25" s="1"/>
  <c r="AE102" i="25"/>
  <c r="AF102" i="25"/>
  <c r="AE37" i="25"/>
  <c r="AF37" i="25"/>
  <c r="K68" i="25"/>
  <c r="AE68" i="25" s="1"/>
  <c r="L68" i="25"/>
  <c r="AF68" i="25" s="1"/>
  <c r="X24" i="29"/>
  <c r="N74" i="25" s="1"/>
  <c r="W24" i="29"/>
  <c r="M74" i="25" s="1"/>
  <c r="V24" i="29"/>
  <c r="L74" i="25" s="1"/>
  <c r="U24" i="29"/>
  <c r="K74" i="25" s="1"/>
  <c r="X67" i="27"/>
  <c r="N69" i="25" s="1"/>
  <c r="W67" i="27"/>
  <c r="M69" i="25" s="1"/>
  <c r="V67" i="27"/>
  <c r="U67" i="27"/>
  <c r="K69" i="25" s="1"/>
  <c r="V26" i="7"/>
  <c r="W29" i="3"/>
  <c r="X29" i="3"/>
  <c r="Y29" i="3"/>
  <c r="Z29" i="3"/>
  <c r="D27" i="20"/>
  <c r="D45" i="20" s="1"/>
  <c r="E27" i="20"/>
  <c r="E41" i="20" s="1"/>
  <c r="F27" i="20"/>
  <c r="F45" i="20" s="1"/>
  <c r="G27" i="20"/>
  <c r="G43" i="20" s="1"/>
  <c r="H27" i="20"/>
  <c r="H43" i="20" s="1"/>
  <c r="I27" i="20"/>
  <c r="I52" i="20" s="1"/>
  <c r="J27" i="20"/>
  <c r="J51" i="20" s="1"/>
  <c r="K27" i="20"/>
  <c r="K49" i="20" s="1"/>
  <c r="L27" i="20"/>
  <c r="M27" i="20"/>
  <c r="M45" i="20" s="1"/>
  <c r="N27" i="20"/>
  <c r="O27" i="20"/>
  <c r="O40" i="20" s="1"/>
  <c r="P27" i="20"/>
  <c r="P53" i="20" s="1"/>
  <c r="Q27" i="20"/>
  <c r="Q45" i="20" s="1"/>
  <c r="R27" i="20"/>
  <c r="S27" i="20"/>
  <c r="S51" i="20" s="1"/>
  <c r="T27" i="20"/>
  <c r="U27" i="20"/>
  <c r="U41" i="20" s="1"/>
  <c r="V27" i="20"/>
  <c r="V37" i="20" s="1"/>
  <c r="W27" i="20"/>
  <c r="W40" i="20" s="1"/>
  <c r="X27" i="20"/>
  <c r="X53" i="20" s="1"/>
  <c r="Y27" i="20"/>
  <c r="Y48" i="20" s="1"/>
  <c r="Z27" i="20"/>
  <c r="Z54" i="20" s="1"/>
  <c r="C27" i="20"/>
  <c r="D22" i="6"/>
  <c r="E22" i="6"/>
  <c r="F22" i="6"/>
  <c r="G22" i="6"/>
  <c r="H22" i="6"/>
  <c r="I22" i="6"/>
  <c r="J22" i="6"/>
  <c r="K22" i="6"/>
  <c r="L22" i="6"/>
  <c r="M22" i="6"/>
  <c r="N22" i="6"/>
  <c r="O22" i="6"/>
  <c r="O30" i="6" s="1"/>
  <c r="P22" i="6"/>
  <c r="Q22" i="6"/>
  <c r="Q30" i="6" s="1"/>
  <c r="R22" i="6"/>
  <c r="R30" i="6" s="1"/>
  <c r="S22" i="6"/>
  <c r="S30" i="6" s="1"/>
  <c r="T22" i="6"/>
  <c r="U22" i="6"/>
  <c r="V22" i="6"/>
  <c r="W22" i="6"/>
  <c r="C22" i="6"/>
  <c r="W35" i="6"/>
  <c r="B73" i="20"/>
  <c r="B74" i="20"/>
  <c r="B50" i="20"/>
  <c r="B51" i="20"/>
  <c r="AX266" i="2"/>
  <c r="AY266" i="2"/>
  <c r="AZ266" i="2"/>
  <c r="BA266" i="2"/>
  <c r="W20" i="5"/>
  <c r="W23" i="4"/>
  <c r="AW119" i="2" s="1"/>
  <c r="W44" i="4"/>
  <c r="W23" i="3"/>
  <c r="W51" i="3"/>
  <c r="X53" i="3" s="1"/>
  <c r="W59" i="3"/>
  <c r="W37" i="25"/>
  <c r="X37" i="25"/>
  <c r="Y37" i="25"/>
  <c r="Z37" i="25"/>
  <c r="AA37" i="25"/>
  <c r="AB37" i="25"/>
  <c r="AC37" i="25"/>
  <c r="AD37" i="25"/>
  <c r="V23" i="3"/>
  <c r="AV42" i="2" s="1"/>
  <c r="V20" i="5"/>
  <c r="AV76" i="2" s="1"/>
  <c r="C68" i="25"/>
  <c r="D68" i="25"/>
  <c r="X68" i="25" s="1"/>
  <c r="X102" i="25" s="1"/>
  <c r="E68" i="25"/>
  <c r="Y68" i="25" s="1"/>
  <c r="F68" i="25"/>
  <c r="Z68" i="25" s="1"/>
  <c r="G68" i="25"/>
  <c r="AA68" i="25" s="1"/>
  <c r="H68" i="25"/>
  <c r="AB68" i="25" s="1"/>
  <c r="I68" i="25"/>
  <c r="AC68" i="25" s="1"/>
  <c r="J68" i="25"/>
  <c r="AD68" i="25" s="1"/>
  <c r="N290" i="25"/>
  <c r="M290" i="25"/>
  <c r="L290" i="25"/>
  <c r="K290" i="25"/>
  <c r="N289" i="25"/>
  <c r="M289" i="25"/>
  <c r="L289" i="25"/>
  <c r="K289" i="25"/>
  <c r="N288" i="25"/>
  <c r="M288" i="25"/>
  <c r="L288" i="25"/>
  <c r="K288" i="25"/>
  <c r="N287" i="25"/>
  <c r="M287" i="25"/>
  <c r="L287" i="25"/>
  <c r="K287" i="25"/>
  <c r="N286" i="25"/>
  <c r="M286" i="25"/>
  <c r="L286" i="25"/>
  <c r="K286" i="25"/>
  <c r="N285" i="25"/>
  <c r="M285" i="25"/>
  <c r="L285" i="25"/>
  <c r="K285" i="25"/>
  <c r="N284" i="25"/>
  <c r="M284" i="25"/>
  <c r="L284" i="25"/>
  <c r="K284" i="25"/>
  <c r="N212" i="25"/>
  <c r="M212" i="25"/>
  <c r="L212" i="25"/>
  <c r="K212" i="25"/>
  <c r="N210" i="25"/>
  <c r="M210" i="25"/>
  <c r="L210" i="25"/>
  <c r="K210" i="25"/>
  <c r="N209" i="25"/>
  <c r="M209" i="25"/>
  <c r="L209" i="25"/>
  <c r="K209" i="25"/>
  <c r="N208" i="25"/>
  <c r="M208" i="25"/>
  <c r="L208" i="25"/>
  <c r="K208" i="25"/>
  <c r="N207" i="25"/>
  <c r="M207" i="25"/>
  <c r="L207" i="25"/>
  <c r="K207" i="25"/>
  <c r="N142" i="25"/>
  <c r="M142" i="25"/>
  <c r="L142" i="25"/>
  <c r="K142" i="25"/>
  <c r="N141" i="25"/>
  <c r="M141" i="25"/>
  <c r="L141" i="25"/>
  <c r="K141" i="25"/>
  <c r="N140" i="25"/>
  <c r="M140" i="25"/>
  <c r="L140" i="25"/>
  <c r="K140" i="25"/>
  <c r="N139" i="25"/>
  <c r="M139" i="25"/>
  <c r="L139" i="25"/>
  <c r="K139" i="25"/>
  <c r="N138" i="25"/>
  <c r="M138" i="25"/>
  <c r="L138" i="25"/>
  <c r="K138" i="25"/>
  <c r="G284" i="25"/>
  <c r="H284" i="25"/>
  <c r="I284" i="25"/>
  <c r="J284" i="25"/>
  <c r="AH284" i="25"/>
  <c r="AG284" i="25"/>
  <c r="AF284" i="25"/>
  <c r="AE284" i="25"/>
  <c r="X194" i="27"/>
  <c r="W194" i="27"/>
  <c r="V194" i="27"/>
  <c r="U194" i="27"/>
  <c r="X193" i="27"/>
  <c r="AH109" i="25" s="1"/>
  <c r="W193" i="27"/>
  <c r="AG109" i="25" s="1"/>
  <c r="V193" i="27"/>
  <c r="U193" i="27"/>
  <c r="AE109" i="25" s="1"/>
  <c r="W192" i="27"/>
  <c r="V192" i="27"/>
  <c r="U192" i="27"/>
  <c r="X191" i="27"/>
  <c r="W191" i="27"/>
  <c r="V191" i="27"/>
  <c r="U191" i="27"/>
  <c r="X190" i="27"/>
  <c r="W190" i="27"/>
  <c r="V190" i="27"/>
  <c r="U190" i="27"/>
  <c r="X188" i="27"/>
  <c r="W188" i="27"/>
  <c r="V188" i="27"/>
  <c r="U188" i="27"/>
  <c r="X187" i="27"/>
  <c r="W187" i="27"/>
  <c r="X186" i="27"/>
  <c r="W186" i="27"/>
  <c r="V186" i="27"/>
  <c r="U186" i="27"/>
  <c r="X189" i="27"/>
  <c r="W189" i="27"/>
  <c r="V189" i="27"/>
  <c r="U189" i="27"/>
  <c r="X185" i="27"/>
  <c r="W185" i="27"/>
  <c r="V185" i="27"/>
  <c r="U185" i="27"/>
  <c r="X184" i="27"/>
  <c r="W184" i="27"/>
  <c r="V184" i="27"/>
  <c r="U184" i="27"/>
  <c r="X183" i="27"/>
  <c r="W183" i="27"/>
  <c r="V183" i="27"/>
  <c r="U183" i="27"/>
  <c r="X182" i="27"/>
  <c r="W182" i="27"/>
  <c r="V182" i="27"/>
  <c r="U182" i="27"/>
  <c r="X181" i="27"/>
  <c r="W181" i="27"/>
  <c r="V181" i="27"/>
  <c r="U181" i="27"/>
  <c r="V180" i="27"/>
  <c r="U180" i="27"/>
  <c r="V179" i="27"/>
  <c r="U179" i="27"/>
  <c r="V178" i="27"/>
  <c r="U178" i="27"/>
  <c r="V177" i="27"/>
  <c r="U177" i="27"/>
  <c r="V176" i="27"/>
  <c r="U176" i="27"/>
  <c r="X175" i="27"/>
  <c r="V175" i="27"/>
  <c r="U175" i="27"/>
  <c r="X174" i="27"/>
  <c r="W174" i="27"/>
  <c r="V174" i="27"/>
  <c r="U174" i="27"/>
  <c r="X173" i="27"/>
  <c r="W173" i="27"/>
  <c r="V173" i="27"/>
  <c r="U173" i="27"/>
  <c r="X172" i="27"/>
  <c r="W172" i="27"/>
  <c r="V172" i="27"/>
  <c r="U172" i="27"/>
  <c r="X171" i="27"/>
  <c r="W171" i="27"/>
  <c r="V171" i="27"/>
  <c r="U171" i="27"/>
  <c r="X170" i="27"/>
  <c r="W170" i="27"/>
  <c r="V170" i="27"/>
  <c r="U170" i="27"/>
  <c r="X169" i="27"/>
  <c r="W169" i="27"/>
  <c r="V169" i="27"/>
  <c r="U169" i="27"/>
  <c r="X168" i="27"/>
  <c r="W168" i="27"/>
  <c r="V168" i="27"/>
  <c r="U168" i="27"/>
  <c r="X167" i="27"/>
  <c r="W167" i="27"/>
  <c r="V167" i="27"/>
  <c r="U167" i="27"/>
  <c r="X166" i="27"/>
  <c r="W166" i="27"/>
  <c r="V166" i="27"/>
  <c r="U166" i="27"/>
  <c r="X165" i="27"/>
  <c r="W165" i="27"/>
  <c r="V165" i="27"/>
  <c r="X164" i="27"/>
  <c r="W164" i="27"/>
  <c r="V164" i="27"/>
  <c r="X163" i="27"/>
  <c r="W163" i="27"/>
  <c r="V163" i="27"/>
  <c r="U163" i="27"/>
  <c r="X162" i="27"/>
  <c r="W162" i="27"/>
  <c r="V162" i="27"/>
  <c r="U162" i="27"/>
  <c r="X161" i="27"/>
  <c r="W161" i="27"/>
  <c r="V161" i="27"/>
  <c r="U161" i="27"/>
  <c r="X160" i="27"/>
  <c r="W160" i="27"/>
  <c r="V160" i="27"/>
  <c r="U160" i="27"/>
  <c r="X159" i="27"/>
  <c r="W159" i="27"/>
  <c r="V159" i="27"/>
  <c r="U159" i="27"/>
  <c r="X158" i="27"/>
  <c r="W158" i="27"/>
  <c r="V158" i="27"/>
  <c r="U158" i="27"/>
  <c r="X157" i="27"/>
  <c r="W157" i="27"/>
  <c r="V157" i="27"/>
  <c r="U157" i="27"/>
  <c r="X156" i="27"/>
  <c r="W156" i="27"/>
  <c r="V156" i="27"/>
  <c r="U156" i="27"/>
  <c r="X155" i="27"/>
  <c r="W155" i="27"/>
  <c r="V155" i="27"/>
  <c r="U155" i="27"/>
  <c r="X154" i="27"/>
  <c r="W154" i="27"/>
  <c r="V154" i="27"/>
  <c r="U154" i="27"/>
  <c r="X153" i="27"/>
  <c r="W153" i="27"/>
  <c r="V153" i="27"/>
  <c r="U153" i="27"/>
  <c r="X152" i="27"/>
  <c r="W152" i="27"/>
  <c r="V152" i="27"/>
  <c r="U152" i="27"/>
  <c r="X151" i="27"/>
  <c r="W151" i="27"/>
  <c r="V151" i="27"/>
  <c r="U151" i="27"/>
  <c r="X150" i="27"/>
  <c r="W150" i="27"/>
  <c r="V150" i="27"/>
  <c r="U150" i="27"/>
  <c r="X149" i="27"/>
  <c r="W149" i="27"/>
  <c r="V149" i="27"/>
  <c r="U149" i="27"/>
  <c r="X148" i="27"/>
  <c r="W148" i="27"/>
  <c r="V148" i="27"/>
  <c r="U148" i="27"/>
  <c r="X147" i="27"/>
  <c r="W147" i="27"/>
  <c r="V147" i="27"/>
  <c r="U147" i="27"/>
  <c r="X146" i="27"/>
  <c r="W146" i="27"/>
  <c r="V146" i="27"/>
  <c r="U146" i="27"/>
  <c r="X145" i="27"/>
  <c r="W145" i="27"/>
  <c r="V145" i="27"/>
  <c r="U145" i="27"/>
  <c r="X144" i="27"/>
  <c r="W144" i="27"/>
  <c r="V144" i="27"/>
  <c r="U144" i="27"/>
  <c r="X143" i="27"/>
  <c r="W143" i="27"/>
  <c r="V143" i="27"/>
  <c r="U143" i="27"/>
  <c r="X142" i="27"/>
  <c r="W142" i="27"/>
  <c r="V142" i="27"/>
  <c r="U142" i="27"/>
  <c r="X141" i="27"/>
  <c r="W141" i="27"/>
  <c r="V141" i="27"/>
  <c r="U141" i="27"/>
  <c r="X140" i="27"/>
  <c r="W140" i="27"/>
  <c r="V140" i="27"/>
  <c r="U140" i="27"/>
  <c r="X139" i="27"/>
  <c r="W139" i="27"/>
  <c r="V139" i="27"/>
  <c r="U139" i="27"/>
  <c r="X138" i="27"/>
  <c r="W138" i="27"/>
  <c r="V138" i="27"/>
  <c r="U138" i="27"/>
  <c r="X137" i="27"/>
  <c r="W137" i="27"/>
  <c r="V137" i="27"/>
  <c r="U137" i="27"/>
  <c r="X136" i="27"/>
  <c r="W136" i="27"/>
  <c r="V136" i="27"/>
  <c r="U136" i="27"/>
  <c r="X63" i="29"/>
  <c r="W63" i="29"/>
  <c r="X62" i="29"/>
  <c r="W62" i="29"/>
  <c r="X61" i="29"/>
  <c r="W61" i="29"/>
  <c r="V61" i="29"/>
  <c r="U61" i="29"/>
  <c r="X60" i="29"/>
  <c r="W60" i="29"/>
  <c r="V60" i="29"/>
  <c r="U60" i="29"/>
  <c r="X59" i="29"/>
  <c r="W59" i="29"/>
  <c r="V59" i="29"/>
  <c r="U59" i="29"/>
  <c r="X58" i="29"/>
  <c r="W58" i="29"/>
  <c r="V58" i="29"/>
  <c r="U58" i="29"/>
  <c r="X57" i="29"/>
  <c r="W57" i="29"/>
  <c r="V57" i="29"/>
  <c r="U57" i="29"/>
  <c r="X56" i="29"/>
  <c r="W56" i="29"/>
  <c r="X55" i="29"/>
  <c r="W55" i="29"/>
  <c r="X54" i="29"/>
  <c r="W54" i="29"/>
  <c r="V54" i="29"/>
  <c r="U54" i="29"/>
  <c r="X53" i="29"/>
  <c r="W53" i="29"/>
  <c r="V53" i="29"/>
  <c r="U53" i="29"/>
  <c r="X52" i="29"/>
  <c r="W52" i="29"/>
  <c r="X51" i="29"/>
  <c r="W51" i="29"/>
  <c r="X50" i="29"/>
  <c r="W50" i="29"/>
  <c r="X49" i="29"/>
  <c r="W49" i="29"/>
  <c r="W93" i="30"/>
  <c r="V93" i="30"/>
  <c r="U93" i="30"/>
  <c r="T93" i="30"/>
  <c r="W92" i="30"/>
  <c r="V92" i="30"/>
  <c r="U92" i="30"/>
  <c r="T92" i="30"/>
  <c r="W91" i="30"/>
  <c r="V91" i="30"/>
  <c r="U91" i="30"/>
  <c r="T91" i="30"/>
  <c r="W90" i="30"/>
  <c r="V90" i="30"/>
  <c r="U90" i="30"/>
  <c r="T90" i="30"/>
  <c r="W89" i="30"/>
  <c r="V89" i="30"/>
  <c r="U89" i="30"/>
  <c r="T89" i="30"/>
  <c r="W88" i="30"/>
  <c r="V88" i="30"/>
  <c r="U88" i="30"/>
  <c r="T88" i="30"/>
  <c r="W87" i="30"/>
  <c r="V87" i="30"/>
  <c r="U87" i="30"/>
  <c r="T87" i="30"/>
  <c r="W86" i="30"/>
  <c r="V86" i="30"/>
  <c r="U86" i="30"/>
  <c r="T86" i="30"/>
  <c r="W85" i="30"/>
  <c r="V85" i="30"/>
  <c r="U85" i="30"/>
  <c r="T85" i="30"/>
  <c r="W84" i="30"/>
  <c r="V84" i="30"/>
  <c r="U84" i="30"/>
  <c r="T84" i="30"/>
  <c r="W83" i="30"/>
  <c r="V83" i="30"/>
  <c r="U83" i="30"/>
  <c r="T83" i="30"/>
  <c r="W82" i="30"/>
  <c r="V82" i="30"/>
  <c r="U82" i="30"/>
  <c r="T82" i="30"/>
  <c r="W81" i="30"/>
  <c r="V81" i="30"/>
  <c r="U81" i="30"/>
  <c r="T81" i="30"/>
  <c r="W80" i="30"/>
  <c r="V80" i="30"/>
  <c r="U80" i="30"/>
  <c r="T80" i="30"/>
  <c r="W79" i="30"/>
  <c r="V79" i="30"/>
  <c r="U79" i="30"/>
  <c r="T79" i="30"/>
  <c r="W78" i="30"/>
  <c r="V78" i="30"/>
  <c r="U78" i="30"/>
  <c r="T78" i="30"/>
  <c r="W77" i="30"/>
  <c r="V77" i="30"/>
  <c r="U77" i="30"/>
  <c r="T77" i="30"/>
  <c r="W76" i="30"/>
  <c r="V76" i="30"/>
  <c r="U76" i="30"/>
  <c r="T76" i="30"/>
  <c r="W75" i="30"/>
  <c r="V75" i="30"/>
  <c r="U75" i="30"/>
  <c r="T75" i="30"/>
  <c r="W74" i="30"/>
  <c r="V74" i="30"/>
  <c r="U74" i="30"/>
  <c r="T74" i="30"/>
  <c r="W73" i="30"/>
  <c r="V73" i="30"/>
  <c r="U73" i="30"/>
  <c r="T73" i="30"/>
  <c r="W72" i="30"/>
  <c r="V72" i="30"/>
  <c r="U72" i="30"/>
  <c r="T72" i="30"/>
  <c r="V21" i="31"/>
  <c r="N71" i="25" s="1"/>
  <c r="U21" i="31"/>
  <c r="M71" i="25" s="1"/>
  <c r="S21" i="31"/>
  <c r="K71" i="25" s="1"/>
  <c r="T51" i="31"/>
  <c r="S51" i="31"/>
  <c r="T50" i="31"/>
  <c r="S50" i="31"/>
  <c r="T49" i="31"/>
  <c r="AF250" i="25" s="1"/>
  <c r="S49" i="31"/>
  <c r="AE250" i="25" s="1"/>
  <c r="T48" i="31"/>
  <c r="AF249" i="25" s="1"/>
  <c r="S48" i="31"/>
  <c r="AE249" i="25" s="1"/>
  <c r="T47" i="31"/>
  <c r="AF248" i="25" s="1"/>
  <c r="S47" i="31"/>
  <c r="AE248" i="25" s="1"/>
  <c r="T46" i="31"/>
  <c r="S46" i="31"/>
  <c r="T45" i="31"/>
  <c r="S45" i="31"/>
  <c r="T44" i="31"/>
  <c r="AF246" i="25" s="1"/>
  <c r="S44" i="31"/>
  <c r="AE246" i="25" s="1"/>
  <c r="T43" i="31"/>
  <c r="AF245" i="25" s="1"/>
  <c r="S43" i="31"/>
  <c r="AE245" i="25" s="1"/>
  <c r="T42" i="31"/>
  <c r="S42" i="31"/>
  <c r="S30" i="26"/>
  <c r="T30" i="26"/>
  <c r="S52" i="26"/>
  <c r="T52" i="26"/>
  <c r="AG175" i="25"/>
  <c r="W57" i="26"/>
  <c r="AH175" i="25"/>
  <c r="X63" i="26"/>
  <c r="W63" i="26"/>
  <c r="W62" i="26"/>
  <c r="X61" i="26"/>
  <c r="W61" i="26"/>
  <c r="W60" i="26"/>
  <c r="X59" i="26"/>
  <c r="W59" i="26"/>
  <c r="X57" i="26"/>
  <c r="X26" i="26"/>
  <c r="N72" i="25" s="1"/>
  <c r="W26" i="26"/>
  <c r="U26" i="26"/>
  <c r="K72" i="25" s="1"/>
  <c r="V26" i="26"/>
  <c r="V57" i="26"/>
  <c r="V59" i="26"/>
  <c r="V60" i="26"/>
  <c r="V61" i="26"/>
  <c r="V62" i="26"/>
  <c r="V63" i="26"/>
  <c r="U59" i="26"/>
  <c r="U60" i="26"/>
  <c r="U61" i="26"/>
  <c r="U62" i="26"/>
  <c r="U63" i="26"/>
  <c r="AE175" i="25"/>
  <c r="K8" i="2"/>
  <c r="O267" i="2"/>
  <c r="N268" i="2"/>
  <c r="O268" i="2"/>
  <c r="AX29" i="2"/>
  <c r="AY29" i="2"/>
  <c r="AZ29" i="2"/>
  <c r="BA29" i="2"/>
  <c r="AW29" i="2"/>
  <c r="W59" i="20"/>
  <c r="X59" i="20"/>
  <c r="Y59" i="20"/>
  <c r="Z59" i="20"/>
  <c r="W36" i="20"/>
  <c r="X36" i="20"/>
  <c r="Y36" i="20"/>
  <c r="Z36" i="20"/>
  <c r="Z37" i="7"/>
  <c r="Z59" i="7" s="1"/>
  <c r="Y37" i="7"/>
  <c r="Y59" i="7" s="1"/>
  <c r="X37" i="7"/>
  <c r="X59" i="7" s="1"/>
  <c r="W37" i="7"/>
  <c r="W59" i="7" s="1"/>
  <c r="Z26" i="7"/>
  <c r="Y26" i="7"/>
  <c r="X26" i="7"/>
  <c r="Z28" i="4"/>
  <c r="Y28" i="4"/>
  <c r="X28" i="4"/>
  <c r="W28" i="4"/>
  <c r="V35" i="6"/>
  <c r="X60" i="26"/>
  <c r="X62" i="26"/>
  <c r="U57" i="26"/>
  <c r="W26" i="7"/>
  <c r="V51" i="3"/>
  <c r="AV47" i="2" s="1"/>
  <c r="V59" i="3"/>
  <c r="AV46" i="2" s="1"/>
  <c r="V45" i="3"/>
  <c r="AV43" i="2" s="1"/>
  <c r="N20" i="31"/>
  <c r="M20" i="31"/>
  <c r="L20" i="31"/>
  <c r="K20" i="31"/>
  <c r="J20" i="31"/>
  <c r="I20" i="31"/>
  <c r="I21" i="31" s="1"/>
  <c r="H20" i="31"/>
  <c r="H21" i="31" s="1"/>
  <c r="G20" i="31"/>
  <c r="F20" i="31"/>
  <c r="F21" i="31" s="1"/>
  <c r="E20" i="31"/>
  <c r="E21" i="31" s="1"/>
  <c r="D20" i="31"/>
  <c r="D21" i="31" s="1"/>
  <c r="C20" i="31"/>
  <c r="C21" i="31" s="1"/>
  <c r="C43" i="31"/>
  <c r="D43" i="31"/>
  <c r="E43" i="31"/>
  <c r="F43" i="31"/>
  <c r="G43" i="31"/>
  <c r="H43" i="31"/>
  <c r="I43" i="31"/>
  <c r="J43" i="31"/>
  <c r="C44" i="31"/>
  <c r="D44" i="31"/>
  <c r="E44" i="31"/>
  <c r="F44" i="31"/>
  <c r="G44" i="31"/>
  <c r="H44" i="31"/>
  <c r="I44" i="31"/>
  <c r="J44" i="31"/>
  <c r="C45" i="31"/>
  <c r="D45" i="31"/>
  <c r="E45" i="31"/>
  <c r="F45" i="31"/>
  <c r="G45" i="31"/>
  <c r="H45" i="31"/>
  <c r="I45" i="31"/>
  <c r="J45" i="31"/>
  <c r="C46" i="31"/>
  <c r="D46" i="31"/>
  <c r="E46" i="31"/>
  <c r="F46" i="31"/>
  <c r="G46" i="31"/>
  <c r="H46" i="31"/>
  <c r="I46" i="31"/>
  <c r="J46" i="31"/>
  <c r="C47" i="31"/>
  <c r="D47" i="31"/>
  <c r="E47" i="31"/>
  <c r="F47" i="31"/>
  <c r="G47" i="31"/>
  <c r="H47" i="31"/>
  <c r="I47" i="31"/>
  <c r="J47" i="31"/>
  <c r="C48" i="31"/>
  <c r="D48" i="31"/>
  <c r="E48" i="31"/>
  <c r="F48" i="31"/>
  <c r="G48" i="31"/>
  <c r="H48" i="31"/>
  <c r="I48" i="31"/>
  <c r="J48" i="31"/>
  <c r="C49" i="31"/>
  <c r="D49" i="31"/>
  <c r="E49" i="31"/>
  <c r="F49" i="31"/>
  <c r="G49" i="31"/>
  <c r="H49" i="31"/>
  <c r="I49" i="31"/>
  <c r="J49" i="31"/>
  <c r="C50" i="31"/>
  <c r="D50" i="31"/>
  <c r="E50" i="31"/>
  <c r="F50" i="31"/>
  <c r="G50" i="31"/>
  <c r="H50" i="31"/>
  <c r="I50" i="31"/>
  <c r="J50" i="31"/>
  <c r="C51" i="31"/>
  <c r="D51" i="31"/>
  <c r="E51" i="31"/>
  <c r="F51" i="31"/>
  <c r="G51" i="31"/>
  <c r="H51" i="31"/>
  <c r="I51" i="31"/>
  <c r="J51" i="31"/>
  <c r="D42" i="31"/>
  <c r="E42" i="31"/>
  <c r="F42" i="31"/>
  <c r="G42" i="31"/>
  <c r="H42" i="31"/>
  <c r="I42" i="31"/>
  <c r="J42" i="31"/>
  <c r="R51" i="31"/>
  <c r="Q51" i="31"/>
  <c r="R50" i="31"/>
  <c r="Q50" i="31"/>
  <c r="R49" i="31"/>
  <c r="AD250" i="25" s="1"/>
  <c r="Q49" i="31"/>
  <c r="AC250" i="25" s="1"/>
  <c r="R48" i="31"/>
  <c r="AD249" i="25" s="1"/>
  <c r="Q48" i="31"/>
  <c r="AC249" i="25" s="1"/>
  <c r="R47" i="31"/>
  <c r="AD248" i="25" s="1"/>
  <c r="Q47" i="31"/>
  <c r="AC248" i="25" s="1"/>
  <c r="R46" i="31"/>
  <c r="Q46" i="31"/>
  <c r="R45" i="31"/>
  <c r="Q45" i="31"/>
  <c r="R44" i="31"/>
  <c r="AD246" i="25" s="1"/>
  <c r="Q44" i="31"/>
  <c r="AC246" i="25" s="1"/>
  <c r="R43" i="31"/>
  <c r="AD245" i="25" s="1"/>
  <c r="Q43" i="31"/>
  <c r="AC245" i="25" s="1"/>
  <c r="R42" i="31"/>
  <c r="Q42" i="31"/>
  <c r="Q21" i="31"/>
  <c r="I71" i="25" s="1"/>
  <c r="R69" i="26"/>
  <c r="Q69" i="26"/>
  <c r="AC175" i="25"/>
  <c r="AB175" i="25"/>
  <c r="AA175" i="25"/>
  <c r="Q63" i="26"/>
  <c r="R62" i="26"/>
  <c r="Q62" i="26"/>
  <c r="R61" i="26"/>
  <c r="Q61" i="26"/>
  <c r="R60" i="26"/>
  <c r="Q60" i="26"/>
  <c r="R59" i="26"/>
  <c r="Q59" i="26"/>
  <c r="R57" i="26"/>
  <c r="Q57" i="26"/>
  <c r="U35" i="6"/>
  <c r="U26" i="7"/>
  <c r="AV29" i="2"/>
  <c r="U44" i="4"/>
  <c r="AU120" i="2" s="1"/>
  <c r="U23" i="4"/>
  <c r="U51" i="3"/>
  <c r="U59" i="3"/>
  <c r="AU46" i="2" s="1"/>
  <c r="U45" i="3"/>
  <c r="AU43" i="2" s="1"/>
  <c r="U23" i="3"/>
  <c r="AU42" i="2" s="1"/>
  <c r="S62" i="29"/>
  <c r="S63" i="29"/>
  <c r="S58" i="29"/>
  <c r="T58" i="29"/>
  <c r="S59" i="29"/>
  <c r="T59" i="29"/>
  <c r="S55" i="29"/>
  <c r="T55" i="29"/>
  <c r="S56" i="29"/>
  <c r="T56" i="29"/>
  <c r="R81" i="30"/>
  <c r="S81" i="30"/>
  <c r="R34" i="30"/>
  <c r="I73" i="25" s="1"/>
  <c r="S34" i="30"/>
  <c r="J73" i="25" s="1"/>
  <c r="R67" i="27"/>
  <c r="H69" i="25" s="1"/>
  <c r="Q67" i="27"/>
  <c r="G69" i="25" s="1"/>
  <c r="G210" i="25"/>
  <c r="G209" i="25"/>
  <c r="R21" i="31"/>
  <c r="J71" i="25" s="1"/>
  <c r="J288" i="25"/>
  <c r="I288" i="25"/>
  <c r="H288" i="25"/>
  <c r="G288" i="25"/>
  <c r="F288" i="25"/>
  <c r="E288" i="25"/>
  <c r="D288" i="25"/>
  <c r="C288" i="25"/>
  <c r="K43" i="31"/>
  <c r="W245" i="25" s="1"/>
  <c r="L43" i="31"/>
  <c r="X245" i="25" s="1"/>
  <c r="M43" i="31"/>
  <c r="Y245" i="25" s="1"/>
  <c r="N43" i="31"/>
  <c r="Z245" i="25" s="1"/>
  <c r="O43" i="31"/>
  <c r="AA245" i="25" s="1"/>
  <c r="P43" i="31"/>
  <c r="AB245" i="25" s="1"/>
  <c r="K44" i="31"/>
  <c r="W246" i="25" s="1"/>
  <c r="L44" i="31"/>
  <c r="X246" i="25" s="1"/>
  <c r="M44" i="31"/>
  <c r="Y246" i="25" s="1"/>
  <c r="N44" i="31"/>
  <c r="Z246" i="25" s="1"/>
  <c r="O44" i="31"/>
  <c r="AA246" i="25" s="1"/>
  <c r="P44" i="31"/>
  <c r="AB246" i="25" s="1"/>
  <c r="K45" i="31"/>
  <c r="L45" i="31"/>
  <c r="M45" i="31"/>
  <c r="N45" i="31"/>
  <c r="O45" i="31"/>
  <c r="P45" i="31"/>
  <c r="K46" i="31"/>
  <c r="L46" i="31"/>
  <c r="M46" i="31"/>
  <c r="N46" i="31"/>
  <c r="O46" i="31"/>
  <c r="P46" i="31"/>
  <c r="K47" i="31"/>
  <c r="W248" i="25" s="1"/>
  <c r="L47" i="31"/>
  <c r="X248" i="25" s="1"/>
  <c r="M47" i="31"/>
  <c r="Y248" i="25" s="1"/>
  <c r="N47" i="31"/>
  <c r="Z248" i="25" s="1"/>
  <c r="O47" i="31"/>
  <c r="AA248" i="25" s="1"/>
  <c r="P47" i="31"/>
  <c r="AB248" i="25" s="1"/>
  <c r="K48" i="31"/>
  <c r="W249" i="25" s="1"/>
  <c r="L48" i="31"/>
  <c r="X249" i="25" s="1"/>
  <c r="M48" i="31"/>
  <c r="Y249" i="25" s="1"/>
  <c r="N48" i="31"/>
  <c r="Z249" i="25" s="1"/>
  <c r="O48" i="31"/>
  <c r="AA249" i="25" s="1"/>
  <c r="P48" i="31"/>
  <c r="AB249" i="25" s="1"/>
  <c r="K49" i="31"/>
  <c r="W250" i="25" s="1"/>
  <c r="L49" i="31"/>
  <c r="X250" i="25" s="1"/>
  <c r="M49" i="31"/>
  <c r="Y250" i="25" s="1"/>
  <c r="N49" i="31"/>
  <c r="Z250" i="25" s="1"/>
  <c r="O49" i="31"/>
  <c r="AA250" i="25" s="1"/>
  <c r="P49" i="31"/>
  <c r="AB250" i="25" s="1"/>
  <c r="K50" i="31"/>
  <c r="L50" i="31"/>
  <c r="M50" i="31"/>
  <c r="N50" i="31"/>
  <c r="O50" i="31"/>
  <c r="P50" i="31"/>
  <c r="K51" i="31"/>
  <c r="L51" i="31"/>
  <c r="M51" i="31"/>
  <c r="N51" i="31"/>
  <c r="O51" i="31"/>
  <c r="P51" i="31"/>
  <c r="L42" i="31"/>
  <c r="M42" i="31"/>
  <c r="N42" i="31"/>
  <c r="O42" i="31"/>
  <c r="P42" i="31"/>
  <c r="O21" i="31"/>
  <c r="P21" i="31"/>
  <c r="H71" i="25" s="1"/>
  <c r="R61" i="29"/>
  <c r="R60" i="29"/>
  <c r="R85" i="30"/>
  <c r="S85" i="30"/>
  <c r="P85" i="30"/>
  <c r="Q85" i="30"/>
  <c r="Q84" i="30"/>
  <c r="P34" i="30"/>
  <c r="G73" i="25" s="1"/>
  <c r="Q34" i="30"/>
  <c r="H73" i="25" s="1"/>
  <c r="S67" i="27"/>
  <c r="I69" i="25" s="1"/>
  <c r="S187" i="27"/>
  <c r="Q173" i="27"/>
  <c r="R173" i="27"/>
  <c r="Q171" i="27"/>
  <c r="R171" i="27"/>
  <c r="AU29" i="2"/>
  <c r="B60" i="20"/>
  <c r="B76" i="20"/>
  <c r="B53" i="20"/>
  <c r="B37" i="20"/>
  <c r="R52" i="28"/>
  <c r="R53" i="28"/>
  <c r="J142" i="25"/>
  <c r="I142" i="25"/>
  <c r="H142" i="25"/>
  <c r="G142" i="25"/>
  <c r="F142" i="25"/>
  <c r="E142" i="25"/>
  <c r="D142" i="25"/>
  <c r="C142" i="25"/>
  <c r="S184" i="27"/>
  <c r="S181" i="27"/>
  <c r="S154" i="27"/>
  <c r="T193" i="27"/>
  <c r="AD109" i="25" s="1"/>
  <c r="T191" i="27"/>
  <c r="T188" i="27"/>
  <c r="T187" i="27"/>
  <c r="S186" i="27"/>
  <c r="T189" i="27"/>
  <c r="S185" i="27"/>
  <c r="T184" i="27"/>
  <c r="T183" i="27"/>
  <c r="T182" i="27"/>
  <c r="T181" i="27"/>
  <c r="T180" i="27"/>
  <c r="S180" i="27"/>
  <c r="S179" i="27"/>
  <c r="S178" i="27"/>
  <c r="S176" i="27"/>
  <c r="S175" i="27"/>
  <c r="S174" i="27"/>
  <c r="S173" i="27"/>
  <c r="S172" i="27"/>
  <c r="S171" i="27"/>
  <c r="S169" i="27"/>
  <c r="S168" i="27"/>
  <c r="S167" i="27"/>
  <c r="S165" i="27"/>
  <c r="S164" i="27"/>
  <c r="S163" i="27"/>
  <c r="S162" i="27"/>
  <c r="S161" i="27"/>
  <c r="S160" i="27"/>
  <c r="S159" i="27"/>
  <c r="S158" i="27"/>
  <c r="S157" i="27"/>
  <c r="S156" i="27"/>
  <c r="S155" i="27"/>
  <c r="T154" i="27"/>
  <c r="T152" i="27"/>
  <c r="T150" i="27"/>
  <c r="T148" i="27"/>
  <c r="S147" i="27"/>
  <c r="T146" i="27"/>
  <c r="T145" i="27"/>
  <c r="T144" i="27"/>
  <c r="S143" i="27"/>
  <c r="T142" i="27"/>
  <c r="S141" i="27"/>
  <c r="S140" i="27"/>
  <c r="T138" i="27"/>
  <c r="S138" i="27"/>
  <c r="R93" i="30"/>
  <c r="R92" i="30"/>
  <c r="R90" i="30"/>
  <c r="R89" i="30"/>
  <c r="R87" i="30"/>
  <c r="S86" i="30"/>
  <c r="R84" i="30"/>
  <c r="S82" i="30"/>
  <c r="R82" i="30"/>
  <c r="R80" i="30"/>
  <c r="S79" i="30"/>
  <c r="S77" i="30"/>
  <c r="R76" i="30"/>
  <c r="S75" i="30"/>
  <c r="R74" i="30"/>
  <c r="AC285" i="25" s="1"/>
  <c r="T63" i="29"/>
  <c r="T62" i="29"/>
  <c r="T57" i="29"/>
  <c r="T53" i="29"/>
  <c r="T52" i="29"/>
  <c r="T50" i="29"/>
  <c r="S69" i="26"/>
  <c r="AD175" i="25"/>
  <c r="S62" i="26"/>
  <c r="S60" i="26"/>
  <c r="T26" i="26"/>
  <c r="J72" i="25" s="1"/>
  <c r="S26" i="26"/>
  <c r="I72" i="25" s="1"/>
  <c r="T136" i="27"/>
  <c r="T24" i="29"/>
  <c r="J74" i="25" s="1"/>
  <c r="S24" i="29"/>
  <c r="I74" i="25" s="1"/>
  <c r="J139" i="25"/>
  <c r="S44" i="28"/>
  <c r="R45" i="28"/>
  <c r="S46" i="28"/>
  <c r="R47" i="28"/>
  <c r="S48" i="28"/>
  <c r="R49" i="28"/>
  <c r="S50" i="28"/>
  <c r="R51" i="28"/>
  <c r="S52" i="28"/>
  <c r="S54" i="28"/>
  <c r="AD284" i="25"/>
  <c r="AC284" i="25"/>
  <c r="I208" i="25"/>
  <c r="J141" i="25"/>
  <c r="I141" i="25"/>
  <c r="J140" i="25"/>
  <c r="I140" i="25"/>
  <c r="I139" i="25"/>
  <c r="I138" i="25"/>
  <c r="T174" i="27"/>
  <c r="T60" i="29"/>
  <c r="S60" i="29"/>
  <c r="S87" i="30"/>
  <c r="T141" i="27"/>
  <c r="T156" i="27"/>
  <c r="T168" i="27"/>
  <c r="S74" i="30"/>
  <c r="AD285" i="25" s="1"/>
  <c r="T162" i="27"/>
  <c r="T176" i="27"/>
  <c r="T185" i="27"/>
  <c r="T172" i="27"/>
  <c r="T178" i="27"/>
  <c r="T186" i="27"/>
  <c r="T160" i="27"/>
  <c r="T158" i="27"/>
  <c r="T164" i="27"/>
  <c r="T143" i="27"/>
  <c r="S148" i="27"/>
  <c r="S142" i="27"/>
  <c r="S150" i="27"/>
  <c r="T140" i="27"/>
  <c r="S144" i="27"/>
  <c r="S152" i="27"/>
  <c r="S145" i="27"/>
  <c r="S76" i="30"/>
  <c r="S84" i="30"/>
  <c r="S90" i="30"/>
  <c r="S92" i="30"/>
  <c r="S80" i="30"/>
  <c r="S89" i="30"/>
  <c r="S93" i="30"/>
  <c r="S53" i="29"/>
  <c r="S57" i="29"/>
  <c r="S192" i="27"/>
  <c r="T192" i="27"/>
  <c r="R75" i="30"/>
  <c r="R77" i="30"/>
  <c r="R79" i="30"/>
  <c r="R86" i="30"/>
  <c r="S149" i="27"/>
  <c r="T149" i="27"/>
  <c r="S153" i="27"/>
  <c r="T153" i="27"/>
  <c r="S50" i="29"/>
  <c r="S52" i="29"/>
  <c r="S190" i="27"/>
  <c r="T190" i="27"/>
  <c r="S194" i="27"/>
  <c r="T194" i="27"/>
  <c r="T147" i="27"/>
  <c r="S151" i="27"/>
  <c r="T151" i="27"/>
  <c r="S183" i="27"/>
  <c r="S189" i="27"/>
  <c r="S188" i="27"/>
  <c r="S191" i="27"/>
  <c r="S193" i="27"/>
  <c r="AC109" i="25" s="1"/>
  <c r="T155" i="27"/>
  <c r="T157" i="27"/>
  <c r="T159" i="27"/>
  <c r="T161" i="27"/>
  <c r="T163" i="27"/>
  <c r="T165" i="27"/>
  <c r="T167" i="27"/>
  <c r="T169" i="27"/>
  <c r="T171" i="27"/>
  <c r="T173" i="27"/>
  <c r="T175" i="27"/>
  <c r="T179" i="27"/>
  <c r="S182" i="27"/>
  <c r="S146" i="27"/>
  <c r="J208" i="25"/>
  <c r="J207" i="25"/>
  <c r="J210" i="25"/>
  <c r="J212" i="25"/>
  <c r="I212" i="25"/>
  <c r="I207" i="25"/>
  <c r="I210" i="25"/>
  <c r="J209" i="25"/>
  <c r="I209" i="25"/>
  <c r="J138" i="25"/>
  <c r="S21" i="28"/>
  <c r="J70" i="25" s="1"/>
  <c r="R21" i="28"/>
  <c r="I70" i="25" s="1"/>
  <c r="S53" i="28"/>
  <c r="R44" i="28"/>
  <c r="R46" i="28"/>
  <c r="R48" i="28"/>
  <c r="R50" i="28"/>
  <c r="S51" i="28"/>
  <c r="S49" i="28"/>
  <c r="S47" i="28"/>
  <c r="S45" i="28"/>
  <c r="R54" i="28"/>
  <c r="T59" i="3"/>
  <c r="AT46" i="2" s="1"/>
  <c r="T51" i="3"/>
  <c r="T23" i="3"/>
  <c r="T45" i="3"/>
  <c r="T26" i="7"/>
  <c r="B3" i="20"/>
  <c r="B3" i="7"/>
  <c r="B3" i="6"/>
  <c r="B3" i="5"/>
  <c r="B3" i="4"/>
  <c r="B3" i="3"/>
  <c r="B3" i="2"/>
  <c r="K26" i="7"/>
  <c r="N20" i="5"/>
  <c r="M20" i="5"/>
  <c r="L20" i="5"/>
  <c r="K20" i="5"/>
  <c r="N44" i="4"/>
  <c r="M44" i="4"/>
  <c r="AM120" i="2" s="1"/>
  <c r="L44" i="4"/>
  <c r="AL120" i="2" s="1"/>
  <c r="K44" i="4"/>
  <c r="AK120" i="2" s="1"/>
  <c r="N23" i="4"/>
  <c r="AN119" i="2" s="1"/>
  <c r="M23" i="4"/>
  <c r="L23" i="4"/>
  <c r="K23" i="4"/>
  <c r="AK119" i="2" s="1"/>
  <c r="N45" i="3"/>
  <c r="AN43" i="2" s="1"/>
  <c r="M45" i="3"/>
  <c r="AM43" i="2" s="1"/>
  <c r="L45" i="3"/>
  <c r="AL43" i="2" s="1"/>
  <c r="K45" i="3"/>
  <c r="N23" i="3"/>
  <c r="AN42" i="2" s="1"/>
  <c r="N243" i="2"/>
  <c r="H290" i="25"/>
  <c r="G290" i="25"/>
  <c r="F290" i="25"/>
  <c r="E290" i="25"/>
  <c r="D290" i="25"/>
  <c r="H289" i="25"/>
  <c r="G289" i="25"/>
  <c r="F289" i="25"/>
  <c r="E289" i="25"/>
  <c r="D289" i="25"/>
  <c r="C289" i="25"/>
  <c r="C290" i="25"/>
  <c r="D34" i="30"/>
  <c r="N34" i="30"/>
  <c r="E73" i="25" s="1"/>
  <c r="AB284" i="25"/>
  <c r="AA284" i="25"/>
  <c r="Z284" i="25"/>
  <c r="Y284" i="25"/>
  <c r="H287" i="25"/>
  <c r="G287" i="25"/>
  <c r="F287" i="25"/>
  <c r="E287" i="25"/>
  <c r="H286" i="25"/>
  <c r="G286" i="25"/>
  <c r="F286" i="25"/>
  <c r="E286" i="25"/>
  <c r="H285" i="25"/>
  <c r="G285" i="25"/>
  <c r="F285" i="25"/>
  <c r="E285" i="25"/>
  <c r="F284" i="25"/>
  <c r="E284" i="25"/>
  <c r="H210" i="25"/>
  <c r="F207" i="25"/>
  <c r="F208" i="25"/>
  <c r="F209" i="25"/>
  <c r="F210" i="25"/>
  <c r="H209" i="25"/>
  <c r="H212" i="25"/>
  <c r="G212" i="25"/>
  <c r="N24" i="29"/>
  <c r="N26" i="26"/>
  <c r="D72" i="25" s="1"/>
  <c r="N21" i="28"/>
  <c r="E70" i="25" s="1"/>
  <c r="E138" i="25"/>
  <c r="E139" i="25"/>
  <c r="E140" i="25"/>
  <c r="E141" i="25"/>
  <c r="F138" i="25"/>
  <c r="F139" i="25"/>
  <c r="F140" i="25"/>
  <c r="F141" i="25"/>
  <c r="N67" i="27"/>
  <c r="D69" i="25" s="1"/>
  <c r="A49" i="29"/>
  <c r="A50" i="29"/>
  <c r="A51" i="29"/>
  <c r="A52" i="29"/>
  <c r="A53" i="29"/>
  <c r="A54" i="29"/>
  <c r="A55" i="29"/>
  <c r="A56" i="29"/>
  <c r="A57" i="29"/>
  <c r="A58" i="29"/>
  <c r="A60" i="29"/>
  <c r="A62" i="29"/>
  <c r="A29" i="29"/>
  <c r="A30" i="29"/>
  <c r="A31" i="29"/>
  <c r="A32" i="29"/>
  <c r="A33" i="29"/>
  <c r="A34" i="29"/>
  <c r="A35" i="29"/>
  <c r="A36" i="29"/>
  <c r="A37" i="29"/>
  <c r="A38" i="29"/>
  <c r="A40" i="29"/>
  <c r="A42" i="29"/>
  <c r="M53" i="20"/>
  <c r="B52" i="31"/>
  <c r="K42" i="31"/>
  <c r="C42" i="31"/>
  <c r="B42" i="31"/>
  <c r="N41" i="31"/>
  <c r="M41" i="31"/>
  <c r="L41" i="31"/>
  <c r="K41" i="31"/>
  <c r="J41" i="31"/>
  <c r="I41" i="31"/>
  <c r="H41" i="31"/>
  <c r="G41" i="31"/>
  <c r="F41" i="31"/>
  <c r="E41" i="31"/>
  <c r="D41" i="31"/>
  <c r="C41" i="31"/>
  <c r="B41" i="31"/>
  <c r="B27" i="31"/>
  <c r="B26" i="31"/>
  <c r="L25" i="31"/>
  <c r="L40" i="31" s="1"/>
  <c r="K25" i="31"/>
  <c r="K40" i="31" s="1"/>
  <c r="J25" i="31"/>
  <c r="J40" i="31" s="1"/>
  <c r="I25" i="31"/>
  <c r="I40" i="31" s="1"/>
  <c r="H25" i="31"/>
  <c r="H40" i="31" s="1"/>
  <c r="G25" i="31"/>
  <c r="G40" i="31" s="1"/>
  <c r="A7" i="31"/>
  <c r="A39" i="31" s="1"/>
  <c r="A2" i="31"/>
  <c r="A1" i="31"/>
  <c r="C94" i="30"/>
  <c r="B94" i="30"/>
  <c r="A94" i="30"/>
  <c r="Q93" i="30"/>
  <c r="P93" i="30"/>
  <c r="O93" i="30"/>
  <c r="N93" i="30"/>
  <c r="M93" i="30"/>
  <c r="L93" i="30"/>
  <c r="K93" i="30"/>
  <c r="J93" i="30"/>
  <c r="I93" i="30"/>
  <c r="H93" i="30"/>
  <c r="G93" i="30"/>
  <c r="F93" i="30"/>
  <c r="E93" i="30"/>
  <c r="D93" i="30"/>
  <c r="A93" i="30"/>
  <c r="Q92" i="30"/>
  <c r="P92" i="30"/>
  <c r="O92" i="30"/>
  <c r="N92" i="30"/>
  <c r="M92" i="30"/>
  <c r="L92" i="30"/>
  <c r="K92" i="30"/>
  <c r="J92" i="30"/>
  <c r="I92" i="30"/>
  <c r="H92" i="30"/>
  <c r="C92" i="30"/>
  <c r="B92" i="30"/>
  <c r="Q91" i="30"/>
  <c r="P91" i="30"/>
  <c r="O91" i="30"/>
  <c r="N91" i="30"/>
  <c r="M91" i="30"/>
  <c r="L91" i="30"/>
  <c r="Q90" i="30"/>
  <c r="P90" i="30"/>
  <c r="O90" i="30"/>
  <c r="N90" i="30"/>
  <c r="M90" i="30"/>
  <c r="L90" i="30"/>
  <c r="Q89" i="30"/>
  <c r="P89" i="30"/>
  <c r="O89" i="30"/>
  <c r="N89" i="30"/>
  <c r="M89" i="30"/>
  <c r="L89" i="30"/>
  <c r="K89" i="30"/>
  <c r="J89" i="30"/>
  <c r="I89" i="30"/>
  <c r="H89" i="30"/>
  <c r="C89" i="30"/>
  <c r="B89" i="30"/>
  <c r="Q88" i="30"/>
  <c r="P88" i="30"/>
  <c r="O88" i="30"/>
  <c r="N88" i="30"/>
  <c r="M88" i="30"/>
  <c r="L88" i="30"/>
  <c r="C88" i="30"/>
  <c r="B88" i="30"/>
  <c r="A88" i="30"/>
  <c r="Q87" i="30"/>
  <c r="P87" i="30"/>
  <c r="O87" i="30"/>
  <c r="N87" i="30"/>
  <c r="M87" i="30"/>
  <c r="L87" i="30"/>
  <c r="C87" i="30"/>
  <c r="B87" i="30"/>
  <c r="A87" i="30"/>
  <c r="Q86" i="30"/>
  <c r="P86" i="30"/>
  <c r="O86" i="30"/>
  <c r="N86" i="30"/>
  <c r="M86" i="30"/>
  <c r="L86" i="30"/>
  <c r="C86" i="30"/>
  <c r="B86" i="30"/>
  <c r="A86" i="30"/>
  <c r="P84" i="30"/>
  <c r="O84" i="30"/>
  <c r="N84" i="30"/>
  <c r="M84" i="30"/>
  <c r="L84" i="30"/>
  <c r="K84" i="30"/>
  <c r="J84" i="30"/>
  <c r="I84" i="30"/>
  <c r="H84" i="30"/>
  <c r="C84" i="30"/>
  <c r="B84" i="30"/>
  <c r="A84" i="30"/>
  <c r="Q83" i="30"/>
  <c r="P83" i="30"/>
  <c r="O83" i="30"/>
  <c r="N83" i="30"/>
  <c r="M83" i="30"/>
  <c r="L83" i="30"/>
  <c r="K83" i="30"/>
  <c r="J83" i="30"/>
  <c r="I83" i="30"/>
  <c r="H83" i="30"/>
  <c r="C83" i="30"/>
  <c r="B83" i="30"/>
  <c r="A83" i="30"/>
  <c r="Q82" i="30"/>
  <c r="P82" i="30"/>
  <c r="O82" i="30"/>
  <c r="N82" i="30"/>
  <c r="M82" i="30"/>
  <c r="L82" i="30"/>
  <c r="K82" i="30"/>
  <c r="J82" i="30"/>
  <c r="C82" i="30"/>
  <c r="B82" i="30"/>
  <c r="A82" i="30"/>
  <c r="Q81" i="30"/>
  <c r="P81" i="30"/>
  <c r="O81" i="30"/>
  <c r="N81" i="30"/>
  <c r="M81" i="30"/>
  <c r="L81" i="30"/>
  <c r="K81" i="30"/>
  <c r="J81" i="30"/>
  <c r="I81" i="30"/>
  <c r="H81" i="30"/>
  <c r="C81" i="30"/>
  <c r="B81" i="30"/>
  <c r="A81" i="30"/>
  <c r="Q80" i="30"/>
  <c r="P80" i="30"/>
  <c r="O80" i="30"/>
  <c r="N80" i="30"/>
  <c r="M80" i="30"/>
  <c r="L80" i="30"/>
  <c r="K80" i="30"/>
  <c r="J80" i="30"/>
  <c r="I80" i="30"/>
  <c r="H80" i="30"/>
  <c r="G80" i="30"/>
  <c r="F80" i="30"/>
  <c r="E80" i="30"/>
  <c r="D80" i="30"/>
  <c r="C80" i="30"/>
  <c r="B80" i="30"/>
  <c r="A80" i="30"/>
  <c r="Q79" i="30"/>
  <c r="P79" i="30"/>
  <c r="O79" i="30"/>
  <c r="N79" i="30"/>
  <c r="M79" i="30"/>
  <c r="L79" i="30"/>
  <c r="K79" i="30"/>
  <c r="J79" i="30"/>
  <c r="I79" i="30"/>
  <c r="H79" i="30"/>
  <c r="G79" i="30"/>
  <c r="F79" i="30"/>
  <c r="E79" i="30"/>
  <c r="D79" i="30"/>
  <c r="C79" i="30"/>
  <c r="B79" i="30"/>
  <c r="A79" i="30"/>
  <c r="Q78" i="30"/>
  <c r="P78" i="30"/>
  <c r="O78" i="30"/>
  <c r="N78" i="30"/>
  <c r="M78" i="30"/>
  <c r="L78" i="30"/>
  <c r="K78" i="30"/>
  <c r="J78" i="30"/>
  <c r="I78" i="30"/>
  <c r="H78" i="30"/>
  <c r="G78" i="30"/>
  <c r="F78" i="30"/>
  <c r="E78" i="30"/>
  <c r="D78" i="30"/>
  <c r="C78" i="30"/>
  <c r="B78" i="30"/>
  <c r="A78" i="30"/>
  <c r="Q77" i="30"/>
  <c r="P77" i="30"/>
  <c r="O77" i="30"/>
  <c r="N77" i="30"/>
  <c r="M77" i="30"/>
  <c r="L77" i="30"/>
  <c r="K77" i="30"/>
  <c r="J77" i="30"/>
  <c r="I77" i="30"/>
  <c r="H77" i="30"/>
  <c r="G77" i="30"/>
  <c r="F77" i="30"/>
  <c r="E77" i="30"/>
  <c r="D77" i="30"/>
  <c r="C77" i="30"/>
  <c r="B77" i="30"/>
  <c r="A77" i="30"/>
  <c r="Q76" i="30"/>
  <c r="P76" i="30"/>
  <c r="O76" i="30"/>
  <c r="N76" i="30"/>
  <c r="M76" i="30"/>
  <c r="L76" i="30"/>
  <c r="K76" i="30"/>
  <c r="J76" i="30"/>
  <c r="I76" i="30"/>
  <c r="H76" i="30"/>
  <c r="G76" i="30"/>
  <c r="F76" i="30"/>
  <c r="E76" i="30"/>
  <c r="D76" i="30"/>
  <c r="C76" i="30"/>
  <c r="B76" i="30"/>
  <c r="A76" i="30"/>
  <c r="Q75" i="30"/>
  <c r="P75" i="30"/>
  <c r="O75" i="30"/>
  <c r="N75" i="30"/>
  <c r="M75" i="30"/>
  <c r="L75" i="30"/>
  <c r="K75" i="30"/>
  <c r="J75" i="30"/>
  <c r="I75" i="30"/>
  <c r="H75" i="30"/>
  <c r="G75" i="30"/>
  <c r="F75" i="30"/>
  <c r="E75" i="30"/>
  <c r="D75" i="30"/>
  <c r="C75" i="30"/>
  <c r="B75" i="30"/>
  <c r="A75" i="30"/>
  <c r="Q74" i="30"/>
  <c r="P74" i="30"/>
  <c r="AA285" i="25" s="1"/>
  <c r="O74" i="30"/>
  <c r="N74" i="30"/>
  <c r="M74" i="30"/>
  <c r="L74" i="30"/>
  <c r="K74" i="30"/>
  <c r="J74" i="30"/>
  <c r="I74" i="30"/>
  <c r="H74" i="30"/>
  <c r="G74" i="30"/>
  <c r="F74" i="30"/>
  <c r="E74" i="30"/>
  <c r="D74" i="30"/>
  <c r="C74" i="30"/>
  <c r="B74" i="30"/>
  <c r="A74" i="30"/>
  <c r="O73" i="30"/>
  <c r="N73" i="30"/>
  <c r="M73" i="30"/>
  <c r="L73" i="30"/>
  <c r="H73" i="30"/>
  <c r="G73" i="30"/>
  <c r="F73" i="30"/>
  <c r="E73" i="30"/>
  <c r="D73" i="30"/>
  <c r="C73" i="30"/>
  <c r="B73" i="30"/>
  <c r="A73" i="30"/>
  <c r="O72" i="30"/>
  <c r="N72" i="30"/>
  <c r="M72" i="30"/>
  <c r="L72" i="30"/>
  <c r="H72" i="30"/>
  <c r="G72" i="30"/>
  <c r="F72" i="30"/>
  <c r="E72" i="30"/>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O34" i="30"/>
  <c r="F73" i="25" s="1"/>
  <c r="M34" i="30"/>
  <c r="L34" i="30"/>
  <c r="C73" i="25" s="1"/>
  <c r="K34" i="30"/>
  <c r="J34" i="30"/>
  <c r="I34" i="30"/>
  <c r="H34" i="30"/>
  <c r="G34" i="30"/>
  <c r="F34" i="30"/>
  <c r="E34" i="30"/>
  <c r="A7" i="30"/>
  <c r="A37" i="30" s="1"/>
  <c r="A2" i="30"/>
  <c r="A1" i="30"/>
  <c r="P63" i="29"/>
  <c r="O63" i="29"/>
  <c r="N63" i="29"/>
  <c r="M63" i="29"/>
  <c r="L63" i="29"/>
  <c r="K63" i="29"/>
  <c r="J63" i="29"/>
  <c r="I63" i="29"/>
  <c r="H63" i="29"/>
  <c r="G63" i="29"/>
  <c r="F63" i="29"/>
  <c r="E63" i="29"/>
  <c r="P62" i="29"/>
  <c r="O62" i="29"/>
  <c r="N62" i="29"/>
  <c r="M62" i="29"/>
  <c r="L62" i="29"/>
  <c r="K62" i="29"/>
  <c r="J62" i="29"/>
  <c r="I62" i="29"/>
  <c r="H62" i="29"/>
  <c r="G62" i="29"/>
  <c r="F62" i="29"/>
  <c r="E62" i="29"/>
  <c r="Q61" i="29"/>
  <c r="P61" i="29"/>
  <c r="Q60" i="29"/>
  <c r="P60" i="29"/>
  <c r="R59" i="29"/>
  <c r="Q59" i="29"/>
  <c r="P59" i="29"/>
  <c r="R58" i="29"/>
  <c r="Q58" i="29"/>
  <c r="P58" i="29"/>
  <c r="R57" i="29"/>
  <c r="Q57" i="29"/>
  <c r="P57" i="29"/>
  <c r="O57" i="29"/>
  <c r="N57" i="29"/>
  <c r="M57" i="29"/>
  <c r="L57" i="29"/>
  <c r="K57" i="29"/>
  <c r="J57" i="29"/>
  <c r="I57" i="29"/>
  <c r="H57" i="29"/>
  <c r="G57" i="29"/>
  <c r="F57" i="29"/>
  <c r="E57" i="29"/>
  <c r="P56" i="29"/>
  <c r="R54" i="29"/>
  <c r="Q54" i="29"/>
  <c r="P54" i="29"/>
  <c r="O54" i="29"/>
  <c r="N54" i="29"/>
  <c r="M54" i="29"/>
  <c r="L54" i="29"/>
  <c r="K54" i="29"/>
  <c r="J54" i="29"/>
  <c r="I54" i="29"/>
  <c r="R53" i="29"/>
  <c r="Q53" i="29"/>
  <c r="P53" i="29"/>
  <c r="O53" i="29"/>
  <c r="N53" i="29"/>
  <c r="M53" i="29"/>
  <c r="L53" i="29"/>
  <c r="K53" i="29"/>
  <c r="J53" i="29"/>
  <c r="I53" i="29"/>
  <c r="H53" i="29"/>
  <c r="G53" i="29"/>
  <c r="F53" i="29"/>
  <c r="E53" i="29"/>
  <c r="R52" i="29"/>
  <c r="Q52" i="29"/>
  <c r="P52" i="29"/>
  <c r="O52" i="29"/>
  <c r="N52" i="29"/>
  <c r="M52" i="29"/>
  <c r="L52" i="29"/>
  <c r="K52" i="29"/>
  <c r="J52" i="29"/>
  <c r="I52" i="29"/>
  <c r="H52" i="29"/>
  <c r="G52" i="29"/>
  <c r="F52" i="29"/>
  <c r="E52" i="29"/>
  <c r="R51" i="29"/>
  <c r="Q51" i="29"/>
  <c r="P51" i="29"/>
  <c r="O51" i="29"/>
  <c r="N51" i="29"/>
  <c r="M51" i="29"/>
  <c r="L51" i="29"/>
  <c r="K51" i="29"/>
  <c r="J51" i="29"/>
  <c r="I51" i="29"/>
  <c r="H51" i="29"/>
  <c r="G51" i="29"/>
  <c r="F51" i="29"/>
  <c r="E51" i="29"/>
  <c r="R50" i="29"/>
  <c r="Q50" i="29"/>
  <c r="P50" i="29"/>
  <c r="Z207" i="25" s="1"/>
  <c r="O50" i="29"/>
  <c r="N50" i="29"/>
  <c r="M50" i="29"/>
  <c r="L50" i="29"/>
  <c r="K50" i="29"/>
  <c r="J50" i="29"/>
  <c r="I50" i="29"/>
  <c r="H50" i="29"/>
  <c r="G50" i="29"/>
  <c r="F50" i="29"/>
  <c r="E50" i="29"/>
  <c r="R49" i="29"/>
  <c r="AB209" i="25" s="1"/>
  <c r="Q49" i="29"/>
  <c r="P49" i="29"/>
  <c r="Z209" i="25" s="1"/>
  <c r="O49" i="29"/>
  <c r="Y209" i="25" s="1"/>
  <c r="N49" i="29"/>
  <c r="X209" i="25" s="1"/>
  <c r="M49" i="29"/>
  <c r="L49" i="29"/>
  <c r="K49" i="29"/>
  <c r="J49" i="29"/>
  <c r="I49" i="29"/>
  <c r="H49" i="29"/>
  <c r="G49" i="29"/>
  <c r="F49" i="29"/>
  <c r="E49" i="29"/>
  <c r="N48" i="29"/>
  <c r="M48" i="29"/>
  <c r="L48" i="29"/>
  <c r="K48" i="29"/>
  <c r="J48" i="29"/>
  <c r="I48" i="29"/>
  <c r="A47" i="29"/>
  <c r="A44" i="29"/>
  <c r="A64"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A27" i="29"/>
  <c r="R24" i="29"/>
  <c r="H74" i="25" s="1"/>
  <c r="Q24" i="29"/>
  <c r="G74" i="25" s="1"/>
  <c r="P24" i="29"/>
  <c r="F74" i="25" s="1"/>
  <c r="O24" i="29"/>
  <c r="E74" i="25" s="1"/>
  <c r="M24" i="29"/>
  <c r="L24" i="29"/>
  <c r="K24" i="29"/>
  <c r="J24" i="29"/>
  <c r="I24" i="29"/>
  <c r="H24" i="29"/>
  <c r="G24" i="29"/>
  <c r="F24" i="29"/>
  <c r="E24" i="29"/>
  <c r="A21" i="29"/>
  <c r="A61" i="29" s="1"/>
  <c r="A19" i="29"/>
  <c r="A39" i="29" s="1"/>
  <c r="A7" i="29"/>
  <c r="A2" i="29"/>
  <c r="A1" i="29"/>
  <c r="C55" i="28"/>
  <c r="B55" i="28"/>
  <c r="A55" i="28"/>
  <c r="Q54" i="28"/>
  <c r="P54" i="28"/>
  <c r="G54" i="28"/>
  <c r="F54" i="28"/>
  <c r="E54" i="28"/>
  <c r="D54" i="28"/>
  <c r="A54" i="28"/>
  <c r="Q53" i="28"/>
  <c r="P53" i="28"/>
  <c r="C53" i="28"/>
  <c r="B53" i="28"/>
  <c r="A53" i="28"/>
  <c r="Q52" i="28"/>
  <c r="P52" i="28"/>
  <c r="C52" i="28"/>
  <c r="B52" i="28"/>
  <c r="A52" i="28"/>
  <c r="Q51" i="28"/>
  <c r="P51" i="28"/>
  <c r="G51" i="28"/>
  <c r="F51" i="28"/>
  <c r="E51" i="28"/>
  <c r="D51" i="28"/>
  <c r="C51" i="28"/>
  <c r="B51" i="28"/>
  <c r="A51" i="28"/>
  <c r="Q50" i="28"/>
  <c r="P50" i="28"/>
  <c r="G50" i="28"/>
  <c r="F50" i="28"/>
  <c r="E50" i="28"/>
  <c r="D50" i="28"/>
  <c r="C50" i="28"/>
  <c r="B50" i="28"/>
  <c r="A50" i="28"/>
  <c r="Q49" i="28"/>
  <c r="P49" i="28"/>
  <c r="G49" i="28"/>
  <c r="F49" i="28"/>
  <c r="E49" i="28"/>
  <c r="D49" i="28"/>
  <c r="C49" i="28"/>
  <c r="B49" i="28"/>
  <c r="A49" i="28"/>
  <c r="Q48" i="28"/>
  <c r="P48" i="28"/>
  <c r="G48" i="28"/>
  <c r="F48" i="28"/>
  <c r="E48" i="28"/>
  <c r="D48" i="28"/>
  <c r="C48" i="28"/>
  <c r="B48" i="28"/>
  <c r="A48" i="28"/>
  <c r="Q47" i="28"/>
  <c r="P47" i="28"/>
  <c r="G47" i="28"/>
  <c r="F47" i="28"/>
  <c r="E47" i="28"/>
  <c r="D47" i="28"/>
  <c r="C47" i="28"/>
  <c r="B47" i="28"/>
  <c r="A47" i="28"/>
  <c r="Q46" i="28"/>
  <c r="P46" i="28"/>
  <c r="G46" i="28"/>
  <c r="F46" i="28"/>
  <c r="E46" i="28"/>
  <c r="D46" i="28"/>
  <c r="C46" i="28"/>
  <c r="B46" i="28"/>
  <c r="A46" i="28"/>
  <c r="Q45" i="28"/>
  <c r="P45" i="28"/>
  <c r="G45" i="28"/>
  <c r="F45" i="28"/>
  <c r="E45" i="28"/>
  <c r="D45" i="28"/>
  <c r="C45" i="28"/>
  <c r="B45" i="28"/>
  <c r="A45" i="28"/>
  <c r="Q44" i="28"/>
  <c r="P44" i="28"/>
  <c r="G44" i="28"/>
  <c r="F44" i="28"/>
  <c r="E44" i="28"/>
  <c r="D44" i="28"/>
  <c r="C44" i="28"/>
  <c r="B44" i="28"/>
  <c r="A44" i="28"/>
  <c r="H43" i="28"/>
  <c r="G43" i="28"/>
  <c r="F43" i="28"/>
  <c r="E43" i="28"/>
  <c r="D43" i="28"/>
  <c r="C43" i="28"/>
  <c r="B43" i="28"/>
  <c r="A43" i="28"/>
  <c r="M42" i="28"/>
  <c r="L42" i="28"/>
  <c r="K42" i="28"/>
  <c r="J42" i="28"/>
  <c r="I42" i="28"/>
  <c r="H42" i="28"/>
  <c r="C42" i="28"/>
  <c r="B42" i="28"/>
  <c r="A42"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Q21" i="28"/>
  <c r="H70" i="25" s="1"/>
  <c r="P21" i="28"/>
  <c r="G70" i="25" s="1"/>
  <c r="O21" i="28"/>
  <c r="M21" i="28"/>
  <c r="D70" i="25" s="1"/>
  <c r="L21" i="28"/>
  <c r="K21" i="28"/>
  <c r="J21" i="28"/>
  <c r="I21" i="28"/>
  <c r="H21" i="28"/>
  <c r="G21" i="28"/>
  <c r="F21" i="28"/>
  <c r="E21" i="28"/>
  <c r="D21" i="28"/>
  <c r="A7" i="28"/>
  <c r="A24" i="28" s="1"/>
  <c r="A2" i="28"/>
  <c r="A1" i="28"/>
  <c r="A195" i="27"/>
  <c r="R194" i="27"/>
  <c r="Q194" i="27"/>
  <c r="P194" i="27"/>
  <c r="O194" i="27"/>
  <c r="N194" i="27"/>
  <c r="M194" i="27"/>
  <c r="L194" i="27"/>
  <c r="K194" i="27"/>
  <c r="J194" i="27"/>
  <c r="I194" i="27"/>
  <c r="H194" i="27"/>
  <c r="G194" i="27"/>
  <c r="F194" i="27"/>
  <c r="E194" i="27"/>
  <c r="D194" i="27"/>
  <c r="C194" i="27"/>
  <c r="B194" i="27"/>
  <c r="A194" i="27"/>
  <c r="R193" i="27"/>
  <c r="AB109" i="25" s="1"/>
  <c r="Q193" i="27"/>
  <c r="AA109" i="25" s="1"/>
  <c r="P193" i="27"/>
  <c r="Z109" i="25" s="1"/>
  <c r="O193" i="27"/>
  <c r="Y109" i="25" s="1"/>
  <c r="N193" i="27"/>
  <c r="X109" i="25" s="1"/>
  <c r="M193" i="27"/>
  <c r="W109" i="25" s="1"/>
  <c r="L193" i="27"/>
  <c r="K193" i="27"/>
  <c r="J193" i="27"/>
  <c r="I193" i="27"/>
  <c r="H193" i="27"/>
  <c r="G193" i="27"/>
  <c r="F193" i="27"/>
  <c r="E193" i="27"/>
  <c r="R192" i="27"/>
  <c r="Q192" i="27"/>
  <c r="P192" i="27"/>
  <c r="O192" i="27"/>
  <c r="N192" i="27"/>
  <c r="M192" i="27"/>
  <c r="R191" i="27"/>
  <c r="Q191" i="27"/>
  <c r="P191" i="27"/>
  <c r="O191" i="27"/>
  <c r="N191" i="27"/>
  <c r="M191" i="27"/>
  <c r="R190" i="27"/>
  <c r="Q190" i="27"/>
  <c r="P190" i="27"/>
  <c r="O190" i="27"/>
  <c r="N190" i="27"/>
  <c r="M190" i="27"/>
  <c r="R188" i="27"/>
  <c r="Q188" i="27"/>
  <c r="P188" i="27"/>
  <c r="O188" i="27"/>
  <c r="N188" i="27"/>
  <c r="M188" i="27"/>
  <c r="L188" i="27"/>
  <c r="K188" i="27"/>
  <c r="J188" i="27"/>
  <c r="I188" i="27"/>
  <c r="H188" i="27"/>
  <c r="G188" i="27"/>
  <c r="F188" i="27"/>
  <c r="E188" i="27"/>
  <c r="D188" i="27"/>
  <c r="C188" i="27"/>
  <c r="B188" i="27"/>
  <c r="A188" i="27"/>
  <c r="D187" i="27"/>
  <c r="C187" i="27"/>
  <c r="B187" i="27"/>
  <c r="A187" i="27"/>
  <c r="R186" i="27"/>
  <c r="Q186" i="27"/>
  <c r="P186" i="27"/>
  <c r="O186" i="27"/>
  <c r="N186" i="27"/>
  <c r="M186" i="27"/>
  <c r="L186" i="27"/>
  <c r="K186" i="27"/>
  <c r="J186" i="27"/>
  <c r="I186" i="27"/>
  <c r="H186" i="27"/>
  <c r="G186" i="27"/>
  <c r="F186" i="27"/>
  <c r="E186" i="27"/>
  <c r="D186" i="27"/>
  <c r="C186" i="27"/>
  <c r="B186" i="27"/>
  <c r="A186" i="27"/>
  <c r="R189" i="27"/>
  <c r="Q189" i="27"/>
  <c r="P189" i="27"/>
  <c r="O189" i="27"/>
  <c r="N189" i="27"/>
  <c r="M189" i="27"/>
  <c r="L189" i="27"/>
  <c r="K189" i="27"/>
  <c r="J189" i="27"/>
  <c r="I189" i="27"/>
  <c r="H189" i="27"/>
  <c r="G189" i="27"/>
  <c r="F189" i="27"/>
  <c r="E189" i="27"/>
  <c r="D189" i="27"/>
  <c r="C189" i="27"/>
  <c r="B189" i="27"/>
  <c r="A189" i="27"/>
  <c r="R185" i="27"/>
  <c r="Q185" i="27"/>
  <c r="P185" i="27"/>
  <c r="O185" i="27"/>
  <c r="N185" i="27"/>
  <c r="M185" i="27"/>
  <c r="L185" i="27"/>
  <c r="K185" i="27"/>
  <c r="J185" i="27"/>
  <c r="I185" i="27"/>
  <c r="H185" i="27"/>
  <c r="G185" i="27"/>
  <c r="F185" i="27"/>
  <c r="E185" i="27"/>
  <c r="D185" i="27"/>
  <c r="C185" i="27"/>
  <c r="B185" i="27"/>
  <c r="A185" i="27"/>
  <c r="R184" i="27"/>
  <c r="Q184" i="27"/>
  <c r="P184" i="27"/>
  <c r="O184" i="27"/>
  <c r="N184" i="27"/>
  <c r="M184" i="27"/>
  <c r="L184" i="27"/>
  <c r="K184" i="27"/>
  <c r="J184" i="27"/>
  <c r="I184" i="27"/>
  <c r="H184" i="27"/>
  <c r="G184" i="27"/>
  <c r="F184" i="27"/>
  <c r="E184" i="27"/>
  <c r="D184" i="27"/>
  <c r="C184" i="27"/>
  <c r="B184" i="27"/>
  <c r="A184" i="27"/>
  <c r="R183" i="27"/>
  <c r="Q183" i="27"/>
  <c r="P183" i="27"/>
  <c r="O183" i="27"/>
  <c r="N183" i="27"/>
  <c r="M183" i="27"/>
  <c r="L183" i="27"/>
  <c r="K183" i="27"/>
  <c r="J183" i="27"/>
  <c r="I183" i="27"/>
  <c r="H183" i="27"/>
  <c r="G183" i="27"/>
  <c r="F183" i="27"/>
  <c r="E183" i="27"/>
  <c r="D183" i="27"/>
  <c r="C183" i="27"/>
  <c r="B183" i="27"/>
  <c r="A183" i="27"/>
  <c r="R182" i="27"/>
  <c r="Q182" i="27"/>
  <c r="P182" i="27"/>
  <c r="O182" i="27"/>
  <c r="N182" i="27"/>
  <c r="M182" i="27"/>
  <c r="L182" i="27"/>
  <c r="K182" i="27"/>
  <c r="J182" i="27"/>
  <c r="I182" i="27"/>
  <c r="H182" i="27"/>
  <c r="G182" i="27"/>
  <c r="D182" i="27"/>
  <c r="C182" i="27"/>
  <c r="B182" i="27"/>
  <c r="A182" i="27"/>
  <c r="R181" i="27"/>
  <c r="Q181" i="27"/>
  <c r="P181" i="27"/>
  <c r="O181" i="27"/>
  <c r="N181" i="27"/>
  <c r="M181" i="27"/>
  <c r="D181" i="27"/>
  <c r="C181" i="27"/>
  <c r="B181" i="27"/>
  <c r="A181" i="27"/>
  <c r="R180" i="27"/>
  <c r="Q180" i="27"/>
  <c r="P180" i="27"/>
  <c r="O180" i="27"/>
  <c r="N180" i="27"/>
  <c r="M180" i="27"/>
  <c r="D180" i="27"/>
  <c r="C180" i="27"/>
  <c r="B180" i="27"/>
  <c r="A180" i="27"/>
  <c r="R179" i="27"/>
  <c r="Q179" i="27"/>
  <c r="P179" i="27"/>
  <c r="O179" i="27"/>
  <c r="N179" i="27"/>
  <c r="M179" i="27"/>
  <c r="L179" i="27"/>
  <c r="K179" i="27"/>
  <c r="J179" i="27"/>
  <c r="I179" i="27"/>
  <c r="H179" i="27"/>
  <c r="G179" i="27"/>
  <c r="F179" i="27"/>
  <c r="E179" i="27"/>
  <c r="D179" i="27"/>
  <c r="C179" i="27"/>
  <c r="B179" i="27"/>
  <c r="A179" i="27"/>
  <c r="R178" i="27"/>
  <c r="Q178" i="27"/>
  <c r="P178" i="27"/>
  <c r="O178" i="27"/>
  <c r="N178" i="27"/>
  <c r="M178" i="27"/>
  <c r="L178" i="27"/>
  <c r="K178" i="27"/>
  <c r="J178" i="27"/>
  <c r="I178" i="27"/>
  <c r="H178" i="27"/>
  <c r="G178" i="27"/>
  <c r="F178" i="27"/>
  <c r="E178" i="27"/>
  <c r="D178" i="27"/>
  <c r="C178" i="27"/>
  <c r="B178" i="27"/>
  <c r="A178" i="27"/>
  <c r="R177" i="27"/>
  <c r="Q177" i="27"/>
  <c r="P177" i="27"/>
  <c r="O177" i="27"/>
  <c r="N177" i="27"/>
  <c r="M177" i="27"/>
  <c r="L177" i="27"/>
  <c r="K177" i="27"/>
  <c r="J177" i="27"/>
  <c r="I177" i="27"/>
  <c r="H177" i="27"/>
  <c r="G177" i="27"/>
  <c r="F177" i="27"/>
  <c r="E177" i="27"/>
  <c r="D177" i="27"/>
  <c r="C177" i="27"/>
  <c r="B177" i="27"/>
  <c r="A177" i="27"/>
  <c r="R176" i="27"/>
  <c r="Q176" i="27"/>
  <c r="P176" i="27"/>
  <c r="O176" i="27"/>
  <c r="N176" i="27"/>
  <c r="M176" i="27"/>
  <c r="L176" i="27"/>
  <c r="K176" i="27"/>
  <c r="J176" i="27"/>
  <c r="I176" i="27"/>
  <c r="H176" i="27"/>
  <c r="G176" i="27"/>
  <c r="F176" i="27"/>
  <c r="E176" i="27"/>
  <c r="D176" i="27"/>
  <c r="C176" i="27"/>
  <c r="B176" i="27"/>
  <c r="A176" i="27"/>
  <c r="R175" i="27"/>
  <c r="Q175" i="27"/>
  <c r="P175" i="27"/>
  <c r="O175" i="27"/>
  <c r="N175" i="27"/>
  <c r="M175" i="27"/>
  <c r="L175" i="27"/>
  <c r="K175" i="27"/>
  <c r="J175" i="27"/>
  <c r="I175" i="27"/>
  <c r="H175" i="27"/>
  <c r="G175" i="27"/>
  <c r="F175" i="27"/>
  <c r="E175" i="27"/>
  <c r="D175" i="27"/>
  <c r="C175" i="27"/>
  <c r="B175" i="27"/>
  <c r="A175" i="27"/>
  <c r="R174" i="27"/>
  <c r="Q174" i="27"/>
  <c r="P174" i="27"/>
  <c r="O174" i="27"/>
  <c r="N174" i="27"/>
  <c r="M174" i="27"/>
  <c r="L174" i="27"/>
  <c r="K174" i="27"/>
  <c r="J174" i="27"/>
  <c r="I174" i="27"/>
  <c r="H174" i="27"/>
  <c r="G174" i="27"/>
  <c r="F174" i="27"/>
  <c r="E174" i="27"/>
  <c r="D174" i="27"/>
  <c r="C174" i="27"/>
  <c r="B174" i="27"/>
  <c r="A174" i="27"/>
  <c r="P173" i="27"/>
  <c r="O173" i="27"/>
  <c r="N173" i="27"/>
  <c r="M173" i="27"/>
  <c r="A173" i="27"/>
  <c r="R172" i="27"/>
  <c r="Q172" i="27"/>
  <c r="P172" i="27"/>
  <c r="O172" i="27"/>
  <c r="N172" i="27"/>
  <c r="M172" i="27"/>
  <c r="L172" i="27"/>
  <c r="K172" i="27"/>
  <c r="J172" i="27"/>
  <c r="I172" i="27"/>
  <c r="H172" i="27"/>
  <c r="G172" i="27"/>
  <c r="F172" i="27"/>
  <c r="E172" i="27"/>
  <c r="D172" i="27"/>
  <c r="C172" i="27"/>
  <c r="B172" i="27"/>
  <c r="A172" i="27"/>
  <c r="P171" i="27"/>
  <c r="O171" i="27"/>
  <c r="N171" i="27"/>
  <c r="M171" i="27"/>
  <c r="D171" i="27"/>
  <c r="C171" i="27"/>
  <c r="B171" i="27"/>
  <c r="A171" i="27"/>
  <c r="R170" i="27"/>
  <c r="Q170" i="27"/>
  <c r="D170" i="27"/>
  <c r="C170" i="27"/>
  <c r="B170" i="27"/>
  <c r="A170" i="27"/>
  <c r="R169" i="27"/>
  <c r="Q169" i="27"/>
  <c r="P169" i="27"/>
  <c r="O169" i="27"/>
  <c r="N169" i="27"/>
  <c r="M169" i="27"/>
  <c r="L169" i="27"/>
  <c r="K169" i="27"/>
  <c r="J169" i="27"/>
  <c r="I169" i="27"/>
  <c r="H169" i="27"/>
  <c r="G169" i="27"/>
  <c r="F169" i="27"/>
  <c r="E169" i="27"/>
  <c r="D169" i="27"/>
  <c r="C169" i="27"/>
  <c r="B169" i="27"/>
  <c r="A169" i="27"/>
  <c r="R168" i="27"/>
  <c r="Q168" i="27"/>
  <c r="P168" i="27"/>
  <c r="O168" i="27"/>
  <c r="N168" i="27"/>
  <c r="M168" i="27"/>
  <c r="L168" i="27"/>
  <c r="K168" i="27"/>
  <c r="J168" i="27"/>
  <c r="I168" i="27"/>
  <c r="H168" i="27"/>
  <c r="G168" i="27"/>
  <c r="F168" i="27"/>
  <c r="E168" i="27"/>
  <c r="D168" i="27"/>
  <c r="C168" i="27"/>
  <c r="B168" i="27"/>
  <c r="A168" i="27"/>
  <c r="R167" i="27"/>
  <c r="Q167" i="27"/>
  <c r="P167" i="27"/>
  <c r="O167" i="27"/>
  <c r="N167" i="27"/>
  <c r="M167" i="27"/>
  <c r="L167" i="27"/>
  <c r="K167" i="27"/>
  <c r="J167" i="27"/>
  <c r="I167" i="27"/>
  <c r="H167" i="27"/>
  <c r="G167" i="27"/>
  <c r="F167" i="27"/>
  <c r="E167" i="27"/>
  <c r="D167" i="27"/>
  <c r="C167" i="27"/>
  <c r="B167" i="27"/>
  <c r="A167" i="27"/>
  <c r="R166" i="27"/>
  <c r="Q166" i="27"/>
  <c r="P166" i="27"/>
  <c r="O166" i="27"/>
  <c r="N166" i="27"/>
  <c r="M166" i="27"/>
  <c r="L166" i="27"/>
  <c r="K166" i="27"/>
  <c r="J166" i="27"/>
  <c r="I166" i="27"/>
  <c r="H166" i="27"/>
  <c r="G166" i="27"/>
  <c r="F166" i="27"/>
  <c r="E166" i="27"/>
  <c r="D166" i="27"/>
  <c r="C166" i="27"/>
  <c r="B166" i="27"/>
  <c r="A166" i="27"/>
  <c r="R165" i="27"/>
  <c r="P165" i="27"/>
  <c r="O165" i="27"/>
  <c r="N165" i="27"/>
  <c r="M165" i="27"/>
  <c r="L165" i="27"/>
  <c r="K165" i="27"/>
  <c r="J165" i="27"/>
  <c r="I165" i="27"/>
  <c r="H165" i="27"/>
  <c r="G165" i="27"/>
  <c r="F165" i="27"/>
  <c r="E165" i="27"/>
  <c r="D165" i="27"/>
  <c r="C165" i="27"/>
  <c r="B165" i="27"/>
  <c r="A165" i="27"/>
  <c r="R164" i="27"/>
  <c r="P164" i="27"/>
  <c r="O164" i="27"/>
  <c r="N164" i="27"/>
  <c r="M164" i="27"/>
  <c r="L164" i="27"/>
  <c r="K164" i="27"/>
  <c r="J164" i="27"/>
  <c r="I164" i="27"/>
  <c r="H164" i="27"/>
  <c r="G164" i="27"/>
  <c r="F164" i="27"/>
  <c r="E164" i="27"/>
  <c r="D164" i="27"/>
  <c r="C164" i="27"/>
  <c r="B164" i="27"/>
  <c r="A164" i="27"/>
  <c r="R163" i="27"/>
  <c r="Q163" i="27"/>
  <c r="P163" i="27"/>
  <c r="O163" i="27"/>
  <c r="N163" i="27"/>
  <c r="M163" i="27"/>
  <c r="L163" i="27"/>
  <c r="K163" i="27"/>
  <c r="J163" i="27"/>
  <c r="I163" i="27"/>
  <c r="H163" i="27"/>
  <c r="G163" i="27"/>
  <c r="F163" i="27"/>
  <c r="E163" i="27"/>
  <c r="D163" i="27"/>
  <c r="C163" i="27"/>
  <c r="B163" i="27"/>
  <c r="A163" i="27"/>
  <c r="R162" i="27"/>
  <c r="Q162" i="27"/>
  <c r="P162" i="27"/>
  <c r="O162" i="27"/>
  <c r="N162" i="27"/>
  <c r="M162" i="27"/>
  <c r="L162" i="27"/>
  <c r="K162" i="27"/>
  <c r="J162" i="27"/>
  <c r="I162" i="27"/>
  <c r="H162" i="27"/>
  <c r="G162" i="27"/>
  <c r="F162" i="27"/>
  <c r="E162" i="27"/>
  <c r="D162" i="27"/>
  <c r="C162" i="27"/>
  <c r="B162" i="27"/>
  <c r="A162" i="27"/>
  <c r="R161" i="27"/>
  <c r="Q161" i="27"/>
  <c r="P161" i="27"/>
  <c r="O161" i="27"/>
  <c r="N161" i="27"/>
  <c r="M161" i="27"/>
  <c r="L161" i="27"/>
  <c r="K161" i="27"/>
  <c r="J161" i="27"/>
  <c r="I161" i="27"/>
  <c r="H161" i="27"/>
  <c r="G161" i="27"/>
  <c r="F161" i="27"/>
  <c r="E161" i="27"/>
  <c r="D161" i="27"/>
  <c r="C161" i="27"/>
  <c r="B161" i="27"/>
  <c r="A161" i="27"/>
  <c r="R160" i="27"/>
  <c r="Q160" i="27"/>
  <c r="P160" i="27"/>
  <c r="O160" i="27"/>
  <c r="N160" i="27"/>
  <c r="M160" i="27"/>
  <c r="L160" i="27"/>
  <c r="K160" i="27"/>
  <c r="J160" i="27"/>
  <c r="I160" i="27"/>
  <c r="H160" i="27"/>
  <c r="G160" i="27"/>
  <c r="F160" i="27"/>
  <c r="E160" i="27"/>
  <c r="D160" i="27"/>
  <c r="C160" i="27"/>
  <c r="B160" i="27"/>
  <c r="A160" i="27"/>
  <c r="R159" i="27"/>
  <c r="Q159" i="27"/>
  <c r="P159" i="27"/>
  <c r="O159" i="27"/>
  <c r="N159" i="27"/>
  <c r="M159" i="27"/>
  <c r="L159" i="27"/>
  <c r="K159" i="27"/>
  <c r="J159" i="27"/>
  <c r="I159" i="27"/>
  <c r="H159" i="27"/>
  <c r="G159" i="27"/>
  <c r="F159" i="27"/>
  <c r="E159" i="27"/>
  <c r="D159" i="27"/>
  <c r="C159" i="27"/>
  <c r="B159" i="27"/>
  <c r="A159" i="27"/>
  <c r="R158" i="27"/>
  <c r="Q158" i="27"/>
  <c r="P158" i="27"/>
  <c r="O158" i="27"/>
  <c r="N158" i="27"/>
  <c r="M158" i="27"/>
  <c r="L158" i="27"/>
  <c r="K158" i="27"/>
  <c r="J158" i="27"/>
  <c r="I158" i="27"/>
  <c r="H158" i="27"/>
  <c r="G158" i="27"/>
  <c r="F158" i="27"/>
  <c r="E158" i="27"/>
  <c r="D158" i="27"/>
  <c r="C158" i="27"/>
  <c r="B158" i="27"/>
  <c r="A158" i="27"/>
  <c r="R157" i="27"/>
  <c r="Q157" i="27"/>
  <c r="P157" i="27"/>
  <c r="O157" i="27"/>
  <c r="N157" i="27"/>
  <c r="M157" i="27"/>
  <c r="L157" i="27"/>
  <c r="K157" i="27"/>
  <c r="J157" i="27"/>
  <c r="I157" i="27"/>
  <c r="H157" i="27"/>
  <c r="G157" i="27"/>
  <c r="F157" i="27"/>
  <c r="E157" i="27"/>
  <c r="D157" i="27"/>
  <c r="C157" i="27"/>
  <c r="B157" i="27"/>
  <c r="A157" i="27"/>
  <c r="R156" i="27"/>
  <c r="Q156" i="27"/>
  <c r="P156" i="27"/>
  <c r="O156" i="27"/>
  <c r="N156" i="27"/>
  <c r="M156" i="27"/>
  <c r="L156" i="27"/>
  <c r="K156" i="27"/>
  <c r="J156" i="27"/>
  <c r="I156" i="27"/>
  <c r="H156" i="27"/>
  <c r="G156" i="27"/>
  <c r="F156" i="27"/>
  <c r="E156" i="27"/>
  <c r="D156" i="27"/>
  <c r="C156" i="27"/>
  <c r="B156" i="27"/>
  <c r="A156" i="27"/>
  <c r="R155" i="27"/>
  <c r="Q155" i="27"/>
  <c r="P155" i="27"/>
  <c r="O155" i="27"/>
  <c r="N155" i="27"/>
  <c r="M155" i="27"/>
  <c r="L155" i="27"/>
  <c r="K155" i="27"/>
  <c r="J155" i="27"/>
  <c r="I155" i="27"/>
  <c r="H155" i="27"/>
  <c r="G155" i="27"/>
  <c r="F155" i="27"/>
  <c r="E155" i="27"/>
  <c r="D155" i="27"/>
  <c r="C155" i="27"/>
  <c r="B155" i="27"/>
  <c r="A155" i="27"/>
  <c r="R154" i="27"/>
  <c r="Q154" i="27"/>
  <c r="P154" i="27"/>
  <c r="O154" i="27"/>
  <c r="N154" i="27"/>
  <c r="M154" i="27"/>
  <c r="L154" i="27"/>
  <c r="K154" i="27"/>
  <c r="J154" i="27"/>
  <c r="I154" i="27"/>
  <c r="H154" i="27"/>
  <c r="G154" i="27"/>
  <c r="F154" i="27"/>
  <c r="E154" i="27"/>
  <c r="D154" i="27"/>
  <c r="C154" i="27"/>
  <c r="B154" i="27"/>
  <c r="A154" i="27"/>
  <c r="R153" i="27"/>
  <c r="Q153" i="27"/>
  <c r="P153" i="27"/>
  <c r="O153" i="27"/>
  <c r="N153" i="27"/>
  <c r="M153" i="27"/>
  <c r="L153" i="27"/>
  <c r="K153" i="27"/>
  <c r="J153" i="27"/>
  <c r="I153" i="27"/>
  <c r="H153" i="27"/>
  <c r="G153" i="27"/>
  <c r="F153" i="27"/>
  <c r="E153" i="27"/>
  <c r="D153" i="27"/>
  <c r="C153" i="27"/>
  <c r="B153" i="27"/>
  <c r="A153" i="27"/>
  <c r="R152" i="27"/>
  <c r="Q152" i="27"/>
  <c r="P152" i="27"/>
  <c r="O152" i="27"/>
  <c r="N152" i="27"/>
  <c r="M152" i="27"/>
  <c r="L152" i="27"/>
  <c r="K152" i="27"/>
  <c r="J152" i="27"/>
  <c r="I152" i="27"/>
  <c r="H152" i="27"/>
  <c r="G152" i="27"/>
  <c r="F152" i="27"/>
  <c r="E152" i="27"/>
  <c r="D152" i="27"/>
  <c r="C152" i="27"/>
  <c r="B152" i="27"/>
  <c r="A152" i="27"/>
  <c r="R151" i="27"/>
  <c r="Q151" i="27"/>
  <c r="P151" i="27"/>
  <c r="O151" i="27"/>
  <c r="N151" i="27"/>
  <c r="M151" i="27"/>
  <c r="L151" i="27"/>
  <c r="K151" i="27"/>
  <c r="J151" i="27"/>
  <c r="I151" i="27"/>
  <c r="H151" i="27"/>
  <c r="G151" i="27"/>
  <c r="F151" i="27"/>
  <c r="E151" i="27"/>
  <c r="D151" i="27"/>
  <c r="C151" i="27"/>
  <c r="B151" i="27"/>
  <c r="A151" i="27"/>
  <c r="R150" i="27"/>
  <c r="Q150" i="27"/>
  <c r="P150" i="27"/>
  <c r="O150" i="27"/>
  <c r="N150" i="27"/>
  <c r="M150" i="27"/>
  <c r="L150" i="27"/>
  <c r="K150" i="27"/>
  <c r="J150" i="27"/>
  <c r="I150" i="27"/>
  <c r="H150" i="27"/>
  <c r="G150" i="27"/>
  <c r="F150" i="27"/>
  <c r="E150" i="27"/>
  <c r="D150" i="27"/>
  <c r="C150" i="27"/>
  <c r="B150" i="27"/>
  <c r="A150" i="27"/>
  <c r="R149" i="27"/>
  <c r="Q149" i="27"/>
  <c r="P149" i="27"/>
  <c r="O149" i="27"/>
  <c r="N149" i="27"/>
  <c r="M149" i="27"/>
  <c r="L149" i="27"/>
  <c r="K149" i="27"/>
  <c r="J149" i="27"/>
  <c r="I149" i="27"/>
  <c r="H149" i="27"/>
  <c r="G149" i="27"/>
  <c r="F149" i="27"/>
  <c r="E149" i="27"/>
  <c r="D149" i="27"/>
  <c r="C149" i="27"/>
  <c r="B149" i="27"/>
  <c r="A149" i="27"/>
  <c r="R148" i="27"/>
  <c r="Q148" i="27"/>
  <c r="P148" i="27"/>
  <c r="O148" i="27"/>
  <c r="N148" i="27"/>
  <c r="M148" i="27"/>
  <c r="L148" i="27"/>
  <c r="K148" i="27"/>
  <c r="J148" i="27"/>
  <c r="I148" i="27"/>
  <c r="H148" i="27"/>
  <c r="G148" i="27"/>
  <c r="F148" i="27"/>
  <c r="E148" i="27"/>
  <c r="D148" i="27"/>
  <c r="C148" i="27"/>
  <c r="B148" i="27"/>
  <c r="A148" i="27"/>
  <c r="R147" i="27"/>
  <c r="Q147" i="27"/>
  <c r="P147" i="27"/>
  <c r="O147" i="27"/>
  <c r="N147" i="27"/>
  <c r="M147" i="27"/>
  <c r="L147" i="27"/>
  <c r="K147" i="27"/>
  <c r="J147" i="27"/>
  <c r="I147" i="27"/>
  <c r="H147" i="27"/>
  <c r="G147" i="27"/>
  <c r="F147" i="27"/>
  <c r="E147" i="27"/>
  <c r="D147" i="27"/>
  <c r="C147" i="27"/>
  <c r="B147" i="27"/>
  <c r="A147" i="27"/>
  <c r="R146" i="27"/>
  <c r="Q146" i="27"/>
  <c r="P146" i="27"/>
  <c r="O146" i="27"/>
  <c r="N146" i="27"/>
  <c r="M146" i="27"/>
  <c r="L146" i="27"/>
  <c r="K146" i="27"/>
  <c r="J146" i="27"/>
  <c r="I146" i="27"/>
  <c r="H146" i="27"/>
  <c r="G146" i="27"/>
  <c r="F146" i="27"/>
  <c r="E146" i="27"/>
  <c r="D146" i="27"/>
  <c r="C146" i="27"/>
  <c r="B146" i="27"/>
  <c r="A146" i="27"/>
  <c r="R145" i="27"/>
  <c r="Q145" i="27"/>
  <c r="P145" i="27"/>
  <c r="O145" i="27"/>
  <c r="N145" i="27"/>
  <c r="M145" i="27"/>
  <c r="L145" i="27"/>
  <c r="K145" i="27"/>
  <c r="J145" i="27"/>
  <c r="I145" i="27"/>
  <c r="H145" i="27"/>
  <c r="G145" i="27"/>
  <c r="F145" i="27"/>
  <c r="E145" i="27"/>
  <c r="D145" i="27"/>
  <c r="C145" i="27"/>
  <c r="B145" i="27"/>
  <c r="A145" i="27"/>
  <c r="R144" i="27"/>
  <c r="Q144" i="27"/>
  <c r="P144" i="27"/>
  <c r="O144" i="27"/>
  <c r="N144" i="27"/>
  <c r="M144" i="27"/>
  <c r="L144" i="27"/>
  <c r="K144" i="27"/>
  <c r="J144" i="27"/>
  <c r="I144" i="27"/>
  <c r="H144" i="27"/>
  <c r="G144" i="27"/>
  <c r="F144" i="27"/>
  <c r="E144" i="27"/>
  <c r="D144" i="27"/>
  <c r="C144" i="27"/>
  <c r="B144" i="27"/>
  <c r="A144" i="27"/>
  <c r="R143" i="27"/>
  <c r="Q143" i="27"/>
  <c r="P143" i="27"/>
  <c r="O143" i="27"/>
  <c r="N143" i="27"/>
  <c r="M143" i="27"/>
  <c r="L143" i="27"/>
  <c r="K143" i="27"/>
  <c r="J143" i="27"/>
  <c r="I143" i="27"/>
  <c r="H143" i="27"/>
  <c r="G143" i="27"/>
  <c r="F143" i="27"/>
  <c r="E143" i="27"/>
  <c r="D143" i="27"/>
  <c r="C143" i="27"/>
  <c r="B143" i="27"/>
  <c r="A143" i="27"/>
  <c r="R142" i="27"/>
  <c r="Q142" i="27"/>
  <c r="P142" i="27"/>
  <c r="O142" i="27"/>
  <c r="N142" i="27"/>
  <c r="M142" i="27"/>
  <c r="L142" i="27"/>
  <c r="K142" i="27"/>
  <c r="J142" i="27"/>
  <c r="I142" i="27"/>
  <c r="H142" i="27"/>
  <c r="G142" i="27"/>
  <c r="F142" i="27"/>
  <c r="E142" i="27"/>
  <c r="D142" i="27"/>
  <c r="C142" i="27"/>
  <c r="B142" i="27"/>
  <c r="A142" i="27"/>
  <c r="R141" i="27"/>
  <c r="Q141" i="27"/>
  <c r="P141" i="27"/>
  <c r="O141" i="27"/>
  <c r="N141" i="27"/>
  <c r="M141" i="27"/>
  <c r="L141" i="27"/>
  <c r="K141" i="27"/>
  <c r="J141" i="27"/>
  <c r="I141" i="27"/>
  <c r="H141" i="27"/>
  <c r="G141" i="27"/>
  <c r="F141" i="27"/>
  <c r="E141" i="27"/>
  <c r="D141" i="27"/>
  <c r="C141" i="27"/>
  <c r="B141" i="27"/>
  <c r="A141" i="27"/>
  <c r="R140" i="27"/>
  <c r="Q140" i="27"/>
  <c r="P140" i="27"/>
  <c r="O140" i="27"/>
  <c r="N140" i="27"/>
  <c r="M140" i="27"/>
  <c r="L140" i="27"/>
  <c r="K140" i="27"/>
  <c r="J140" i="27"/>
  <c r="I140" i="27"/>
  <c r="H140" i="27"/>
  <c r="G140" i="27"/>
  <c r="F140" i="27"/>
  <c r="E140" i="27"/>
  <c r="D140" i="27"/>
  <c r="C140" i="27"/>
  <c r="B140" i="27"/>
  <c r="A140" i="27"/>
  <c r="R139" i="27"/>
  <c r="Q139" i="27"/>
  <c r="P139" i="27"/>
  <c r="O139" i="27"/>
  <c r="N139" i="27"/>
  <c r="M139" i="27"/>
  <c r="L139" i="27"/>
  <c r="K139" i="27"/>
  <c r="J139" i="27"/>
  <c r="I139" i="27"/>
  <c r="H139" i="27"/>
  <c r="G139" i="27"/>
  <c r="F139" i="27"/>
  <c r="E139" i="27"/>
  <c r="D139" i="27"/>
  <c r="C139" i="27"/>
  <c r="B139" i="27"/>
  <c r="A139" i="27"/>
  <c r="R138" i="27"/>
  <c r="Q138" i="27"/>
  <c r="P138" i="27"/>
  <c r="O138" i="27"/>
  <c r="N138" i="27"/>
  <c r="M138" i="27"/>
  <c r="L138" i="27"/>
  <c r="K138" i="27"/>
  <c r="J138" i="27"/>
  <c r="I138" i="27"/>
  <c r="H138" i="27"/>
  <c r="G138" i="27"/>
  <c r="F138" i="27"/>
  <c r="E138" i="27"/>
  <c r="D138" i="27"/>
  <c r="C138" i="27"/>
  <c r="B138" i="27"/>
  <c r="A138" i="27"/>
  <c r="R137" i="27"/>
  <c r="Q137" i="27"/>
  <c r="P137" i="27"/>
  <c r="O137" i="27"/>
  <c r="N137" i="27"/>
  <c r="M137" i="27"/>
  <c r="L137" i="27"/>
  <c r="K137" i="27"/>
  <c r="J137" i="27"/>
  <c r="I137" i="27"/>
  <c r="H137" i="27"/>
  <c r="G137" i="27"/>
  <c r="F137" i="27"/>
  <c r="E137" i="27"/>
  <c r="D137" i="27"/>
  <c r="C137" i="27"/>
  <c r="B137" i="27"/>
  <c r="A137" i="27"/>
  <c r="R136" i="27"/>
  <c r="Q136" i="27"/>
  <c r="P136" i="27"/>
  <c r="O136" i="27"/>
  <c r="N136" i="27"/>
  <c r="M136" i="27"/>
  <c r="L136" i="27"/>
  <c r="K136" i="27"/>
  <c r="J136" i="27"/>
  <c r="I136" i="27"/>
  <c r="H136" i="27"/>
  <c r="G136" i="27"/>
  <c r="F136" i="27"/>
  <c r="E136" i="27"/>
  <c r="D136" i="27"/>
  <c r="C136" i="27"/>
  <c r="B136" i="27"/>
  <c r="A136" i="27"/>
  <c r="L135" i="27"/>
  <c r="K135" i="27"/>
  <c r="J135" i="27"/>
  <c r="I135" i="27"/>
  <c r="A131" i="27"/>
  <c r="D130" i="27"/>
  <c r="C130" i="27"/>
  <c r="B130" i="27"/>
  <c r="A130" i="27"/>
  <c r="D128" i="27"/>
  <c r="D192" i="27" s="1"/>
  <c r="A128" i="27"/>
  <c r="A192" i="27" s="1"/>
  <c r="D127" i="27"/>
  <c r="D191" i="27" s="1"/>
  <c r="A127" i="27"/>
  <c r="A191" i="27" s="1"/>
  <c r="D126" i="27"/>
  <c r="D190" i="27" s="1"/>
  <c r="A126" i="27"/>
  <c r="A190" i="27" s="1"/>
  <c r="D124" i="27"/>
  <c r="C124" i="27"/>
  <c r="B124" i="27"/>
  <c r="A124" i="27"/>
  <c r="D123" i="27"/>
  <c r="C123" i="27"/>
  <c r="B123" i="27"/>
  <c r="A123" i="27"/>
  <c r="D122" i="27"/>
  <c r="C122" i="27"/>
  <c r="B122" i="27"/>
  <c r="A122" i="27"/>
  <c r="D125" i="27"/>
  <c r="C125" i="27"/>
  <c r="B125" i="27"/>
  <c r="A125"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P67" i="27"/>
  <c r="F69" i="25" s="1"/>
  <c r="O67" i="27"/>
  <c r="E69" i="25" s="1"/>
  <c r="M67" i="27"/>
  <c r="L67" i="27"/>
  <c r="K67" i="27"/>
  <c r="J67" i="27"/>
  <c r="I67" i="27"/>
  <c r="H67" i="27"/>
  <c r="G67" i="27"/>
  <c r="F67" i="27"/>
  <c r="E67" i="27"/>
  <c r="A6" i="27"/>
  <c r="A134" i="27" s="1"/>
  <c r="A2" i="27"/>
  <c r="A1" i="27"/>
  <c r="P69" i="26"/>
  <c r="O69" i="26"/>
  <c r="N69" i="26"/>
  <c r="M69" i="26"/>
  <c r="L69" i="26"/>
  <c r="K69" i="26"/>
  <c r="J69" i="26"/>
  <c r="I69" i="26"/>
  <c r="H69" i="26"/>
  <c r="G69" i="26"/>
  <c r="F69" i="26"/>
  <c r="E69" i="26"/>
  <c r="B69" i="26"/>
  <c r="A69" i="26"/>
  <c r="D68" i="26"/>
  <c r="C68" i="26"/>
  <c r="A68" i="26"/>
  <c r="P67" i="26"/>
  <c r="O67" i="26"/>
  <c r="N67" i="26"/>
  <c r="M67" i="26"/>
  <c r="L67" i="26"/>
  <c r="K67" i="26"/>
  <c r="J67" i="26"/>
  <c r="I67" i="26"/>
  <c r="H67" i="26"/>
  <c r="G67" i="26"/>
  <c r="F67" i="26"/>
  <c r="E67" i="26"/>
  <c r="D67" i="26"/>
  <c r="C67" i="26"/>
  <c r="A67" i="26"/>
  <c r="P66" i="26"/>
  <c r="O66" i="26"/>
  <c r="N66" i="26"/>
  <c r="M66" i="26"/>
  <c r="L66" i="26"/>
  <c r="K66" i="26"/>
  <c r="J66" i="26"/>
  <c r="I66" i="26"/>
  <c r="H66" i="26"/>
  <c r="G66" i="26"/>
  <c r="F66" i="26"/>
  <c r="E66" i="26"/>
  <c r="D66" i="26"/>
  <c r="C66" i="26"/>
  <c r="A66" i="26"/>
  <c r="P63" i="26"/>
  <c r="O63" i="26"/>
  <c r="N63" i="26"/>
  <c r="M63" i="26"/>
  <c r="L63" i="26"/>
  <c r="K63" i="26"/>
  <c r="J63" i="26"/>
  <c r="I63" i="26"/>
  <c r="H63" i="26"/>
  <c r="G63" i="26"/>
  <c r="F63" i="26"/>
  <c r="E63" i="26"/>
  <c r="D63" i="26"/>
  <c r="C63" i="26"/>
  <c r="A63" i="26"/>
  <c r="P62" i="26"/>
  <c r="O62" i="26"/>
  <c r="N62" i="26"/>
  <c r="M62" i="26"/>
  <c r="L62" i="26"/>
  <c r="K62" i="26"/>
  <c r="J62" i="26"/>
  <c r="I62" i="26"/>
  <c r="H62" i="26"/>
  <c r="G62" i="26"/>
  <c r="F62" i="26"/>
  <c r="E62" i="26"/>
  <c r="D62" i="26"/>
  <c r="C62" i="26"/>
  <c r="A62" i="26"/>
  <c r="P61" i="26"/>
  <c r="O61" i="26"/>
  <c r="N61" i="26"/>
  <c r="M61" i="26"/>
  <c r="L61" i="26"/>
  <c r="K61" i="26"/>
  <c r="J61" i="26"/>
  <c r="I61" i="26"/>
  <c r="H61" i="26"/>
  <c r="G61" i="26"/>
  <c r="F61" i="26"/>
  <c r="E61" i="26"/>
  <c r="D61" i="26"/>
  <c r="C61" i="26"/>
  <c r="A61" i="26"/>
  <c r="P60" i="26"/>
  <c r="O60" i="26"/>
  <c r="N60" i="26"/>
  <c r="M60" i="26"/>
  <c r="L60" i="26"/>
  <c r="K60" i="26"/>
  <c r="J60" i="26"/>
  <c r="I60" i="26"/>
  <c r="H60" i="26"/>
  <c r="G60" i="26"/>
  <c r="F60" i="26"/>
  <c r="E60" i="26"/>
  <c r="D60" i="26"/>
  <c r="C60" i="26"/>
  <c r="A60" i="26"/>
  <c r="P59" i="26"/>
  <c r="O59" i="26"/>
  <c r="N59" i="26"/>
  <c r="M59" i="26"/>
  <c r="L59" i="26"/>
  <c r="K59" i="26"/>
  <c r="J59" i="26"/>
  <c r="I59" i="26"/>
  <c r="H59" i="26"/>
  <c r="G59" i="26"/>
  <c r="F59" i="26"/>
  <c r="E59" i="26"/>
  <c r="D59" i="26"/>
  <c r="C59" i="26"/>
  <c r="A59" i="26"/>
  <c r="P58" i="26"/>
  <c r="O58" i="26"/>
  <c r="N58" i="26"/>
  <c r="M58" i="26"/>
  <c r="L58" i="26"/>
  <c r="K58" i="26"/>
  <c r="J58" i="26"/>
  <c r="I58" i="26"/>
  <c r="H58" i="26"/>
  <c r="G58" i="26"/>
  <c r="F58" i="26"/>
  <c r="E58" i="26"/>
  <c r="D58" i="26"/>
  <c r="C58" i="26"/>
  <c r="A58" i="26"/>
  <c r="P57" i="26"/>
  <c r="O57" i="26"/>
  <c r="N57" i="26"/>
  <c r="M57" i="26"/>
  <c r="L57" i="26"/>
  <c r="K57" i="26"/>
  <c r="J57" i="26"/>
  <c r="I57" i="26"/>
  <c r="H57" i="26"/>
  <c r="G57" i="26"/>
  <c r="F57" i="26"/>
  <c r="E57" i="26"/>
  <c r="D57" i="26"/>
  <c r="C57" i="26"/>
  <c r="A57" i="26"/>
  <c r="P56" i="26"/>
  <c r="O56" i="26"/>
  <c r="N56" i="26"/>
  <c r="M56" i="26"/>
  <c r="L56" i="26"/>
  <c r="K56" i="26"/>
  <c r="J56" i="26"/>
  <c r="I56" i="26"/>
  <c r="H56" i="26"/>
  <c r="G56" i="26"/>
  <c r="F56" i="26"/>
  <c r="E56" i="26"/>
  <c r="D56" i="26"/>
  <c r="C56" i="26"/>
  <c r="A56" i="26"/>
  <c r="P55" i="26"/>
  <c r="O55" i="26"/>
  <c r="N55" i="26"/>
  <c r="M55" i="26"/>
  <c r="L55" i="26"/>
  <c r="K55" i="26"/>
  <c r="J55" i="26"/>
  <c r="I55" i="26"/>
  <c r="H55" i="26"/>
  <c r="G55" i="26"/>
  <c r="F55" i="26"/>
  <c r="E55" i="26"/>
  <c r="D55" i="26"/>
  <c r="C55" i="26"/>
  <c r="A55" i="26"/>
  <c r="P54" i="26"/>
  <c r="O54" i="26"/>
  <c r="N54" i="26"/>
  <c r="M54" i="26"/>
  <c r="L54" i="26"/>
  <c r="K54" i="26"/>
  <c r="J54" i="26"/>
  <c r="I54" i="26"/>
  <c r="H54" i="26"/>
  <c r="G54" i="26"/>
  <c r="F54" i="26"/>
  <c r="E54" i="26"/>
  <c r="D54" i="26"/>
  <c r="C54" i="26"/>
  <c r="A54" i="26"/>
  <c r="P53" i="26"/>
  <c r="O53" i="26"/>
  <c r="N53" i="26"/>
  <c r="M53" i="26"/>
  <c r="L53" i="26"/>
  <c r="K53" i="26"/>
  <c r="J53" i="26"/>
  <c r="I53" i="26"/>
  <c r="H53" i="26"/>
  <c r="G53" i="26"/>
  <c r="F53" i="26"/>
  <c r="E53" i="26"/>
  <c r="D53" i="26"/>
  <c r="C53" i="26"/>
  <c r="A53" i="26"/>
  <c r="N52" i="26"/>
  <c r="M52" i="26"/>
  <c r="L52" i="26"/>
  <c r="K52" i="26"/>
  <c r="J52" i="26"/>
  <c r="I52" i="26"/>
  <c r="A48" i="26"/>
  <c r="A70" i="26" s="1"/>
  <c r="B47" i="26"/>
  <c r="A47" i="26"/>
  <c r="D46" i="26"/>
  <c r="C46" i="26"/>
  <c r="A46" i="26"/>
  <c r="D45" i="26"/>
  <c r="C45" i="26"/>
  <c r="A45" i="26"/>
  <c r="D44" i="26"/>
  <c r="C44" i="26"/>
  <c r="A44" i="26"/>
  <c r="D43" i="26"/>
  <c r="C43" i="26"/>
  <c r="A43" i="26"/>
  <c r="D41" i="26"/>
  <c r="C41" i="26"/>
  <c r="A41" i="26"/>
  <c r="D40" i="26"/>
  <c r="C40" i="26"/>
  <c r="A40" i="26"/>
  <c r="D39" i="26"/>
  <c r="C39" i="26"/>
  <c r="A39" i="26"/>
  <c r="D38" i="26"/>
  <c r="C38" i="26"/>
  <c r="A38" i="26"/>
  <c r="D37" i="26"/>
  <c r="C37" i="26"/>
  <c r="A37" i="26"/>
  <c r="D36" i="26"/>
  <c r="C36" i="26"/>
  <c r="A36" i="26"/>
  <c r="D35" i="26"/>
  <c r="C35" i="26"/>
  <c r="A35" i="26"/>
  <c r="D34" i="26"/>
  <c r="C34" i="26"/>
  <c r="A34" i="26"/>
  <c r="D33" i="26"/>
  <c r="C33" i="26"/>
  <c r="A33" i="26"/>
  <c r="D32" i="26"/>
  <c r="C32" i="26"/>
  <c r="A32" i="26"/>
  <c r="D31" i="26"/>
  <c r="C31" i="26"/>
  <c r="A31" i="26"/>
  <c r="N30" i="26"/>
  <c r="M30" i="26"/>
  <c r="L30" i="26"/>
  <c r="K30" i="26"/>
  <c r="J30" i="26"/>
  <c r="I30" i="26"/>
  <c r="R26" i="26"/>
  <c r="H72" i="25" s="1"/>
  <c r="Q26" i="26"/>
  <c r="G72" i="25" s="1"/>
  <c r="P26" i="26"/>
  <c r="F72" i="25" s="1"/>
  <c r="O26" i="26"/>
  <c r="E72" i="25" s="1"/>
  <c r="M26" i="26"/>
  <c r="C72" i="25" s="1"/>
  <c r="L26" i="26"/>
  <c r="L27" i="26" s="1"/>
  <c r="K26" i="26"/>
  <c r="J26" i="26"/>
  <c r="J27" i="26" s="1"/>
  <c r="I26" i="26"/>
  <c r="I27" i="26" s="1"/>
  <c r="H26" i="26"/>
  <c r="H27" i="26" s="1"/>
  <c r="G26" i="26"/>
  <c r="G27" i="26" s="1"/>
  <c r="F26" i="26"/>
  <c r="F27" i="26" s="1"/>
  <c r="E26" i="26"/>
  <c r="E27" i="26" s="1"/>
  <c r="A7" i="26"/>
  <c r="A29" i="26" s="1"/>
  <c r="A51" i="26" s="1"/>
  <c r="A2" i="26"/>
  <c r="A1" i="26"/>
  <c r="D287" i="25"/>
  <c r="C287" i="25"/>
  <c r="D286" i="25"/>
  <c r="C286" i="25"/>
  <c r="D285" i="25"/>
  <c r="C285" i="25"/>
  <c r="X284" i="25"/>
  <c r="W284" i="25"/>
  <c r="D284" i="25"/>
  <c r="C284" i="25"/>
  <c r="W281" i="25"/>
  <c r="W242" i="25"/>
  <c r="E210" i="25"/>
  <c r="D210" i="25"/>
  <c r="C210" i="25"/>
  <c r="E209" i="25"/>
  <c r="D209" i="25"/>
  <c r="C209" i="25"/>
  <c r="H208" i="25"/>
  <c r="G208" i="25"/>
  <c r="E208" i="25"/>
  <c r="D208" i="25"/>
  <c r="C208" i="25"/>
  <c r="H207" i="25"/>
  <c r="G207" i="25"/>
  <c r="E207" i="25"/>
  <c r="D207" i="25"/>
  <c r="C207" i="25"/>
  <c r="W204" i="25"/>
  <c r="B147" i="25"/>
  <c r="H141" i="25"/>
  <c r="G141" i="25"/>
  <c r="D141" i="25"/>
  <c r="C141" i="25"/>
  <c r="H140" i="25"/>
  <c r="G140" i="25"/>
  <c r="D140" i="25"/>
  <c r="C140" i="25"/>
  <c r="H139" i="25"/>
  <c r="G139" i="25"/>
  <c r="D139" i="25"/>
  <c r="C139" i="25"/>
  <c r="H138" i="25"/>
  <c r="G138" i="25"/>
  <c r="D138" i="25"/>
  <c r="C138" i="25"/>
  <c r="B100" i="25"/>
  <c r="B2" i="25"/>
  <c r="B1" i="25"/>
  <c r="J285" i="25"/>
  <c r="J287" i="25"/>
  <c r="J289" i="25"/>
  <c r="I289" i="25"/>
  <c r="J286" i="25"/>
  <c r="I286" i="25"/>
  <c r="I287" i="25"/>
  <c r="J290" i="25"/>
  <c r="I290" i="25"/>
  <c r="I285" i="25"/>
  <c r="S26" i="7"/>
  <c r="V67" i="7" s="1"/>
  <c r="S23" i="3"/>
  <c r="AS42" i="2" s="1"/>
  <c r="S45" i="3"/>
  <c r="AS43" i="2" s="1"/>
  <c r="AT29" i="2"/>
  <c r="B38" i="20"/>
  <c r="B61" i="20"/>
  <c r="S51" i="3"/>
  <c r="S59" i="3"/>
  <c r="AS46" i="2" s="1"/>
  <c r="B102" i="2"/>
  <c r="B103" i="2"/>
  <c r="B104" i="2"/>
  <c r="B105" i="2"/>
  <c r="B106" i="2"/>
  <c r="B107" i="2"/>
  <c r="B109" i="2"/>
  <c r="B110" i="2"/>
  <c r="B111" i="2"/>
  <c r="B112" i="2"/>
  <c r="B113" i="2"/>
  <c r="B114" i="2"/>
  <c r="B115" i="2"/>
  <c r="B116" i="2"/>
  <c r="R51" i="3"/>
  <c r="R59" i="3"/>
  <c r="AR46" i="2" s="1"/>
  <c r="R35" i="6"/>
  <c r="R45" i="3"/>
  <c r="R23" i="3"/>
  <c r="AS29" i="2"/>
  <c r="R23" i="4"/>
  <c r="Q26" i="7"/>
  <c r="R26" i="7"/>
  <c r="AS266" i="2"/>
  <c r="AT266" i="2"/>
  <c r="AU266" i="2"/>
  <c r="AV266" i="2"/>
  <c r="AW266" i="2"/>
  <c r="AR266" i="2"/>
  <c r="BI244" i="2"/>
  <c r="BI245" i="2"/>
  <c r="I123" i="2"/>
  <c r="J123" i="2"/>
  <c r="K123" i="2"/>
  <c r="L123" i="2"/>
  <c r="M123" i="2"/>
  <c r="N123" i="2"/>
  <c r="O123" i="2"/>
  <c r="P123" i="2"/>
  <c r="Q123" i="2"/>
  <c r="R123" i="2"/>
  <c r="S123" i="2"/>
  <c r="T123" i="2"/>
  <c r="U123" i="2"/>
  <c r="AR29" i="2"/>
  <c r="Q45" i="3"/>
  <c r="Q23" i="3"/>
  <c r="Q51" i="3"/>
  <c r="AQ47" i="2" s="1"/>
  <c r="Q59" i="3"/>
  <c r="AQ46" i="2" s="1"/>
  <c r="S28" i="4"/>
  <c r="T28" i="4"/>
  <c r="U28" i="4"/>
  <c r="V28" i="4"/>
  <c r="S59" i="20"/>
  <c r="T59" i="20"/>
  <c r="U59" i="20"/>
  <c r="V59" i="20"/>
  <c r="S36" i="20"/>
  <c r="T36" i="20"/>
  <c r="U36" i="20"/>
  <c r="V36" i="20"/>
  <c r="S37" i="7"/>
  <c r="S59" i="7" s="1"/>
  <c r="T37" i="7"/>
  <c r="T59" i="7" s="1"/>
  <c r="U37" i="7"/>
  <c r="U59" i="7" s="1"/>
  <c r="V37" i="7"/>
  <c r="V59" i="7" s="1"/>
  <c r="Q35" i="6"/>
  <c r="Q20" i="5"/>
  <c r="Q23" i="4"/>
  <c r="AQ119" i="2" s="1"/>
  <c r="P45" i="3"/>
  <c r="AP43" i="2" s="1"/>
  <c r="AP266" i="2"/>
  <c r="AQ266" i="2"/>
  <c r="P35" i="6"/>
  <c r="P20" i="5"/>
  <c r="P23" i="4"/>
  <c r="AP119" i="2" s="1"/>
  <c r="P51" i="3"/>
  <c r="AP47" i="2" s="1"/>
  <c r="P59" i="3"/>
  <c r="AP46" i="2" s="1"/>
  <c r="P23" i="3"/>
  <c r="AP42" i="2" s="1"/>
  <c r="P26" i="7"/>
  <c r="P46" i="7" s="1"/>
  <c r="AK267" i="2"/>
  <c r="AD243" i="2"/>
  <c r="AE243" i="2"/>
  <c r="AF243" i="2"/>
  <c r="AG243" i="2"/>
  <c r="O16" i="7"/>
  <c r="O45" i="3"/>
  <c r="D35" i="6"/>
  <c r="E35" i="6"/>
  <c r="F35" i="6"/>
  <c r="G35" i="6"/>
  <c r="H35" i="6"/>
  <c r="H37" i="6" s="1"/>
  <c r="I35" i="6"/>
  <c r="J35" i="6"/>
  <c r="J37" i="6" s="1"/>
  <c r="K35" i="6"/>
  <c r="K37" i="6" s="1"/>
  <c r="L35" i="6"/>
  <c r="M35" i="6"/>
  <c r="N35" i="6"/>
  <c r="O35" i="6"/>
  <c r="C35" i="6"/>
  <c r="O20" i="5"/>
  <c r="O23" i="4"/>
  <c r="AO119" i="2" s="1"/>
  <c r="O51" i="3"/>
  <c r="O59" i="3"/>
  <c r="O23" i="3"/>
  <c r="AO42" i="2" s="1"/>
  <c r="N26" i="7"/>
  <c r="N46" i="7" s="1"/>
  <c r="AC268" i="2"/>
  <c r="AB268" i="2"/>
  <c r="AA268" i="2"/>
  <c r="Z268" i="2"/>
  <c r="Y268" i="2"/>
  <c r="X268" i="2"/>
  <c r="W268" i="2"/>
  <c r="V268" i="2"/>
  <c r="U268" i="2"/>
  <c r="T268" i="2"/>
  <c r="S268" i="2"/>
  <c r="R268" i="2"/>
  <c r="Q268" i="2"/>
  <c r="P268" i="2"/>
  <c r="M268" i="2"/>
  <c r="L268" i="2"/>
  <c r="K268" i="2"/>
  <c r="J268" i="2"/>
  <c r="I268" i="2"/>
  <c r="H268" i="2"/>
  <c r="G268" i="2"/>
  <c r="F268" i="2"/>
  <c r="AC243" i="2"/>
  <c r="AB243" i="2"/>
  <c r="AA243" i="2"/>
  <c r="Z243" i="2"/>
  <c r="Y243" i="2"/>
  <c r="X243" i="2"/>
  <c r="W243" i="2"/>
  <c r="V243" i="2"/>
  <c r="U243" i="2"/>
  <c r="T243" i="2"/>
  <c r="S243" i="2"/>
  <c r="R243" i="2"/>
  <c r="Q243" i="2"/>
  <c r="P243" i="2"/>
  <c r="O243" i="2"/>
  <c r="M243" i="2"/>
  <c r="L243" i="2"/>
  <c r="K243" i="2"/>
  <c r="J243" i="2"/>
  <c r="I243" i="2"/>
  <c r="H243" i="2"/>
  <c r="G243" i="2"/>
  <c r="F243" i="2"/>
  <c r="G59" i="20"/>
  <c r="H59" i="20"/>
  <c r="I59" i="20"/>
  <c r="J59" i="20"/>
  <c r="K59" i="20"/>
  <c r="L59" i="20"/>
  <c r="M59" i="20"/>
  <c r="N59" i="20"/>
  <c r="O59" i="20"/>
  <c r="P59" i="20"/>
  <c r="Q59" i="20"/>
  <c r="R59" i="20"/>
  <c r="G36" i="20"/>
  <c r="H36" i="20"/>
  <c r="I36" i="20"/>
  <c r="J36" i="20"/>
  <c r="K36" i="20"/>
  <c r="L36" i="20"/>
  <c r="M36" i="20"/>
  <c r="N36" i="20"/>
  <c r="O36" i="20"/>
  <c r="P36" i="20"/>
  <c r="Q36" i="20"/>
  <c r="R36" i="20"/>
  <c r="O37" i="7"/>
  <c r="O59" i="7" s="1"/>
  <c r="P37" i="7"/>
  <c r="P59" i="7" s="1"/>
  <c r="Q37" i="7"/>
  <c r="Q59" i="7" s="1"/>
  <c r="R37" i="7"/>
  <c r="R59" i="7" s="1"/>
  <c r="O28" i="4"/>
  <c r="P28" i="4"/>
  <c r="Q28" i="4"/>
  <c r="R28" i="4"/>
  <c r="N51" i="3"/>
  <c r="N59" i="3"/>
  <c r="AN46" i="2" s="1"/>
  <c r="AO266" i="2"/>
  <c r="AN266" i="2"/>
  <c r="L28" i="4"/>
  <c r="M28" i="4"/>
  <c r="N28" i="4"/>
  <c r="K28" i="4"/>
  <c r="M23" i="3"/>
  <c r="I26" i="7"/>
  <c r="L16" i="7"/>
  <c r="E26" i="7"/>
  <c r="D26" i="7"/>
  <c r="H26" i="7"/>
  <c r="J26" i="7"/>
  <c r="A184" i="2"/>
  <c r="A185" i="2"/>
  <c r="A186" i="2"/>
  <c r="A189" i="2"/>
  <c r="A191" i="2"/>
  <c r="A192" i="2"/>
  <c r="A193" i="2"/>
  <c r="A196" i="2"/>
  <c r="A198" i="2"/>
  <c r="A131" i="2"/>
  <c r="A132" i="2"/>
  <c r="A133" i="2"/>
  <c r="A134" i="2"/>
  <c r="A135" i="2"/>
  <c r="A136" i="2"/>
  <c r="A137" i="2"/>
  <c r="A138" i="2"/>
  <c r="A139" i="2"/>
  <c r="A140" i="2"/>
  <c r="A141" i="2"/>
  <c r="A142" i="2"/>
  <c r="A143" i="2"/>
  <c r="AN29" i="2"/>
  <c r="AO29" i="2"/>
  <c r="AP29" i="2"/>
  <c r="AQ29" i="2"/>
  <c r="M59" i="3"/>
  <c r="AM46" i="2" s="1"/>
  <c r="M51" i="3"/>
  <c r="AM47" i="2" s="1"/>
  <c r="I20" i="5"/>
  <c r="AM29" i="2"/>
  <c r="L59" i="3"/>
  <c r="L51" i="3"/>
  <c r="L23" i="3"/>
  <c r="C26" i="7"/>
  <c r="F26" i="7"/>
  <c r="G26" i="7"/>
  <c r="F49" i="2"/>
  <c r="G49" i="2"/>
  <c r="H49" i="2"/>
  <c r="I49" i="2"/>
  <c r="J49" i="2"/>
  <c r="K49" i="2"/>
  <c r="L49" i="2"/>
  <c r="M49" i="2"/>
  <c r="N49" i="2"/>
  <c r="O49" i="2"/>
  <c r="P49" i="2"/>
  <c r="Q49" i="2"/>
  <c r="R49" i="2"/>
  <c r="S49" i="2"/>
  <c r="T49" i="2"/>
  <c r="U49" i="2"/>
  <c r="V49" i="2"/>
  <c r="W49" i="2"/>
  <c r="X49" i="2"/>
  <c r="Y49" i="2"/>
  <c r="Z49" i="2"/>
  <c r="AA49" i="2"/>
  <c r="AB49" i="2"/>
  <c r="C23" i="3"/>
  <c r="C59" i="3"/>
  <c r="AC46" i="2" s="1"/>
  <c r="D23" i="3"/>
  <c r="D59" i="3"/>
  <c r="AD46" i="2" s="1"/>
  <c r="E23" i="3"/>
  <c r="AE42" i="2" s="1"/>
  <c r="AE38" i="2" s="1"/>
  <c r="E59" i="3"/>
  <c r="AE46" i="2" s="1"/>
  <c r="F23" i="3"/>
  <c r="F59" i="3"/>
  <c r="G23" i="3"/>
  <c r="G59" i="3"/>
  <c r="AG46" i="2" s="1"/>
  <c r="H23" i="3"/>
  <c r="AH42" i="2" s="1"/>
  <c r="H59" i="3"/>
  <c r="AH46" i="2" s="1"/>
  <c r="I23" i="3"/>
  <c r="I59" i="3"/>
  <c r="J23" i="3"/>
  <c r="J59" i="3"/>
  <c r="AJ46" i="2" s="1"/>
  <c r="K23" i="3"/>
  <c r="AK42" i="2" s="1"/>
  <c r="K59" i="3"/>
  <c r="AK46" i="2" s="1"/>
  <c r="F50" i="2"/>
  <c r="G50" i="2"/>
  <c r="H50" i="2"/>
  <c r="I50" i="2"/>
  <c r="J50" i="2"/>
  <c r="K50" i="2"/>
  <c r="L50" i="2"/>
  <c r="M50" i="2"/>
  <c r="N50" i="2"/>
  <c r="O50" i="2"/>
  <c r="P50" i="2"/>
  <c r="Q50" i="2"/>
  <c r="R50" i="2"/>
  <c r="S50" i="2"/>
  <c r="T50" i="2"/>
  <c r="U50" i="2"/>
  <c r="V50" i="2"/>
  <c r="W50" i="2"/>
  <c r="X50" i="2"/>
  <c r="Y50" i="2"/>
  <c r="Z50" i="2"/>
  <c r="AA50" i="2"/>
  <c r="AB50" i="2"/>
  <c r="C45" i="3"/>
  <c r="C51" i="3"/>
  <c r="D45" i="3"/>
  <c r="D51" i="3"/>
  <c r="AD47" i="2" s="1"/>
  <c r="E45" i="3"/>
  <c r="E51" i="3"/>
  <c r="AE47" i="2" s="1"/>
  <c r="F45" i="3"/>
  <c r="F51" i="3"/>
  <c r="AF47" i="2" s="1"/>
  <c r="G45" i="3"/>
  <c r="G46" i="3" s="1"/>
  <c r="G51" i="3"/>
  <c r="H45" i="3"/>
  <c r="AH43" i="2" s="1"/>
  <c r="H51" i="3"/>
  <c r="I45" i="3"/>
  <c r="I46" i="3" s="1"/>
  <c r="I51" i="3"/>
  <c r="AI47" i="2" s="1"/>
  <c r="J45" i="3"/>
  <c r="J51" i="3"/>
  <c r="J52" i="3" s="1"/>
  <c r="K51" i="3"/>
  <c r="AK47" i="2" s="1"/>
  <c r="E50" i="2"/>
  <c r="E49" i="2"/>
  <c r="G44" i="4"/>
  <c r="G23" i="4"/>
  <c r="G20" i="5"/>
  <c r="AL29" i="2"/>
  <c r="BI237" i="2"/>
  <c r="BI238" i="2"/>
  <c r="BI239" i="2"/>
  <c r="BI240" i="2"/>
  <c r="BI241" i="2"/>
  <c r="BI242" i="2"/>
  <c r="J20" i="5"/>
  <c r="J44" i="4"/>
  <c r="AJ120" i="2" s="1"/>
  <c r="I44" i="4"/>
  <c r="AI120" i="2" s="1"/>
  <c r="H44" i="4"/>
  <c r="J23" i="4"/>
  <c r="AJ119" i="2" s="1"/>
  <c r="I23" i="4"/>
  <c r="AI119" i="2" s="1"/>
  <c r="H23" i="4"/>
  <c r="C20" i="5"/>
  <c r="D20" i="5"/>
  <c r="E20" i="5"/>
  <c r="F20" i="5"/>
  <c r="H20" i="5"/>
  <c r="V34" i="2"/>
  <c r="V35" i="2"/>
  <c r="AK29" i="2"/>
  <c r="F23" i="4"/>
  <c r="AF119" i="2" s="1"/>
  <c r="E23" i="4"/>
  <c r="AE119" i="2" s="1"/>
  <c r="AE123" i="2" s="1"/>
  <c r="D23" i="4"/>
  <c r="AD119" i="2" s="1"/>
  <c r="C23" i="4"/>
  <c r="F44" i="4"/>
  <c r="E44" i="4"/>
  <c r="D44" i="4"/>
  <c r="AD120" i="2" s="1"/>
  <c r="AD122" i="2" s="1"/>
  <c r="AE31" i="2" s="1"/>
  <c r="C44" i="4"/>
  <c r="B43" i="4"/>
  <c r="B42" i="4"/>
  <c r="B41" i="4"/>
  <c r="B40" i="4"/>
  <c r="B39" i="4"/>
  <c r="B38" i="4"/>
  <c r="B37" i="4"/>
  <c r="B36" i="4"/>
  <c r="B34" i="4"/>
  <c r="B33" i="4"/>
  <c r="B32" i="4"/>
  <c r="B31" i="4"/>
  <c r="B30" i="4"/>
  <c r="B29" i="4"/>
  <c r="T267" i="2"/>
  <c r="S267" i="2"/>
  <c r="AJ29" i="2"/>
  <c r="AB267" i="2"/>
  <c r="AC267" i="2"/>
  <c r="B66" i="20"/>
  <c r="B43" i="20"/>
  <c r="AI29" i="2"/>
  <c r="S253" i="2"/>
  <c r="S254" i="2"/>
  <c r="T255" i="2"/>
  <c r="G65" i="20"/>
  <c r="G69" i="20"/>
  <c r="G46" i="20"/>
  <c r="G42" i="20"/>
  <c r="AH29" i="2"/>
  <c r="F39" i="20"/>
  <c r="H203" i="2"/>
  <c r="K209" i="2"/>
  <c r="S255" i="2"/>
  <c r="S256" i="2"/>
  <c r="AA267" i="2"/>
  <c r="Z267" i="2"/>
  <c r="S251" i="2"/>
  <c r="S252" i="2"/>
  <c r="J234" i="2"/>
  <c r="K234" i="2" s="1"/>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B44" i="2"/>
  <c r="G44" i="2"/>
  <c r="AG29" i="2"/>
  <c r="B45" i="20"/>
  <c r="B40" i="20"/>
  <c r="M209" i="2"/>
  <c r="B60" i="7"/>
  <c r="B38" i="7"/>
  <c r="AF29" i="2"/>
  <c r="B78" i="20"/>
  <c r="B63" i="20"/>
  <c r="B64" i="20"/>
  <c r="B65" i="20"/>
  <c r="B67" i="20"/>
  <c r="B68" i="20"/>
  <c r="B69" i="20"/>
  <c r="B70" i="20"/>
  <c r="B71" i="20"/>
  <c r="B72" i="20"/>
  <c r="B75" i="20"/>
  <c r="B77" i="20"/>
  <c r="B56" i="20"/>
  <c r="B41" i="20"/>
  <c r="B42" i="20"/>
  <c r="B44" i="20"/>
  <c r="B46" i="20"/>
  <c r="B47" i="20"/>
  <c r="B48" i="20"/>
  <c r="B49" i="20"/>
  <c r="B52" i="20"/>
  <c r="B54" i="20"/>
  <c r="B55" i="20"/>
  <c r="B62" i="20"/>
  <c r="B39" i="20"/>
  <c r="B79" i="20"/>
  <c r="B2" i="20"/>
  <c r="AE29" i="2"/>
  <c r="Y39" i="2"/>
  <c r="Z39" i="2"/>
  <c r="AA38" i="2"/>
  <c r="AA39" i="2"/>
  <c r="B78" i="7"/>
  <c r="B61" i="7"/>
  <c r="B56" i="7"/>
  <c r="B46" i="7"/>
  <c r="B41" i="7"/>
  <c r="B40" i="7"/>
  <c r="B39" i="7"/>
  <c r="B2" i="7"/>
  <c r="B2" i="6"/>
  <c r="B2" i="5"/>
  <c r="K122" i="2"/>
  <c r="B2" i="4"/>
  <c r="B44" i="3"/>
  <c r="A39" i="2" s="1"/>
  <c r="B43" i="3"/>
  <c r="A38" i="2" s="1"/>
  <c r="B42" i="3"/>
  <c r="A37" i="2" s="1"/>
  <c r="B41" i="3"/>
  <c r="A36" i="2" s="1"/>
  <c r="B40" i="3"/>
  <c r="A35" i="2" s="1"/>
  <c r="B39" i="3"/>
  <c r="A34" i="2" s="1"/>
  <c r="B38" i="3"/>
  <c r="A33" i="2" s="1"/>
  <c r="B37" i="3"/>
  <c r="A32" i="2" s="1"/>
  <c r="B36" i="3"/>
  <c r="A31" i="2" s="1"/>
  <c r="B35" i="3"/>
  <c r="A30" i="2" s="1"/>
  <c r="B34" i="3"/>
  <c r="A29" i="2" s="1"/>
  <c r="B33" i="3"/>
  <c r="A28" i="2" s="1"/>
  <c r="B32" i="3"/>
  <c r="A27" i="2" s="1"/>
  <c r="B31" i="3"/>
  <c r="A26" i="2" s="1"/>
  <c r="B30" i="3"/>
  <c r="A25" i="2" s="1"/>
  <c r="B2" i="3"/>
  <c r="Y267" i="2"/>
  <c r="X267" i="2"/>
  <c r="W267" i="2"/>
  <c r="V267" i="2"/>
  <c r="U267" i="2"/>
  <c r="Q267" i="2"/>
  <c r="P267" i="2"/>
  <c r="R267" i="2"/>
  <c r="M267" i="2"/>
  <c r="L267" i="2"/>
  <c r="K267" i="2"/>
  <c r="J267" i="2"/>
  <c r="I267" i="2"/>
  <c r="H267" i="2"/>
  <c r="G267" i="2"/>
  <c r="F267" i="2"/>
  <c r="W254" i="2"/>
  <c r="W255" i="2"/>
  <c r="W256" i="2"/>
  <c r="X254" i="2"/>
  <c r="X255" i="2"/>
  <c r="X256" i="2"/>
  <c r="V254" i="2"/>
  <c r="V255" i="2"/>
  <c r="V256" i="2"/>
  <c r="U254" i="2"/>
  <c r="U255" i="2"/>
  <c r="U256" i="2"/>
  <c r="T254" i="2"/>
  <c r="T256" i="2"/>
  <c r="W251" i="2"/>
  <c r="W252" i="2"/>
  <c r="W253" i="2"/>
  <c r="X251" i="2"/>
  <c r="X252" i="2"/>
  <c r="X253" i="2"/>
  <c r="V251" i="2"/>
  <c r="V252" i="2"/>
  <c r="V253" i="2"/>
  <c r="U251" i="2"/>
  <c r="U252" i="2"/>
  <c r="U253" i="2"/>
  <c r="T251" i="2"/>
  <c r="T252" i="2"/>
  <c r="T253" i="2"/>
  <c r="V209" i="2"/>
  <c r="R209" i="2"/>
  <c r="AA44" i="2"/>
  <c r="Z44" i="2"/>
  <c r="Y44" i="2"/>
  <c r="X44" i="2"/>
  <c r="V44" i="2"/>
  <c r="U44" i="2"/>
  <c r="T44" i="2"/>
  <c r="S44" i="2"/>
  <c r="Q44" i="2"/>
  <c r="P44" i="2"/>
  <c r="O44" i="2"/>
  <c r="M44" i="2"/>
  <c r="L44" i="2"/>
  <c r="K44" i="2"/>
  <c r="I44" i="2"/>
  <c r="H44" i="2"/>
  <c r="F44" i="2"/>
  <c r="E44" i="2"/>
  <c r="Z34" i="2"/>
  <c r="Y34" i="2"/>
  <c r="AC30" i="2"/>
  <c r="AA30" i="2"/>
  <c r="Z30" i="2"/>
  <c r="W30" i="2"/>
  <c r="AD29" i="2"/>
  <c r="AC29" i="2"/>
  <c r="AB29" i="2"/>
  <c r="AA29" i="2"/>
  <c r="Z29" i="2"/>
  <c r="Y29" i="2"/>
  <c r="X29" i="2"/>
  <c r="W29" i="2"/>
  <c r="V29" i="2"/>
  <c r="Y122" i="2"/>
  <c r="Z31" i="2" s="1"/>
  <c r="AB121" i="2"/>
  <c r="K121" i="2"/>
  <c r="T122" i="2"/>
  <c r="O121" i="2"/>
  <c r="N121" i="2"/>
  <c r="P122" i="2"/>
  <c r="X122" i="2"/>
  <c r="Y31" i="2" s="1"/>
  <c r="Z38" i="2"/>
  <c r="AA123" i="2"/>
  <c r="J122" i="2"/>
  <c r="N73" i="2"/>
  <c r="AB122" i="2"/>
  <c r="AC31" i="2" s="1"/>
  <c r="M122" i="2"/>
  <c r="R122" i="2"/>
  <c r="W121" i="2"/>
  <c r="S122" i="2"/>
  <c r="J209" i="2"/>
  <c r="O209" i="2"/>
  <c r="G203" i="2"/>
  <c r="T209" i="2"/>
  <c r="I203" i="2"/>
  <c r="AA209" i="2"/>
  <c r="U209" i="2"/>
  <c r="Q209" i="2"/>
  <c r="X209" i="2"/>
  <c r="K73" i="2"/>
  <c r="M73" i="2"/>
  <c r="L73" i="2"/>
  <c r="F203" i="2"/>
  <c r="N209" i="2"/>
  <c r="R121" i="2"/>
  <c r="AF107" i="2"/>
  <c r="W122" i="2"/>
  <c r="X31" i="2" s="1"/>
  <c r="AD108" i="2"/>
  <c r="W123" i="2"/>
  <c r="I122" i="2"/>
  <c r="P121" i="2"/>
  <c r="AA122" i="2"/>
  <c r="AB31" i="2" s="1"/>
  <c r="AG108" i="2"/>
  <c r="AA121" i="2"/>
  <c r="L121" i="2"/>
  <c r="Z121" i="2"/>
  <c r="AB123" i="2"/>
  <c r="U121" i="2"/>
  <c r="AG107" i="2"/>
  <c r="G121" i="2"/>
  <c r="I121" i="2"/>
  <c r="AC107" i="2"/>
  <c r="AD107" i="2"/>
  <c r="Z123" i="2"/>
  <c r="V123" i="2"/>
  <c r="M121" i="2"/>
  <c r="S121" i="2"/>
  <c r="F121" i="2"/>
  <c r="Y30" i="2"/>
  <c r="Y209" i="2"/>
  <c r="X35" i="2"/>
  <c r="X34" i="2"/>
  <c r="L122" i="2"/>
  <c r="AB108" i="2"/>
  <c r="AA35" i="2"/>
  <c r="J121" i="2"/>
  <c r="V121" i="2"/>
  <c r="AE108" i="2"/>
  <c r="Z122" i="2"/>
  <c r="AA31" i="2" s="1"/>
  <c r="Q122" i="2"/>
  <c r="Y121" i="2"/>
  <c r="E121" i="2"/>
  <c r="O122" i="2"/>
  <c r="AB107" i="2"/>
  <c r="V30" i="2"/>
  <c r="Y35" i="2"/>
  <c r="J44" i="2"/>
  <c r="N44" i="2"/>
  <c r="R44" i="2"/>
  <c r="J73" i="2"/>
  <c r="P209" i="2"/>
  <c r="AB209" i="2"/>
  <c r="W209" i="2"/>
  <c r="S209" i="2"/>
  <c r="U122" i="2"/>
  <c r="V31" i="2" s="1"/>
  <c r="H121" i="2"/>
  <c r="Y123" i="2"/>
  <c r="T121" i="2"/>
  <c r="X123" i="2"/>
  <c r="W34" i="2"/>
  <c r="Z35" i="2"/>
  <c r="W44" i="2"/>
  <c r="AB39" i="2"/>
  <c r="L209" i="2"/>
  <c r="AC108" i="2"/>
  <c r="AE107" i="2"/>
  <c r="X30" i="2"/>
  <c r="AB30" i="2"/>
  <c r="W35" i="2"/>
  <c r="AA34" i="2"/>
  <c r="AB38" i="2"/>
  <c r="Q121" i="2"/>
  <c r="V122" i="2"/>
  <c r="W31" i="2" s="1"/>
  <c r="I73" i="2"/>
  <c r="AF108" i="2"/>
  <c r="N122" i="2"/>
  <c r="X121" i="2"/>
  <c r="Z209" i="2"/>
  <c r="J203" i="2"/>
  <c r="C38" i="20"/>
  <c r="I41" i="20"/>
  <c r="I40" i="20"/>
  <c r="C41" i="20"/>
  <c r="Y253" i="2"/>
  <c r="I47" i="20"/>
  <c r="I55" i="20"/>
  <c r="I45" i="20"/>
  <c r="AF268" i="2"/>
  <c r="L45" i="20"/>
  <c r="AG268" i="2"/>
  <c r="AE267" i="2"/>
  <c r="Z254" i="2"/>
  <c r="Y254" i="2"/>
  <c r="Y252" i="2"/>
  <c r="AF267" i="2"/>
  <c r="AG267" i="2"/>
  <c r="Y251" i="2"/>
  <c r="AD267" i="2"/>
  <c r="Y256" i="2"/>
  <c r="AD268" i="2"/>
  <c r="AE268" i="2"/>
  <c r="AI268" i="2"/>
  <c r="AH268" i="2"/>
  <c r="AK268" i="2"/>
  <c r="Z253" i="2"/>
  <c r="AJ268" i="2"/>
  <c r="Z256" i="2"/>
  <c r="Y255" i="2"/>
  <c r="Z255" i="2"/>
  <c r="Z252" i="2"/>
  <c r="AI243" i="2"/>
  <c r="AI267" i="2"/>
  <c r="AH243" i="2"/>
  <c r="AH267" i="2"/>
  <c r="Z251" i="2"/>
  <c r="AK243" i="2"/>
  <c r="AJ243" i="2"/>
  <c r="AJ267" i="2"/>
  <c r="R20" i="5"/>
  <c r="S20" i="5"/>
  <c r="O44" i="4"/>
  <c r="AO120" i="2" s="1"/>
  <c r="T62" i="26"/>
  <c r="P44" i="20"/>
  <c r="S136" i="27"/>
  <c r="T57" i="26"/>
  <c r="S57" i="26"/>
  <c r="T61" i="26"/>
  <c r="S61" i="26"/>
  <c r="T59" i="26"/>
  <c r="S59" i="26"/>
  <c r="T44" i="4"/>
  <c r="AT120" i="2" s="1"/>
  <c r="T23" i="4"/>
  <c r="Q44" i="4"/>
  <c r="AQ120" i="2" s="1"/>
  <c r="P44" i="4"/>
  <c r="T51" i="29"/>
  <c r="S51" i="29"/>
  <c r="S61" i="29"/>
  <c r="T61" i="29"/>
  <c r="T60" i="26"/>
  <c r="S54" i="29"/>
  <c r="T54" i="29"/>
  <c r="R78" i="30"/>
  <c r="S78" i="30"/>
  <c r="R88" i="30"/>
  <c r="S88" i="30"/>
  <c r="R91" i="30"/>
  <c r="S91" i="30"/>
  <c r="S177" i="27"/>
  <c r="T177" i="27"/>
  <c r="T49" i="29"/>
  <c r="S49" i="29"/>
  <c r="T69" i="26"/>
  <c r="S137" i="27"/>
  <c r="T137" i="27"/>
  <c r="T139" i="27"/>
  <c r="S139" i="27"/>
  <c r="S166" i="27"/>
  <c r="T166" i="27"/>
  <c r="S83" i="30"/>
  <c r="R83" i="30"/>
  <c r="S170" i="27"/>
  <c r="T67" i="27"/>
  <c r="J69" i="25" s="1"/>
  <c r="T170" i="27"/>
  <c r="M152" i="2"/>
  <c r="I51" i="20"/>
  <c r="Q51" i="20"/>
  <c r="Q47" i="20"/>
  <c r="H55" i="20"/>
  <c r="S37" i="20"/>
  <c r="S44" i="4"/>
  <c r="R44" i="4"/>
  <c r="AR120" i="2" s="1"/>
  <c r="S23" i="4"/>
  <c r="Q37" i="20"/>
  <c r="Q44" i="20"/>
  <c r="Q49" i="20"/>
  <c r="Q40" i="20"/>
  <c r="I53" i="20"/>
  <c r="T20" i="5"/>
  <c r="AT76" i="2" s="1"/>
  <c r="T35" i="6"/>
  <c r="U20" i="5"/>
  <c r="V44" i="4"/>
  <c r="V23" i="4"/>
  <c r="K27" i="26"/>
  <c r="L72" i="25"/>
  <c r="AG119" i="2"/>
  <c r="AN47" i="2"/>
  <c r="AU119" i="2"/>
  <c r="AE287" i="25"/>
  <c r="AD209" i="2"/>
  <c r="AA209" i="25"/>
  <c r="Z210" i="25"/>
  <c r="G21" i="31"/>
  <c r="J21" i="31"/>
  <c r="AE209" i="2"/>
  <c r="AT119" i="2"/>
  <c r="L71" i="25"/>
  <c r="S35" i="6"/>
  <c r="AW47" i="2"/>
  <c r="AA253" i="2"/>
  <c r="AG209" i="2"/>
  <c r="AO267" i="2"/>
  <c r="AO268" i="2"/>
  <c r="AM267" i="2"/>
  <c r="AC209" i="2"/>
  <c r="AA255" i="2"/>
  <c r="AA256" i="2"/>
  <c r="AA251" i="2"/>
  <c r="AA254" i="2"/>
  <c r="AO243" i="2"/>
  <c r="AN268" i="2"/>
  <c r="AN243" i="2"/>
  <c r="AN267" i="2"/>
  <c r="AA252" i="2"/>
  <c r="AM243" i="2"/>
  <c r="AM268" i="2"/>
  <c r="AL267" i="2"/>
  <c r="AL243" i="2"/>
  <c r="AL268" i="2"/>
  <c r="X192" i="27"/>
  <c r="AB139" i="25" l="1"/>
  <c r="Z67" i="7"/>
  <c r="S50" i="20"/>
  <c r="Y51" i="20"/>
  <c r="A70" i="27"/>
  <c r="Y287" i="25"/>
  <c r="A24" i="31"/>
  <c r="D52" i="31"/>
  <c r="AI247" i="25"/>
  <c r="AG28" i="20"/>
  <c r="AH27" i="20"/>
  <c r="J52" i="20"/>
  <c r="AH22" i="6"/>
  <c r="L11" i="2" s="1"/>
  <c r="L17" i="2" s="1"/>
  <c r="AI22" i="6"/>
  <c r="AG23" i="6"/>
  <c r="AD25" i="3"/>
  <c r="AG24" i="3"/>
  <c r="AI23" i="3"/>
  <c r="AH23" i="3"/>
  <c r="BC120" i="2"/>
  <c r="AI44" i="4"/>
  <c r="AH44" i="4"/>
  <c r="AG45" i="4"/>
  <c r="H49" i="20"/>
  <c r="H53" i="20"/>
  <c r="V45" i="7"/>
  <c r="Y67" i="7"/>
  <c r="W53" i="3"/>
  <c r="P50" i="20"/>
  <c r="H44" i="20"/>
  <c r="X67" i="7"/>
  <c r="AC40" i="7"/>
  <c r="AC46" i="7"/>
  <c r="AC42" i="7"/>
  <c r="AC51" i="7"/>
  <c r="AC48" i="7"/>
  <c r="AC50" i="7"/>
  <c r="AC41" i="7"/>
  <c r="AC43" i="7"/>
  <c r="AC45" i="7"/>
  <c r="AC47" i="7"/>
  <c r="AC44" i="7"/>
  <c r="AC49" i="7"/>
  <c r="AH23" i="4"/>
  <c r="AI23" i="4"/>
  <c r="AG24" i="4"/>
  <c r="R46" i="7"/>
  <c r="U67" i="7"/>
  <c r="X45" i="7"/>
  <c r="AA67" i="7"/>
  <c r="AA63" i="7"/>
  <c r="AA65" i="7"/>
  <c r="AA68" i="7"/>
  <c r="AA70" i="7"/>
  <c r="AA73" i="7"/>
  <c r="AA75" i="7"/>
  <c r="AA72" i="7"/>
  <c r="AA60" i="7"/>
  <c r="AA62" i="7"/>
  <c r="AA64" i="7"/>
  <c r="AA66" i="7"/>
  <c r="AA69" i="7"/>
  <c r="AA71" i="7"/>
  <c r="AA74" i="7"/>
  <c r="AA77" i="7"/>
  <c r="AB40" i="7"/>
  <c r="AB47" i="7"/>
  <c r="AB50" i="7"/>
  <c r="AB41" i="7"/>
  <c r="AB43" i="7"/>
  <c r="AB45" i="7"/>
  <c r="AB49" i="7"/>
  <c r="AB51" i="7"/>
  <c r="AB42" i="7"/>
  <c r="AB44" i="7"/>
  <c r="AB46" i="7"/>
  <c r="AB48" i="7"/>
  <c r="AH45" i="3"/>
  <c r="AG46" i="3"/>
  <c r="AI45" i="3"/>
  <c r="Z52" i="3"/>
  <c r="AC209" i="25"/>
  <c r="A67" i="30"/>
  <c r="H51" i="20"/>
  <c r="T45" i="7"/>
  <c r="W67" i="7"/>
  <c r="Y45" i="7"/>
  <c r="AB67" i="7"/>
  <c r="AB72" i="7"/>
  <c r="AB77" i="7"/>
  <c r="AB64" i="7"/>
  <c r="AB69" i="7"/>
  <c r="AB74" i="7"/>
  <c r="AB62" i="7"/>
  <c r="AB66" i="7"/>
  <c r="AB71" i="7"/>
  <c r="AB60" i="7"/>
  <c r="AB63" i="7"/>
  <c r="AB65" i="7"/>
  <c r="AB68" i="7"/>
  <c r="AB70" i="7"/>
  <c r="AB73" i="7"/>
  <c r="AB75" i="7"/>
  <c r="AH207" i="25"/>
  <c r="AH208" i="25"/>
  <c r="AH210" i="25"/>
  <c r="T49" i="20"/>
  <c r="W64" i="20"/>
  <c r="AA50" i="7"/>
  <c r="AA41" i="7"/>
  <c r="AA43" i="7"/>
  <c r="AA45" i="7"/>
  <c r="AA47" i="7"/>
  <c r="AA55" i="7"/>
  <c r="AA53" i="7"/>
  <c r="AA52" i="7"/>
  <c r="AA49" i="7"/>
  <c r="AA51" i="7"/>
  <c r="AA42" i="7"/>
  <c r="AA44" i="7"/>
  <c r="AA46" i="7"/>
  <c r="AA48" i="7"/>
  <c r="AA40" i="7"/>
  <c r="AA38" i="7"/>
  <c r="AG21" i="5"/>
  <c r="AI20" i="5"/>
  <c r="AH20" i="5"/>
  <c r="Z45" i="7"/>
  <c r="AC62" i="7"/>
  <c r="AC64" i="7"/>
  <c r="AC66" i="7"/>
  <c r="AC69" i="7"/>
  <c r="AC71" i="7"/>
  <c r="AC74" i="7"/>
  <c r="AC77" i="7"/>
  <c r="AC67" i="7"/>
  <c r="AC72" i="7"/>
  <c r="AC60" i="7"/>
  <c r="AC63" i="7"/>
  <c r="AC65" i="7"/>
  <c r="AC68" i="7"/>
  <c r="AC70" i="7"/>
  <c r="AC73" i="7"/>
  <c r="AC75" i="7"/>
  <c r="C54" i="20"/>
  <c r="AG60" i="20"/>
  <c r="AG76" i="20"/>
  <c r="AG71" i="20"/>
  <c r="AG77" i="20"/>
  <c r="AG74" i="20"/>
  <c r="AG63" i="20"/>
  <c r="AG61" i="20"/>
  <c r="AG73" i="20"/>
  <c r="AG70" i="20"/>
  <c r="AG64" i="20"/>
  <c r="AG68" i="20"/>
  <c r="AB141" i="25"/>
  <c r="M143" i="25"/>
  <c r="S67" i="7"/>
  <c r="T67" i="7"/>
  <c r="W52" i="3"/>
  <c r="V52" i="3"/>
  <c r="N54" i="3"/>
  <c r="V53" i="3"/>
  <c r="V54" i="3"/>
  <c r="N46" i="3"/>
  <c r="O21" i="5"/>
  <c r="C46" i="7"/>
  <c r="AH26" i="7"/>
  <c r="AG27" i="7"/>
  <c r="AI26" i="7"/>
  <c r="S45" i="20"/>
  <c r="C40" i="20"/>
  <c r="C55" i="20"/>
  <c r="C46" i="20"/>
  <c r="S40" i="20"/>
  <c r="C51" i="20"/>
  <c r="K56" i="20"/>
  <c r="C47" i="20"/>
  <c r="H47" i="20"/>
  <c r="H38" i="20"/>
  <c r="P56" i="20"/>
  <c r="S44" i="20"/>
  <c r="P51" i="20"/>
  <c r="C37" i="20"/>
  <c r="S49" i="20"/>
  <c r="C56" i="20"/>
  <c r="C44" i="20"/>
  <c r="C53" i="20"/>
  <c r="S53" i="20"/>
  <c r="C52" i="20"/>
  <c r="S47" i="20"/>
  <c r="S38" i="20"/>
  <c r="P49" i="20"/>
  <c r="C48" i="20"/>
  <c r="C43" i="20"/>
  <c r="P40" i="20"/>
  <c r="S48" i="20"/>
  <c r="S54" i="20"/>
  <c r="K50" i="20"/>
  <c r="P48" i="20"/>
  <c r="P55" i="20"/>
  <c r="K43" i="20"/>
  <c r="C49" i="20"/>
  <c r="C39" i="20"/>
  <c r="H54" i="20"/>
  <c r="S56" i="20"/>
  <c r="C50" i="20"/>
  <c r="C42" i="20"/>
  <c r="X37" i="20"/>
  <c r="S55" i="20"/>
  <c r="P45" i="20"/>
  <c r="P47" i="20"/>
  <c r="C45" i="20"/>
  <c r="H52" i="20"/>
  <c r="G24" i="3"/>
  <c r="AB212" i="25"/>
  <c r="AB289" i="25"/>
  <c r="X172" i="25"/>
  <c r="S46" i="7"/>
  <c r="S45" i="7"/>
  <c r="W46" i="7"/>
  <c r="W45" i="7"/>
  <c r="W24" i="3"/>
  <c r="AB247" i="25"/>
  <c r="U46" i="7"/>
  <c r="U45" i="7"/>
  <c r="AF287" i="25"/>
  <c r="AF212" i="25"/>
  <c r="AA138" i="25"/>
  <c r="Y208" i="25"/>
  <c r="AG285" i="25"/>
  <c r="AG289" i="25"/>
  <c r="AG212" i="25"/>
  <c r="U23" i="6"/>
  <c r="Q23" i="6"/>
  <c r="Z46" i="3"/>
  <c r="L23" i="6"/>
  <c r="H23" i="6"/>
  <c r="AJ251" i="25"/>
  <c r="R25" i="3"/>
  <c r="AA208" i="25"/>
  <c r="AD139" i="25"/>
  <c r="AA251" i="25"/>
  <c r="Y247" i="25"/>
  <c r="AC247" i="25"/>
  <c r="AA69" i="26"/>
  <c r="AG290" i="25"/>
  <c r="AE290" i="25"/>
  <c r="E177" i="25"/>
  <c r="AE286" i="25"/>
  <c r="AE288" i="25"/>
  <c r="AG288" i="25"/>
  <c r="H47" i="7"/>
  <c r="H46" i="7"/>
  <c r="E47" i="7"/>
  <c r="E46" i="7"/>
  <c r="G44" i="7"/>
  <c r="G46" i="7"/>
  <c r="Q39" i="7"/>
  <c r="Q46" i="7"/>
  <c r="F39" i="7"/>
  <c r="F46" i="7"/>
  <c r="I46" i="7"/>
  <c r="K40" i="7"/>
  <c r="K46" i="7"/>
  <c r="D55" i="7"/>
  <c r="D46" i="7"/>
  <c r="J45" i="7"/>
  <c r="J46" i="7"/>
  <c r="V47" i="7"/>
  <c r="V46" i="7"/>
  <c r="X40" i="7"/>
  <c r="X46" i="7"/>
  <c r="T48" i="7"/>
  <c r="T46" i="7"/>
  <c r="AW42" i="2"/>
  <c r="AD138" i="25"/>
  <c r="AD142" i="25"/>
  <c r="AC286" i="25"/>
  <c r="AA45" i="4"/>
  <c r="BB43" i="2"/>
  <c r="AF46" i="3"/>
  <c r="AC42" i="2"/>
  <c r="AB41" i="20"/>
  <c r="AF45" i="4"/>
  <c r="AS47" i="2"/>
  <c r="AS50" i="2" s="1"/>
  <c r="AD287" i="25"/>
  <c r="AC120" i="2"/>
  <c r="AC122" i="2" s="1"/>
  <c r="AD31" i="2" s="1"/>
  <c r="Z251" i="25"/>
  <c r="X247" i="25"/>
  <c r="AD247" i="25"/>
  <c r="N143" i="25"/>
  <c r="AK251" i="25"/>
  <c r="AF61" i="20"/>
  <c r="AF76" i="20"/>
  <c r="AF68" i="20"/>
  <c r="AF63" i="20"/>
  <c r="AF77" i="20"/>
  <c r="AF64" i="20"/>
  <c r="AF70" i="20"/>
  <c r="AF71" i="20"/>
  <c r="AF60" i="20"/>
  <c r="AF73" i="20"/>
  <c r="AF74" i="20"/>
  <c r="AC251" i="25"/>
  <c r="AF23" i="6"/>
  <c r="AJ47" i="2"/>
  <c r="AD251" i="25"/>
  <c r="AF27" i="7"/>
  <c r="AF24" i="3"/>
  <c r="AE247" i="25"/>
  <c r="AF21" i="5"/>
  <c r="AD22" i="5"/>
  <c r="F53" i="3"/>
  <c r="N24" i="3"/>
  <c r="N52" i="3"/>
  <c r="AG42" i="2"/>
  <c r="AK38" i="2" s="1"/>
  <c r="K53" i="3"/>
  <c r="X25" i="3"/>
  <c r="V36" i="6"/>
  <c r="R21" i="5"/>
  <c r="X49" i="20"/>
  <c r="H45" i="20"/>
  <c r="P37" i="20"/>
  <c r="H41" i="20"/>
  <c r="L28" i="20"/>
  <c r="X38" i="20"/>
  <c r="H56" i="20"/>
  <c r="H48" i="20"/>
  <c r="X54" i="20"/>
  <c r="H37" i="20"/>
  <c r="P38" i="20"/>
  <c r="H40" i="20"/>
  <c r="H50" i="20"/>
  <c r="P54" i="20"/>
  <c r="S21" i="5"/>
  <c r="Y251" i="25"/>
  <c r="W247" i="25"/>
  <c r="D244" i="25"/>
  <c r="X251" i="25"/>
  <c r="Y45" i="20"/>
  <c r="AO76" i="2"/>
  <c r="AQ42" i="2"/>
  <c r="AU38" i="2" s="1"/>
  <c r="W251" i="25"/>
  <c r="AH247" i="25"/>
  <c r="AJ42" i="2"/>
  <c r="AJ49" i="2" s="1"/>
  <c r="AF247" i="25"/>
  <c r="AG247" i="25"/>
  <c r="AA24" i="3"/>
  <c r="AB138" i="25"/>
  <c r="AA247" i="25"/>
  <c r="S52" i="31"/>
  <c r="AE251" i="25"/>
  <c r="R23" i="6"/>
  <c r="AG251" i="25"/>
  <c r="U55" i="28"/>
  <c r="AF70" i="25" s="1"/>
  <c r="AY238" i="2" s="1"/>
  <c r="AJ247" i="25"/>
  <c r="D41" i="20"/>
  <c r="AB251" i="25"/>
  <c r="Z247" i="25"/>
  <c r="AF251" i="25"/>
  <c r="W64" i="29"/>
  <c r="AG208" i="25"/>
  <c r="AH251" i="25"/>
  <c r="AI251" i="25"/>
  <c r="X58" i="3"/>
  <c r="AL247" i="25"/>
  <c r="AL252" i="25" s="1"/>
  <c r="E42" i="20"/>
  <c r="E55" i="20"/>
  <c r="M55" i="20"/>
  <c r="E43" i="20"/>
  <c r="U40" i="20"/>
  <c r="M48" i="20"/>
  <c r="E37" i="20"/>
  <c r="U51" i="20"/>
  <c r="E50" i="20"/>
  <c r="E53" i="20"/>
  <c r="X244" i="25"/>
  <c r="D51" i="20"/>
  <c r="L56" i="20"/>
  <c r="Y36" i="6"/>
  <c r="H53" i="31"/>
  <c r="AU47" i="2"/>
  <c r="AU50" i="2" s="1"/>
  <c r="S58" i="3"/>
  <c r="D283" i="25"/>
  <c r="D172" i="25"/>
  <c r="D206" i="25"/>
  <c r="L55" i="20"/>
  <c r="X137" i="25"/>
  <c r="L53" i="3"/>
  <c r="N53" i="3"/>
  <c r="X206" i="25"/>
  <c r="L50" i="20"/>
  <c r="L40" i="20"/>
  <c r="K58" i="3"/>
  <c r="X283" i="25"/>
  <c r="T37" i="6"/>
  <c r="D102" i="25"/>
  <c r="D53" i="20"/>
  <c r="W37" i="6"/>
  <c r="U54" i="3"/>
  <c r="U48" i="20"/>
  <c r="E54" i="20"/>
  <c r="E40" i="20"/>
  <c r="D47" i="3"/>
  <c r="AA140" i="25"/>
  <c r="U54" i="20"/>
  <c r="AD29" i="20"/>
  <c r="AA159" i="27"/>
  <c r="M54" i="3"/>
  <c r="N56" i="3" s="1"/>
  <c r="V94" i="30"/>
  <c r="AG73" i="25" s="1"/>
  <c r="AZ241" i="2" s="1"/>
  <c r="U24" i="4"/>
  <c r="U38" i="20"/>
  <c r="E56" i="20"/>
  <c r="F37" i="6"/>
  <c r="J38" i="6" s="1"/>
  <c r="O72" i="25"/>
  <c r="U37" i="20"/>
  <c r="F29" i="20"/>
  <c r="E52" i="20"/>
  <c r="M40" i="20"/>
  <c r="E38" i="20"/>
  <c r="Y195" i="27"/>
  <c r="I177" i="25"/>
  <c r="AA24" i="4"/>
  <c r="U53" i="20"/>
  <c r="U47" i="20"/>
  <c r="E48" i="20"/>
  <c r="E49" i="20"/>
  <c r="E39" i="20"/>
  <c r="E46" i="20"/>
  <c r="M24" i="4"/>
  <c r="AG286" i="25"/>
  <c r="AG210" i="25"/>
  <c r="O70" i="25"/>
  <c r="O73" i="25"/>
  <c r="O74" i="25"/>
  <c r="Z195" i="27"/>
  <c r="W209" i="25"/>
  <c r="AA52" i="3"/>
  <c r="U49" i="20"/>
  <c r="U45" i="20"/>
  <c r="U55" i="20"/>
  <c r="E44" i="20"/>
  <c r="E45" i="20"/>
  <c r="W286" i="25"/>
  <c r="AB287" i="25"/>
  <c r="AC23" i="6"/>
  <c r="C74" i="25"/>
  <c r="O69" i="25"/>
  <c r="U50" i="20"/>
  <c r="U44" i="20"/>
  <c r="E51" i="20"/>
  <c r="U56" i="20"/>
  <c r="E47" i="20"/>
  <c r="U46" i="3"/>
  <c r="C70" i="25"/>
  <c r="Z208" i="25"/>
  <c r="Z213" i="25" s="1"/>
  <c r="O71" i="25"/>
  <c r="C143" i="25"/>
  <c r="AK212" i="25"/>
  <c r="AD212" i="25"/>
  <c r="AD208" i="25"/>
  <c r="AD209" i="25"/>
  <c r="N64" i="29"/>
  <c r="AA139" i="25"/>
  <c r="AJ138" i="25"/>
  <c r="AB288" i="25"/>
  <c r="AF286" i="25"/>
  <c r="AF288" i="25"/>
  <c r="X285" i="25"/>
  <c r="AH285" i="25"/>
  <c r="AE285" i="25"/>
  <c r="T55" i="28"/>
  <c r="T38" i="28" s="1"/>
  <c r="I213" i="25"/>
  <c r="AG207" i="25"/>
  <c r="X208" i="25"/>
  <c r="AH209" i="25"/>
  <c r="AE207" i="25"/>
  <c r="AC104" i="25"/>
  <c r="AI107" i="25"/>
  <c r="O47" i="20"/>
  <c r="BD120" i="2"/>
  <c r="AE23" i="6"/>
  <c r="V40" i="7"/>
  <c r="V39" i="7"/>
  <c r="S28" i="20"/>
  <c r="L26" i="7"/>
  <c r="O56" i="20"/>
  <c r="O44" i="20"/>
  <c r="R58" i="3"/>
  <c r="X289" i="25"/>
  <c r="AC207" i="25"/>
  <c r="AC142" i="25"/>
  <c r="D53" i="31"/>
  <c r="X141" i="25"/>
  <c r="AI138" i="25"/>
  <c r="BA42" i="2"/>
  <c r="BA49" i="2" s="1"/>
  <c r="AE24" i="3"/>
  <c r="AA181" i="27"/>
  <c r="V58" i="3"/>
  <c r="AC290" i="25"/>
  <c r="E54" i="3"/>
  <c r="N26" i="3"/>
  <c r="O54" i="20"/>
  <c r="O38" i="20"/>
  <c r="W210" i="25"/>
  <c r="K46" i="3"/>
  <c r="X70" i="26"/>
  <c r="AH72" i="25" s="1"/>
  <c r="BA240" i="2" s="1"/>
  <c r="W25" i="3"/>
  <c r="BA119" i="2"/>
  <c r="BA123" i="2" s="1"/>
  <c r="AE24" i="4"/>
  <c r="AA51" i="20"/>
  <c r="AE28" i="20"/>
  <c r="J52" i="31"/>
  <c r="Z139" i="25"/>
  <c r="O51" i="20"/>
  <c r="O37" i="20"/>
  <c r="N21" i="5"/>
  <c r="J21" i="5"/>
  <c r="O50" i="20"/>
  <c r="G53" i="20"/>
  <c r="O45" i="20"/>
  <c r="O53" i="20"/>
  <c r="G55" i="28"/>
  <c r="G38" i="28" s="1"/>
  <c r="G64" i="29"/>
  <c r="AA286" i="25"/>
  <c r="U94" i="30"/>
  <c r="AF73" i="25" s="1"/>
  <c r="AY241" i="2" s="1"/>
  <c r="X36" i="6"/>
  <c r="BA43" i="2"/>
  <c r="BF30" i="2" s="1"/>
  <c r="AE46" i="3"/>
  <c r="S53" i="31"/>
  <c r="W141" i="25"/>
  <c r="AF290" i="25"/>
  <c r="G55" i="20"/>
  <c r="J54" i="3"/>
  <c r="AJ43" i="2"/>
  <c r="G50" i="20"/>
  <c r="G56" i="20"/>
  <c r="O55" i="20"/>
  <c r="J64" i="29"/>
  <c r="AD140" i="25"/>
  <c r="H52" i="31"/>
  <c r="AE27" i="7"/>
  <c r="BA76" i="2"/>
  <c r="BE77" i="2" s="1"/>
  <c r="V51" i="7"/>
  <c r="T36" i="6"/>
  <c r="AC43" i="2"/>
  <c r="AC39" i="2" s="1"/>
  <c r="O48" i="20"/>
  <c r="AA210" i="25"/>
  <c r="AH105" i="25"/>
  <c r="M213" i="25"/>
  <c r="O49" i="20"/>
  <c r="AV208" i="2"/>
  <c r="G37" i="20"/>
  <c r="G58" i="3"/>
  <c r="C58" i="3"/>
  <c r="X174" i="25"/>
  <c r="AE289" i="25"/>
  <c r="AD46" i="3"/>
  <c r="AE47" i="3"/>
  <c r="G54" i="3"/>
  <c r="M47" i="3"/>
  <c r="N47" i="3"/>
  <c r="S46" i="3"/>
  <c r="Q58" i="3"/>
  <c r="AE43" i="2"/>
  <c r="AE44" i="2" s="1"/>
  <c r="H24" i="4"/>
  <c r="O45" i="4"/>
  <c r="AC45" i="4"/>
  <c r="U37" i="6"/>
  <c r="O37" i="6"/>
  <c r="O38" i="6" s="1"/>
  <c r="G37" i="6"/>
  <c r="K38" i="6" s="1"/>
  <c r="U24" i="6"/>
  <c r="V24" i="6"/>
  <c r="L36" i="6"/>
  <c r="M23" i="6"/>
  <c r="L21" i="5"/>
  <c r="AW76" i="2"/>
  <c r="AU76" i="2"/>
  <c r="E53" i="7"/>
  <c r="W51" i="7"/>
  <c r="G47" i="20"/>
  <c r="G45" i="20"/>
  <c r="J79" i="20"/>
  <c r="G38" i="20"/>
  <c r="G51" i="20"/>
  <c r="G49" i="20"/>
  <c r="G44" i="20"/>
  <c r="G41" i="20"/>
  <c r="G40" i="20"/>
  <c r="H71" i="20"/>
  <c r="G52" i="20"/>
  <c r="G28" i="20"/>
  <c r="G54" i="20"/>
  <c r="G48" i="20"/>
  <c r="AD45" i="20"/>
  <c r="AE73" i="20"/>
  <c r="AE60" i="20"/>
  <c r="AE74" i="20"/>
  <c r="AE61" i="20"/>
  <c r="AE76" i="20"/>
  <c r="AE63" i="20"/>
  <c r="AE64" i="20"/>
  <c r="AE77" i="20"/>
  <c r="AE68" i="20"/>
  <c r="AE71" i="20"/>
  <c r="AE70" i="20"/>
  <c r="Z68" i="20"/>
  <c r="S63" i="20"/>
  <c r="Q48" i="20"/>
  <c r="I50" i="20"/>
  <c r="I54" i="20"/>
  <c r="J29" i="20"/>
  <c r="J63" i="20"/>
  <c r="Z56" i="20"/>
  <c r="Y53" i="20"/>
  <c r="Z74" i="20"/>
  <c r="J74" i="20"/>
  <c r="Z50" i="20"/>
  <c r="U28" i="20"/>
  <c r="Q53" i="20"/>
  <c r="Q38" i="20"/>
  <c r="Q50" i="20"/>
  <c r="I37" i="20"/>
  <c r="I28" i="20"/>
  <c r="J45" i="20"/>
  <c r="J53" i="20"/>
  <c r="Z47" i="20"/>
  <c r="Z70" i="20"/>
  <c r="Z73" i="20"/>
  <c r="Q56" i="20"/>
  <c r="S73" i="20"/>
  <c r="I49" i="20"/>
  <c r="Z45" i="20"/>
  <c r="Z48" i="20"/>
  <c r="Q63" i="20"/>
  <c r="Z77" i="20"/>
  <c r="Z76" i="20"/>
  <c r="Z61" i="20"/>
  <c r="I48" i="20"/>
  <c r="R72" i="20"/>
  <c r="Q54" i="20"/>
  <c r="I44" i="20"/>
  <c r="I43" i="20"/>
  <c r="I38" i="20"/>
  <c r="Z40" i="20"/>
  <c r="J60" i="20"/>
  <c r="Q55" i="20"/>
  <c r="J76" i="20"/>
  <c r="N47" i="20"/>
  <c r="I56" i="20"/>
  <c r="Z37" i="20"/>
  <c r="X56" i="20"/>
  <c r="X40" i="20"/>
  <c r="W94" i="30"/>
  <c r="I23" i="6"/>
  <c r="E53" i="3"/>
  <c r="Q46" i="3"/>
  <c r="AG287" i="25"/>
  <c r="M45" i="4"/>
  <c r="K54" i="3"/>
  <c r="Y45" i="4"/>
  <c r="W28" i="20"/>
  <c r="M28" i="20"/>
  <c r="H52" i="3"/>
  <c r="D53" i="3"/>
  <c r="J25" i="3"/>
  <c r="E25" i="3"/>
  <c r="S52" i="3"/>
  <c r="M55" i="28"/>
  <c r="X70" i="25" s="1"/>
  <c r="AQ238" i="2" s="1"/>
  <c r="Y210" i="25"/>
  <c r="W38" i="20"/>
  <c r="Y76" i="20"/>
  <c r="Q41" i="7"/>
  <c r="O53" i="31"/>
  <c r="AA71" i="25" s="1"/>
  <c r="AT239" i="2" s="1"/>
  <c r="H46" i="3"/>
  <c r="K47" i="3"/>
  <c r="I37" i="6"/>
  <c r="V195" i="27"/>
  <c r="AF69" i="25" s="1"/>
  <c r="Y141" i="25"/>
  <c r="O177" i="25"/>
  <c r="Q53" i="7"/>
  <c r="AQ43" i="2"/>
  <c r="AQ50" i="2" s="1"/>
  <c r="J143" i="25"/>
  <c r="W45" i="20"/>
  <c r="J23" i="6"/>
  <c r="AF142" i="25"/>
  <c r="Q48" i="7"/>
  <c r="J58" i="3"/>
  <c r="K25" i="3"/>
  <c r="AH288" i="25"/>
  <c r="X64" i="29"/>
  <c r="W140" i="25"/>
  <c r="F177" i="25"/>
  <c r="H110" i="25"/>
  <c r="J24" i="3"/>
  <c r="Q54" i="3"/>
  <c r="U21" i="5"/>
  <c r="S55" i="28"/>
  <c r="AD286" i="25"/>
  <c r="N23" i="6"/>
  <c r="Q40" i="7"/>
  <c r="AI43" i="2"/>
  <c r="I53" i="3"/>
  <c r="Z71" i="20"/>
  <c r="X55" i="20"/>
  <c r="S37" i="6"/>
  <c r="P36" i="6"/>
  <c r="K52" i="31"/>
  <c r="I24" i="4"/>
  <c r="R52" i="3"/>
  <c r="N58" i="3"/>
  <c r="J53" i="3"/>
  <c r="AD43" i="2"/>
  <c r="AD39" i="2" s="1"/>
  <c r="Q25" i="3"/>
  <c r="D38" i="20"/>
  <c r="AB208" i="25"/>
  <c r="AH290" i="25"/>
  <c r="Y140" i="25"/>
  <c r="W142" i="25"/>
  <c r="R53" i="3"/>
  <c r="AS76" i="2"/>
  <c r="S23" i="6"/>
  <c r="X45" i="20"/>
  <c r="T94" i="30"/>
  <c r="L37" i="6"/>
  <c r="K24" i="3"/>
  <c r="P46" i="3"/>
  <c r="P25" i="3"/>
  <c r="W24" i="4"/>
  <c r="AC287" i="25"/>
  <c r="D55" i="20"/>
  <c r="D54" i="20"/>
  <c r="S24" i="3"/>
  <c r="AA290" i="25"/>
  <c r="AC140" i="25"/>
  <c r="K143" i="25"/>
  <c r="I70" i="20"/>
  <c r="M177" i="25"/>
  <c r="I52" i="3"/>
  <c r="D54" i="3"/>
  <c r="M52" i="3"/>
  <c r="T24" i="6"/>
  <c r="X50" i="20"/>
  <c r="X51" i="20"/>
  <c r="K36" i="6"/>
  <c r="AW120" i="2"/>
  <c r="AW121" i="2" s="1"/>
  <c r="O24" i="3"/>
  <c r="I47" i="3"/>
  <c r="P195" i="27"/>
  <c r="Z69" i="25" s="1"/>
  <c r="AS237" i="2" s="1"/>
  <c r="X207" i="25"/>
  <c r="Y285" i="25"/>
  <c r="L213" i="25"/>
  <c r="W139" i="25"/>
  <c r="Z85" i="30"/>
  <c r="Z107" i="25"/>
  <c r="AM119" i="2"/>
  <c r="AM121" i="2" s="1"/>
  <c r="AF173" i="25"/>
  <c r="AW46" i="2"/>
  <c r="AW49" i="2" s="1"/>
  <c r="W58" i="3"/>
  <c r="L177" i="25"/>
  <c r="N110" i="25"/>
  <c r="F26" i="3"/>
  <c r="J22" i="5"/>
  <c r="W288" i="25"/>
  <c r="AB290" i="25"/>
  <c r="AF289" i="25"/>
  <c r="AF109" i="25"/>
  <c r="X30" i="6"/>
  <c r="AB23" i="6"/>
  <c r="G45" i="4"/>
  <c r="K52" i="3"/>
  <c r="S53" i="3"/>
  <c r="S54" i="3"/>
  <c r="AA40" i="20"/>
  <c r="AA50" i="20"/>
  <c r="AA48" i="20"/>
  <c r="AA47" i="20"/>
  <c r="AA53" i="20"/>
  <c r="L38" i="6"/>
  <c r="S45" i="4"/>
  <c r="N37" i="6"/>
  <c r="N38" i="6" s="1"/>
  <c r="N36" i="6"/>
  <c r="AO43" i="2"/>
  <c r="AT30" i="2" s="1"/>
  <c r="P47" i="3"/>
  <c r="O54" i="3"/>
  <c r="U53" i="31"/>
  <c r="AG71" i="25" s="1"/>
  <c r="AZ239" i="2" s="1"/>
  <c r="AX119" i="2"/>
  <c r="X24" i="4"/>
  <c r="AF208" i="25"/>
  <c r="AW43" i="2"/>
  <c r="AW39" i="2" s="1"/>
  <c r="W54" i="3"/>
  <c r="W56" i="3" s="1"/>
  <c r="W46" i="3"/>
  <c r="G24" i="4"/>
  <c r="AC119" i="2"/>
  <c r="AC123" i="2" s="1"/>
  <c r="X21" i="5"/>
  <c r="AG120" i="2"/>
  <c r="AG121" i="2" s="1"/>
  <c r="AS119" i="2"/>
  <c r="AS123" i="2" s="1"/>
  <c r="D58" i="3"/>
  <c r="Z45" i="4"/>
  <c r="V45" i="4"/>
  <c r="AV120" i="2"/>
  <c r="AV122" i="2" s="1"/>
  <c r="AW31" i="2" s="1"/>
  <c r="H21" i="5"/>
  <c r="J47" i="3"/>
  <c r="AF46" i="2"/>
  <c r="F58" i="3"/>
  <c r="F44" i="7"/>
  <c r="F45" i="7"/>
  <c r="F51" i="7"/>
  <c r="V25" i="3"/>
  <c r="U24" i="3"/>
  <c r="U58" i="3"/>
  <c r="Q70" i="26"/>
  <c r="AA72" i="25" s="1"/>
  <c r="AT240" i="2" s="1"/>
  <c r="V37" i="6"/>
  <c r="N53" i="20"/>
  <c r="L24" i="4"/>
  <c r="AH119" i="2"/>
  <c r="J26" i="3"/>
  <c r="N27" i="3" s="1"/>
  <c r="I25" i="3"/>
  <c r="AA21" i="5"/>
  <c r="AO47" i="2"/>
  <c r="P53" i="3"/>
  <c r="O52" i="3"/>
  <c r="O53" i="3"/>
  <c r="O24" i="4"/>
  <c r="C244" i="25"/>
  <c r="C137" i="25"/>
  <c r="W138" i="25"/>
  <c r="AF207" i="25"/>
  <c r="V64" i="29"/>
  <c r="AF74" i="25" s="1"/>
  <c r="AY242" i="2" s="1"/>
  <c r="F64" i="29"/>
  <c r="J53" i="31"/>
  <c r="AH287" i="25"/>
  <c r="AH212" i="25"/>
  <c r="T55" i="20"/>
  <c r="T47" i="20"/>
  <c r="L49" i="20"/>
  <c r="L51" i="20"/>
  <c r="L54" i="20"/>
  <c r="O61" i="20"/>
  <c r="L37" i="20"/>
  <c r="D56" i="20"/>
  <c r="D42" i="20"/>
  <c r="D48" i="20"/>
  <c r="D47" i="20"/>
  <c r="D50" i="20"/>
  <c r="H28" i="20"/>
  <c r="D40" i="20"/>
  <c r="D39" i="20"/>
  <c r="D43" i="20"/>
  <c r="D44" i="20"/>
  <c r="G72" i="20"/>
  <c r="G66" i="20"/>
  <c r="D37" i="20"/>
  <c r="D52" i="20"/>
  <c r="D49" i="20"/>
  <c r="D46" i="20"/>
  <c r="G70" i="20"/>
  <c r="S195" i="27"/>
  <c r="S131" i="27" s="1"/>
  <c r="C213" i="25"/>
  <c r="Y207" i="25"/>
  <c r="M64" i="29"/>
  <c r="Y56" i="20"/>
  <c r="AF107" i="25"/>
  <c r="K213" i="25"/>
  <c r="AB45" i="4"/>
  <c r="Y54" i="3"/>
  <c r="AL212" i="25"/>
  <c r="K64" i="29"/>
  <c r="Z285" i="25"/>
  <c r="L21" i="31"/>
  <c r="D71" i="25" s="1"/>
  <c r="Y40" i="20"/>
  <c r="X138" i="25"/>
  <c r="AH47" i="2"/>
  <c r="AH50" i="2" s="1"/>
  <c r="I24" i="3"/>
  <c r="K24" i="4"/>
  <c r="AB140" i="25"/>
  <c r="AB142" i="25"/>
  <c r="X210" i="25"/>
  <c r="G94" i="30"/>
  <c r="G64" i="30" s="1"/>
  <c r="K45" i="4"/>
  <c r="AC138" i="25"/>
  <c r="Y38" i="20"/>
  <c r="AH286" i="25"/>
  <c r="AE108" i="25"/>
  <c r="N213" i="25"/>
  <c r="AG142" i="25"/>
  <c r="X37" i="6"/>
  <c r="K110" i="25"/>
  <c r="D110" i="25"/>
  <c r="H64" i="29"/>
  <c r="F213" i="25"/>
  <c r="M52" i="31"/>
  <c r="AC210" i="25"/>
  <c r="N21" i="31"/>
  <c r="F71" i="25" s="1"/>
  <c r="AH174" i="25"/>
  <c r="Z140" i="25"/>
  <c r="Z141" i="25"/>
  <c r="AH138" i="25"/>
  <c r="O213" i="25"/>
  <c r="AI42" i="2"/>
  <c r="AI38" i="2" s="1"/>
  <c r="AC208" i="25"/>
  <c r="G36" i="6"/>
  <c r="AB286" i="25"/>
  <c r="Z290" i="25"/>
  <c r="L143" i="25"/>
  <c r="AE138" i="25"/>
  <c r="AJ210" i="25"/>
  <c r="AL107" i="25"/>
  <c r="AD173" i="25"/>
  <c r="J24" i="4"/>
  <c r="Q24" i="4"/>
  <c r="N70" i="26"/>
  <c r="P70" i="26"/>
  <c r="Q64" i="29"/>
  <c r="AA74" i="25" s="1"/>
  <c r="AT242" i="2" s="1"/>
  <c r="AB210" i="25"/>
  <c r="Z287" i="25"/>
  <c r="O52" i="31"/>
  <c r="R53" i="31"/>
  <c r="AF140" i="25"/>
  <c r="AI141" i="25"/>
  <c r="AB52" i="3"/>
  <c r="G291" i="25"/>
  <c r="K177" i="25"/>
  <c r="G177" i="25"/>
  <c r="C177" i="25"/>
  <c r="J110" i="25"/>
  <c r="E143" i="25"/>
  <c r="N75" i="25"/>
  <c r="N38" i="25" s="1"/>
  <c r="H143" i="25"/>
  <c r="I75" i="25"/>
  <c r="I38" i="25" s="1"/>
  <c r="E213" i="25"/>
  <c r="J291" i="25"/>
  <c r="F291" i="25"/>
  <c r="E37" i="6"/>
  <c r="I36" i="6"/>
  <c r="O26" i="7"/>
  <c r="O43" i="7" s="1"/>
  <c r="U36" i="6"/>
  <c r="Q37" i="6"/>
  <c r="U38" i="6" s="1"/>
  <c r="R46" i="3"/>
  <c r="R47" i="3"/>
  <c r="S47" i="3"/>
  <c r="X52" i="3"/>
  <c r="T53" i="3"/>
  <c r="AT47" i="2"/>
  <c r="T52" i="3"/>
  <c r="AD289" i="25"/>
  <c r="D37" i="6"/>
  <c r="H38" i="6" s="1"/>
  <c r="H36" i="6"/>
  <c r="AP76" i="2"/>
  <c r="AP77" i="2" s="1"/>
  <c r="T21" i="5"/>
  <c r="K53" i="31"/>
  <c r="R55" i="28"/>
  <c r="R38" i="28" s="1"/>
  <c r="L64" i="29"/>
  <c r="R64" i="29"/>
  <c r="AB207" i="25"/>
  <c r="I64" i="29"/>
  <c r="O64" i="29"/>
  <c r="Y74" i="25" s="1"/>
  <c r="AR242" i="2" s="1"/>
  <c r="Z288" i="25"/>
  <c r="W289" i="25"/>
  <c r="R36" i="6"/>
  <c r="AR76" i="2"/>
  <c r="AV77" i="2" s="1"/>
  <c r="G21" i="5"/>
  <c r="AL42" i="2"/>
  <c r="L24" i="3"/>
  <c r="L25" i="3"/>
  <c r="P24" i="3"/>
  <c r="P45" i="4"/>
  <c r="T45" i="4"/>
  <c r="AP120" i="2"/>
  <c r="AK108" i="2" s="1"/>
  <c r="AC47" i="2"/>
  <c r="C54" i="3"/>
  <c r="M21" i="5"/>
  <c r="I21" i="5"/>
  <c r="H75" i="25"/>
  <c r="H38" i="25" s="1"/>
  <c r="AR43" i="2"/>
  <c r="AW30" i="2" s="1"/>
  <c r="G52" i="3"/>
  <c r="P21" i="5"/>
  <c r="A59" i="29"/>
  <c r="AQ76" i="2"/>
  <c r="Q21" i="5"/>
  <c r="D291" i="25"/>
  <c r="H54" i="3"/>
  <c r="O70" i="26"/>
  <c r="J70" i="26"/>
  <c r="J48" i="26" s="1"/>
  <c r="Y288" i="25"/>
  <c r="X290" i="25"/>
  <c r="AC141" i="25"/>
  <c r="Y54" i="20"/>
  <c r="Y37" i="20"/>
  <c r="W30" i="6"/>
  <c r="AA45" i="20"/>
  <c r="AA37" i="20"/>
  <c r="AC53" i="3"/>
  <c r="AA36" i="6"/>
  <c r="J177" i="25"/>
  <c r="N177" i="25"/>
  <c r="D177" i="25"/>
  <c r="E110" i="25"/>
  <c r="I110" i="25"/>
  <c r="M110" i="25"/>
  <c r="C110" i="25"/>
  <c r="G110" i="25"/>
  <c r="L110" i="25"/>
  <c r="F110" i="25"/>
  <c r="P213" i="25"/>
  <c r="O25" i="3"/>
  <c r="Q36" i="6"/>
  <c r="AA207" i="25"/>
  <c r="W208" i="25"/>
  <c r="AA212" i="25"/>
  <c r="W52" i="31"/>
  <c r="AI142" i="25"/>
  <c r="AL138" i="25"/>
  <c r="Y104" i="25"/>
  <c r="AH173" i="25"/>
  <c r="AF174" i="25"/>
  <c r="AH289" i="25"/>
  <c r="K73" i="25"/>
  <c r="L291" i="25"/>
  <c r="N291" i="25"/>
  <c r="BB47" i="2"/>
  <c r="L45" i="4"/>
  <c r="AA141" i="25"/>
  <c r="M291" i="25"/>
  <c r="O55" i="28"/>
  <c r="O38" i="28" s="1"/>
  <c r="I55" i="28"/>
  <c r="I38" i="28" s="1"/>
  <c r="K55" i="28"/>
  <c r="K38" i="28" s="1"/>
  <c r="AH142" i="25"/>
  <c r="X46" i="3"/>
  <c r="AA103" i="25"/>
  <c r="W108" i="25"/>
  <c r="R52" i="31"/>
  <c r="AH107" i="25"/>
  <c r="Y138" i="25"/>
  <c r="AE140" i="25"/>
  <c r="AG141" i="25"/>
  <c r="M21" i="31"/>
  <c r="Z53" i="20"/>
  <c r="Z38" i="20"/>
  <c r="Y55" i="20"/>
  <c r="Z51" i="20"/>
  <c r="AE104" i="25"/>
  <c r="K291" i="25"/>
  <c r="AH141" i="25"/>
  <c r="AJ104" i="25"/>
  <c r="U64" i="29"/>
  <c r="AA54" i="20"/>
  <c r="G213" i="25"/>
  <c r="W174" i="25"/>
  <c r="Y47" i="20"/>
  <c r="V23" i="6"/>
  <c r="P28" i="20"/>
  <c r="J55" i="28"/>
  <c r="J38" i="28" s="1"/>
  <c r="L55" i="28"/>
  <c r="W70" i="25" s="1"/>
  <c r="AP238" i="2" s="1"/>
  <c r="N55" i="28"/>
  <c r="Y142" i="25"/>
  <c r="AG138" i="25"/>
  <c r="AG140" i="25"/>
  <c r="AE142" i="25"/>
  <c r="AA38" i="20"/>
  <c r="AA56" i="20"/>
  <c r="L46" i="3"/>
  <c r="E47" i="3"/>
  <c r="O23" i="6"/>
  <c r="D143" i="25"/>
  <c r="G143" i="25"/>
  <c r="H213" i="25"/>
  <c r="D213" i="25"/>
  <c r="C291" i="25"/>
  <c r="G70" i="26"/>
  <c r="G48" i="26" s="1"/>
  <c r="J195" i="27"/>
  <c r="J131" i="27" s="1"/>
  <c r="Z103" i="25"/>
  <c r="R195" i="27"/>
  <c r="AB69" i="25" s="1"/>
  <c r="AU237" i="2" s="1"/>
  <c r="Z105" i="25"/>
  <c r="AB105" i="25"/>
  <c r="X105" i="25"/>
  <c r="X108" i="25"/>
  <c r="Z108" i="25"/>
  <c r="W207" i="25"/>
  <c r="AD141" i="25"/>
  <c r="J213" i="25"/>
  <c r="AD290" i="25"/>
  <c r="S70" i="26"/>
  <c r="AD104" i="25"/>
  <c r="N52" i="31"/>
  <c r="Q52" i="31"/>
  <c r="I52" i="31"/>
  <c r="G53" i="31"/>
  <c r="E52" i="31"/>
  <c r="C52" i="31"/>
  <c r="U195" i="27"/>
  <c r="AG104" i="25"/>
  <c r="AG105" i="25"/>
  <c r="AJ289" i="25"/>
  <c r="AI173" i="25"/>
  <c r="AJ173" i="25"/>
  <c r="AJ140" i="25"/>
  <c r="AJ142" i="25"/>
  <c r="AI140" i="25"/>
  <c r="O110" i="25"/>
  <c r="P110" i="25"/>
  <c r="AA79" i="30"/>
  <c r="AL287" i="25" s="1"/>
  <c r="Z79" i="30"/>
  <c r="AK287" i="25" s="1"/>
  <c r="AT43" i="2"/>
  <c r="AT39" i="2" s="1"/>
  <c r="U47" i="3"/>
  <c r="AB53" i="3"/>
  <c r="BA47" i="2"/>
  <c r="E53" i="31"/>
  <c r="C69" i="25"/>
  <c r="T25" i="3"/>
  <c r="U25" i="3"/>
  <c r="X24" i="3"/>
  <c r="T24" i="3"/>
  <c r="T58" i="3"/>
  <c r="T41" i="20"/>
  <c r="T45" i="20"/>
  <c r="T40" i="20"/>
  <c r="T53" i="20"/>
  <c r="U71" i="20"/>
  <c r="T61" i="20"/>
  <c r="T28" i="20"/>
  <c r="T54" i="20"/>
  <c r="T44" i="20"/>
  <c r="V77" i="20"/>
  <c r="T38" i="20"/>
  <c r="T50" i="20"/>
  <c r="J55" i="20"/>
  <c r="J47" i="20"/>
  <c r="J56" i="20"/>
  <c r="J48" i="20"/>
  <c r="J41" i="20"/>
  <c r="J71" i="20"/>
  <c r="J54" i="20"/>
  <c r="J43" i="20"/>
  <c r="J66" i="20"/>
  <c r="J67" i="20"/>
  <c r="J49" i="20"/>
  <c r="J64" i="20"/>
  <c r="J70" i="20"/>
  <c r="J44" i="20"/>
  <c r="J75" i="20"/>
  <c r="J68" i="20"/>
  <c r="J77" i="20"/>
  <c r="J38" i="20"/>
  <c r="J50" i="20"/>
  <c r="J73" i="20"/>
  <c r="J61" i="20"/>
  <c r="P23" i="6"/>
  <c r="T23" i="6"/>
  <c r="M37" i="6"/>
  <c r="X28" i="20"/>
  <c r="AD42" i="2"/>
  <c r="AD38" i="2" s="1"/>
  <c r="D25" i="3"/>
  <c r="AL47" i="2"/>
  <c r="AL50" i="2" s="1"/>
  <c r="P52" i="3"/>
  <c r="L54" i="3"/>
  <c r="L52" i="3"/>
  <c r="M53" i="3"/>
  <c r="Q53" i="3"/>
  <c r="Q52" i="3"/>
  <c r="R24" i="3"/>
  <c r="R26" i="3"/>
  <c r="R27" i="3" s="1"/>
  <c r="V24" i="3"/>
  <c r="F143" i="25"/>
  <c r="C37" i="6"/>
  <c r="G23" i="6"/>
  <c r="AB182" i="27"/>
  <c r="AA182" i="27"/>
  <c r="AG103" i="25"/>
  <c r="G52" i="31"/>
  <c r="AL46" i="2"/>
  <c r="L58" i="3"/>
  <c r="M24" i="3"/>
  <c r="N25" i="3"/>
  <c r="M25" i="3"/>
  <c r="M58" i="3"/>
  <c r="M36" i="6"/>
  <c r="T46" i="3"/>
  <c r="Q55" i="28"/>
  <c r="AB70" i="25" s="1"/>
  <c r="AU238" i="2" s="1"/>
  <c r="N24" i="4"/>
  <c r="J40" i="20"/>
  <c r="AE120" i="2"/>
  <c r="AE122" i="2" s="1"/>
  <c r="AF31" i="2" s="1"/>
  <c r="G53" i="3"/>
  <c r="AG47" i="2"/>
  <c r="H53" i="3"/>
  <c r="H25" i="3"/>
  <c r="H58" i="3"/>
  <c r="H24" i="3"/>
  <c r="AO46" i="2"/>
  <c r="AO49" i="2" s="1"/>
  <c r="O58" i="3"/>
  <c r="N48" i="3"/>
  <c r="AK43" i="2"/>
  <c r="L47" i="3"/>
  <c r="AE210" i="25"/>
  <c r="AD24" i="3"/>
  <c r="Z24" i="3"/>
  <c r="AZ42" i="2"/>
  <c r="AK175" i="25"/>
  <c r="AL175" i="25"/>
  <c r="AC139" i="25"/>
  <c r="AE208" i="25"/>
  <c r="C53" i="31"/>
  <c r="T47" i="3"/>
  <c r="V24" i="4"/>
  <c r="J78" i="20"/>
  <c r="J45" i="4"/>
  <c r="AG43" i="2"/>
  <c r="H47" i="3"/>
  <c r="F55" i="28"/>
  <c r="F38" i="28" s="1"/>
  <c r="V46" i="3"/>
  <c r="V47" i="3"/>
  <c r="W47" i="3"/>
  <c r="M72" i="25"/>
  <c r="M75" i="25" s="1"/>
  <c r="M38" i="25" s="1"/>
  <c r="C102" i="25"/>
  <c r="C283" i="25"/>
  <c r="C172" i="25"/>
  <c r="W68" i="25"/>
  <c r="C206" i="25"/>
  <c r="AF104" i="25"/>
  <c r="P37" i="6"/>
  <c r="U45" i="4"/>
  <c r="N55" i="3"/>
  <c r="J72" i="20"/>
  <c r="V65" i="7"/>
  <c r="V64" i="7"/>
  <c r="E64" i="29"/>
  <c r="E44" i="29" s="1"/>
  <c r="AA287" i="25"/>
  <c r="AH140" i="25"/>
  <c r="W55" i="28"/>
  <c r="AH70" i="25" s="1"/>
  <c r="BA238" i="2" s="1"/>
  <c r="AF209" i="25"/>
  <c r="V48" i="3"/>
  <c r="W195" i="27"/>
  <c r="AG69" i="25" s="1"/>
  <c r="AZ237" i="2" s="1"/>
  <c r="J36" i="6"/>
  <c r="O36" i="6"/>
  <c r="P64" i="29"/>
  <c r="Q53" i="31"/>
  <c r="Q24" i="3"/>
  <c r="A41" i="29"/>
  <c r="T51" i="20"/>
  <c r="T56" i="20"/>
  <c r="E195" i="27"/>
  <c r="E131" i="27" s="1"/>
  <c r="N195" i="27"/>
  <c r="N131" i="27" s="1"/>
  <c r="E55" i="28"/>
  <c r="E38" i="28" s="1"/>
  <c r="N53" i="31"/>
  <c r="Z71" i="25" s="1"/>
  <c r="AS239" i="2" s="1"/>
  <c r="Y52" i="3"/>
  <c r="U53" i="3"/>
  <c r="R70" i="26"/>
  <c r="F52" i="31"/>
  <c r="AF285" i="25"/>
  <c r="AF210" i="25"/>
  <c r="Y24" i="3"/>
  <c r="Z26" i="3"/>
  <c r="AD27" i="3" s="1"/>
  <c r="AD36" i="6"/>
  <c r="Z36" i="6"/>
  <c r="T54" i="3"/>
  <c r="K21" i="31"/>
  <c r="C71" i="25" s="1"/>
  <c r="AM42" i="2"/>
  <c r="AM49" i="2" s="1"/>
  <c r="AT42" i="2"/>
  <c r="AT38" i="2" s="1"/>
  <c r="W74" i="20"/>
  <c r="T48" i="20"/>
  <c r="AA173" i="25"/>
  <c r="I53" i="31"/>
  <c r="W49" i="20"/>
  <c r="W48" i="20"/>
  <c r="X71" i="20"/>
  <c r="W47" i="20"/>
  <c r="W56" i="20"/>
  <c r="W55" i="20"/>
  <c r="W54" i="20"/>
  <c r="X60" i="20"/>
  <c r="W53" i="20"/>
  <c r="Y74" i="20"/>
  <c r="Y60" i="20"/>
  <c r="M37" i="20"/>
  <c r="M49" i="20"/>
  <c r="Q28" i="20"/>
  <c r="M54" i="20"/>
  <c r="M56" i="20"/>
  <c r="M43" i="20"/>
  <c r="O68" i="20"/>
  <c r="M38" i="20"/>
  <c r="M47" i="20"/>
  <c r="M51" i="20"/>
  <c r="M44" i="20"/>
  <c r="M50" i="20"/>
  <c r="O73" i="20"/>
  <c r="L69" i="25"/>
  <c r="Y47" i="3"/>
  <c r="V26" i="3"/>
  <c r="AF106" i="25"/>
  <c r="T70" i="26"/>
  <c r="AD72" i="25" s="1"/>
  <c r="AW240" i="2" s="1"/>
  <c r="T37" i="20"/>
  <c r="J37" i="20"/>
  <c r="R48" i="3"/>
  <c r="Q47" i="3"/>
  <c r="P54" i="3"/>
  <c r="H70" i="26"/>
  <c r="AD107" i="25"/>
  <c r="AC107" i="25"/>
  <c r="AE107" i="25"/>
  <c r="AF108" i="25"/>
  <c r="AY76" i="2"/>
  <c r="AB58" i="3"/>
  <c r="BB42" i="2"/>
  <c r="V74" i="20"/>
  <c r="AZ76" i="2"/>
  <c r="AZ77" i="2" s="1"/>
  <c r="AD21" i="5"/>
  <c r="I45" i="4"/>
  <c r="W173" i="25"/>
  <c r="Y103" i="25"/>
  <c r="K195" i="27"/>
  <c r="K131" i="27" s="1"/>
  <c r="O195" i="27"/>
  <c r="Z106" i="25"/>
  <c r="L53" i="20"/>
  <c r="E291" i="25"/>
  <c r="AC103" i="25"/>
  <c r="X142" i="25"/>
  <c r="AI108" i="25"/>
  <c r="AA154" i="27"/>
  <c r="AK104" i="25" s="1"/>
  <c r="AL207" i="25"/>
  <c r="AB177" i="27"/>
  <c r="AC173" i="25"/>
  <c r="L47" i="20"/>
  <c r="L38" i="20"/>
  <c r="Y173" i="25"/>
  <c r="W104" i="25"/>
  <c r="G195" i="27"/>
  <c r="G131" i="27" s="1"/>
  <c r="H195" i="27"/>
  <c r="H131" i="27" s="1"/>
  <c r="AA108" i="25"/>
  <c r="H55" i="28"/>
  <c r="H38" i="28" s="1"/>
  <c r="N94" i="30"/>
  <c r="F53" i="31"/>
  <c r="N45" i="4"/>
  <c r="AC289" i="25"/>
  <c r="AC108" i="25"/>
  <c r="AF139" i="25"/>
  <c r="AB47" i="3"/>
  <c r="AB163" i="27"/>
  <c r="D137" i="25"/>
  <c r="L43" i="20"/>
  <c r="L48" i="20"/>
  <c r="R37" i="6"/>
  <c r="AF103" i="25"/>
  <c r="V53" i="31"/>
  <c r="AG139" i="25"/>
  <c r="AE141" i="25"/>
  <c r="W53" i="31"/>
  <c r="AB158" i="27"/>
  <c r="AB168" i="27"/>
  <c r="L44" i="20"/>
  <c r="U65" i="7"/>
  <c r="U64" i="7"/>
  <c r="W103" i="25"/>
  <c r="AE105" i="25"/>
  <c r="AF138" i="25"/>
  <c r="AH139" i="25"/>
  <c r="AJ286" i="25"/>
  <c r="AI210" i="25"/>
  <c r="AA142" i="27"/>
  <c r="AA158" i="27"/>
  <c r="AA47" i="28"/>
  <c r="AL139" i="25" s="1"/>
  <c r="H177" i="25"/>
  <c r="T65" i="7"/>
  <c r="T64" i="7"/>
  <c r="X104" i="25"/>
  <c r="W290" i="25"/>
  <c r="I143" i="25"/>
  <c r="G77" i="20"/>
  <c r="V55" i="28"/>
  <c r="AI139" i="25"/>
  <c r="AI207" i="25"/>
  <c r="AB54" i="3"/>
  <c r="AF55" i="3" s="1"/>
  <c r="AC30" i="6"/>
  <c r="S64" i="7"/>
  <c r="S65" i="7"/>
  <c r="I195" i="27"/>
  <c r="I131" i="27" s="1"/>
  <c r="M195" i="27"/>
  <c r="AA105" i="25"/>
  <c r="AA106" i="25"/>
  <c r="F195" i="27"/>
  <c r="F131" i="27" s="1"/>
  <c r="W65" i="7"/>
  <c r="W64" i="7"/>
  <c r="AC105" i="25"/>
  <c r="Y46" i="3"/>
  <c r="AJ285" i="25"/>
  <c r="AZ47" i="2"/>
  <c r="AD52" i="3"/>
  <c r="AA183" i="27"/>
  <c r="Z81" i="30"/>
  <c r="Y42" i="31"/>
  <c r="P177" i="25"/>
  <c r="Y21" i="5"/>
  <c r="P58" i="3"/>
  <c r="D55" i="28"/>
  <c r="D38" i="28" s="1"/>
  <c r="AD207" i="25"/>
  <c r="P78" i="20"/>
  <c r="U52" i="31"/>
  <c r="BC47" i="2"/>
  <c r="AD53" i="3"/>
  <c r="AD47" i="3"/>
  <c r="BD43" i="2"/>
  <c r="AD54" i="3"/>
  <c r="AE56" i="3" s="1"/>
  <c r="BD119" i="2"/>
  <c r="AD24" i="4"/>
  <c r="AK247" i="2"/>
  <c r="AL271" i="2"/>
  <c r="AH272" i="2"/>
  <c r="AN272" i="2"/>
  <c r="S245" i="2"/>
  <c r="O271" i="2"/>
  <c r="S271" i="2"/>
  <c r="AW38" i="2"/>
  <c r="X65" i="7"/>
  <c r="X64" i="7"/>
  <c r="Z64" i="7"/>
  <c r="Y65" i="7"/>
  <c r="Y64" i="7"/>
  <c r="Z65" i="7"/>
  <c r="Z42" i="7"/>
  <c r="Z43" i="7"/>
  <c r="X71" i="7"/>
  <c r="U43" i="7"/>
  <c r="U42" i="7"/>
  <c r="P42" i="7"/>
  <c r="P43" i="7"/>
  <c r="V42" i="7"/>
  <c r="V43" i="7"/>
  <c r="S42" i="7"/>
  <c r="S43" i="7"/>
  <c r="R42" i="7"/>
  <c r="R43" i="7"/>
  <c r="W71" i="7"/>
  <c r="T42" i="7"/>
  <c r="T43" i="7"/>
  <c r="W42" i="7"/>
  <c r="W43" i="7"/>
  <c r="Q42" i="7"/>
  <c r="Q43" i="7"/>
  <c r="X42" i="7"/>
  <c r="X43" i="7"/>
  <c r="Y42" i="7"/>
  <c r="Y43" i="7"/>
  <c r="F52" i="7"/>
  <c r="J48" i="7"/>
  <c r="J44" i="7"/>
  <c r="Z49" i="7"/>
  <c r="J51" i="7"/>
  <c r="S71" i="7"/>
  <c r="Y71" i="7"/>
  <c r="J56" i="7"/>
  <c r="U71" i="7"/>
  <c r="Z71" i="7"/>
  <c r="S49" i="7"/>
  <c r="V71" i="7"/>
  <c r="F48" i="7"/>
  <c r="T71" i="7"/>
  <c r="M16" i="7"/>
  <c r="F54" i="7"/>
  <c r="Y49" i="7"/>
  <c r="BB208" i="2"/>
  <c r="BF209" i="2" s="1"/>
  <c r="K27" i="7"/>
  <c r="J47" i="7"/>
  <c r="F41" i="7"/>
  <c r="F40" i="7"/>
  <c r="J53" i="7"/>
  <c r="P53" i="7"/>
  <c r="P49" i="7"/>
  <c r="V41" i="7"/>
  <c r="V49" i="7"/>
  <c r="J52" i="7"/>
  <c r="J27" i="7"/>
  <c r="R49" i="7"/>
  <c r="T51" i="7"/>
  <c r="T49" i="7"/>
  <c r="W27" i="7"/>
  <c r="W49" i="7"/>
  <c r="J39" i="7"/>
  <c r="F55" i="7"/>
  <c r="Q52" i="7"/>
  <c r="Q49" i="7"/>
  <c r="X47" i="7"/>
  <c r="X49" i="7"/>
  <c r="U53" i="7"/>
  <c r="U49" i="7"/>
  <c r="F53" i="7"/>
  <c r="F38" i="7"/>
  <c r="J40" i="7"/>
  <c r="G40" i="7"/>
  <c r="J54" i="7"/>
  <c r="F47" i="7"/>
  <c r="J38" i="7"/>
  <c r="J55" i="7"/>
  <c r="J41" i="7"/>
  <c r="W53" i="7"/>
  <c r="W52" i="7"/>
  <c r="AW208" i="2"/>
  <c r="I53" i="7"/>
  <c r="I54" i="7"/>
  <c r="V48" i="7"/>
  <c r="W44" i="7"/>
  <c r="W38" i="7"/>
  <c r="W41" i="7"/>
  <c r="W55" i="7"/>
  <c r="Q47" i="7"/>
  <c r="Q55" i="7"/>
  <c r="V53" i="7"/>
  <c r="V38" i="7"/>
  <c r="V44" i="7"/>
  <c r="Q44" i="7"/>
  <c r="V52" i="7"/>
  <c r="W40" i="7"/>
  <c r="J28" i="7"/>
  <c r="I44" i="7"/>
  <c r="AQ208" i="2"/>
  <c r="AQ209" i="2" s="1"/>
  <c r="W48" i="7"/>
  <c r="V54" i="7"/>
  <c r="V55" i="7"/>
  <c r="I48" i="7"/>
  <c r="W28" i="7"/>
  <c r="I56" i="7"/>
  <c r="Q38" i="7"/>
  <c r="Q51" i="7"/>
  <c r="Y73" i="7"/>
  <c r="W47" i="7"/>
  <c r="I52" i="7"/>
  <c r="Q54" i="7"/>
  <c r="Z41" i="7"/>
  <c r="AC29" i="7"/>
  <c r="W77" i="7"/>
  <c r="K48" i="7"/>
  <c r="G28" i="7"/>
  <c r="T55" i="7"/>
  <c r="K47" i="7"/>
  <c r="K53" i="7"/>
  <c r="K38" i="7"/>
  <c r="T39" i="7"/>
  <c r="K54" i="7"/>
  <c r="G54" i="7"/>
  <c r="AP208" i="2"/>
  <c r="T40" i="7"/>
  <c r="K44" i="7"/>
  <c r="G55" i="7"/>
  <c r="G39" i="7"/>
  <c r="G41" i="7"/>
  <c r="T41" i="7"/>
  <c r="T52" i="7"/>
  <c r="K28" i="7"/>
  <c r="X51" i="7"/>
  <c r="W73" i="7"/>
  <c r="AT208" i="2"/>
  <c r="T44" i="7"/>
  <c r="K41" i="7"/>
  <c r="G53" i="7"/>
  <c r="G38" i="7"/>
  <c r="G45" i="7"/>
  <c r="AU208" i="2"/>
  <c r="K51" i="7"/>
  <c r="T53" i="7"/>
  <c r="T54" i="7"/>
  <c r="K52" i="7"/>
  <c r="G48" i="7"/>
  <c r="X70" i="7"/>
  <c r="K45" i="7"/>
  <c r="T38" i="7"/>
  <c r="T47" i="7"/>
  <c r="K55" i="7"/>
  <c r="G51" i="7"/>
  <c r="G52" i="7"/>
  <c r="U27" i="7"/>
  <c r="K39" i="7"/>
  <c r="G47" i="7"/>
  <c r="W69" i="7"/>
  <c r="AX208" i="2"/>
  <c r="I67" i="7"/>
  <c r="P52" i="7"/>
  <c r="R47" i="7"/>
  <c r="I40" i="7"/>
  <c r="I41" i="7"/>
  <c r="I51" i="7"/>
  <c r="I38" i="7"/>
  <c r="D44" i="7"/>
  <c r="I55" i="7"/>
  <c r="D40" i="7"/>
  <c r="G73" i="7"/>
  <c r="I39" i="7"/>
  <c r="D53" i="7"/>
  <c r="K66" i="7"/>
  <c r="I45" i="7"/>
  <c r="I60" i="7"/>
  <c r="I47" i="7"/>
  <c r="Y74" i="7"/>
  <c r="Y51" i="7"/>
  <c r="E54" i="7"/>
  <c r="Y40" i="7"/>
  <c r="E48" i="7"/>
  <c r="G61" i="7"/>
  <c r="R41" i="7"/>
  <c r="E45" i="7"/>
  <c r="R48" i="7"/>
  <c r="R44" i="7"/>
  <c r="E38" i="7"/>
  <c r="G29" i="7"/>
  <c r="G30" i="7" s="1"/>
  <c r="I27" i="7"/>
  <c r="E44" i="7"/>
  <c r="E40" i="7"/>
  <c r="G67" i="7"/>
  <c r="T62" i="7"/>
  <c r="G76" i="7"/>
  <c r="R55" i="7"/>
  <c r="E55" i="7"/>
  <c r="E52" i="7"/>
  <c r="E41" i="7"/>
  <c r="G60" i="7"/>
  <c r="R28" i="7"/>
  <c r="R39" i="7"/>
  <c r="R54" i="7"/>
  <c r="R40" i="7"/>
  <c r="AR208" i="2"/>
  <c r="AR209" i="2" s="1"/>
  <c r="V27" i="7"/>
  <c r="E51" i="7"/>
  <c r="E39" i="7"/>
  <c r="R52" i="7"/>
  <c r="R38" i="7"/>
  <c r="R51" i="7"/>
  <c r="R53" i="7"/>
  <c r="N51" i="7"/>
  <c r="N47" i="7"/>
  <c r="N38" i="7"/>
  <c r="N54" i="7"/>
  <c r="N41" i="7"/>
  <c r="N44" i="7"/>
  <c r="N40" i="7"/>
  <c r="N55" i="7"/>
  <c r="N27" i="7"/>
  <c r="N45" i="7"/>
  <c r="N56" i="7"/>
  <c r="N48" i="7"/>
  <c r="N52" i="7"/>
  <c r="N53" i="7"/>
  <c r="N39" i="7"/>
  <c r="R27" i="7"/>
  <c r="Y66" i="7"/>
  <c r="P51" i="7"/>
  <c r="C44" i="7"/>
  <c r="X52" i="7"/>
  <c r="G74" i="7"/>
  <c r="W68" i="7"/>
  <c r="H38" i="7"/>
  <c r="X61" i="7"/>
  <c r="X66" i="7"/>
  <c r="X60" i="7"/>
  <c r="X68" i="7"/>
  <c r="P45" i="7"/>
  <c r="P40" i="7"/>
  <c r="H52" i="7"/>
  <c r="P39" i="7"/>
  <c r="K61" i="7"/>
  <c r="W61" i="7"/>
  <c r="X77" i="7"/>
  <c r="AB38" i="7"/>
  <c r="Y61" i="7"/>
  <c r="X28" i="7"/>
  <c r="P55" i="7"/>
  <c r="X53" i="7"/>
  <c r="H74" i="7"/>
  <c r="F63" i="7"/>
  <c r="W66" i="7"/>
  <c r="X55" i="7"/>
  <c r="C47" i="7"/>
  <c r="U44" i="7"/>
  <c r="X69" i="7"/>
  <c r="U54" i="7"/>
  <c r="U41" i="7"/>
  <c r="D41" i="7"/>
  <c r="X76" i="7"/>
  <c r="D45" i="7"/>
  <c r="P38" i="7"/>
  <c r="AB53" i="7"/>
  <c r="W29" i="7"/>
  <c r="K73" i="7"/>
  <c r="X48" i="7"/>
  <c r="X27" i="7"/>
  <c r="G68" i="7"/>
  <c r="G62" i="7"/>
  <c r="W76" i="7"/>
  <c r="G77" i="7"/>
  <c r="X29" i="7"/>
  <c r="U38" i="7"/>
  <c r="X74" i="7"/>
  <c r="X75" i="7"/>
  <c r="Q28" i="7"/>
  <c r="D38" i="7"/>
  <c r="V69" i="7"/>
  <c r="X73" i="7"/>
  <c r="V28" i="7"/>
  <c r="X41" i="7"/>
  <c r="W70" i="7"/>
  <c r="G75" i="7"/>
  <c r="W62" i="7"/>
  <c r="W75" i="7"/>
  <c r="U51" i="7"/>
  <c r="U39" i="7"/>
  <c r="U40" i="7"/>
  <c r="P54" i="7"/>
  <c r="D48" i="7"/>
  <c r="BA208" i="2"/>
  <c r="BE209" i="2" s="1"/>
  <c r="U47" i="7"/>
  <c r="U55" i="7"/>
  <c r="H39" i="7"/>
  <c r="J77" i="7"/>
  <c r="X38" i="7"/>
  <c r="G63" i="7"/>
  <c r="U28" i="7"/>
  <c r="F70" i="7"/>
  <c r="G66" i="7"/>
  <c r="G69" i="7"/>
  <c r="X63" i="7"/>
  <c r="W60" i="7"/>
  <c r="U52" i="7"/>
  <c r="U73" i="7"/>
  <c r="D54" i="7"/>
  <c r="AB27" i="7"/>
  <c r="P41" i="7"/>
  <c r="D52" i="7"/>
  <c r="Y27" i="7"/>
  <c r="X44" i="7"/>
  <c r="I75" i="7"/>
  <c r="W63" i="7"/>
  <c r="P44" i="7"/>
  <c r="Y62" i="7"/>
  <c r="C41" i="7"/>
  <c r="J68" i="7"/>
  <c r="G70" i="7"/>
  <c r="T27" i="7"/>
  <c r="H66" i="7"/>
  <c r="K74" i="7"/>
  <c r="U48" i="7"/>
  <c r="X62" i="7"/>
  <c r="W74" i="7"/>
  <c r="S62" i="7"/>
  <c r="D51" i="7"/>
  <c r="AA27" i="7"/>
  <c r="P47" i="7"/>
  <c r="D39" i="7"/>
  <c r="D47" i="7"/>
  <c r="P48" i="7"/>
  <c r="AB55" i="7"/>
  <c r="AD45" i="4"/>
  <c r="S24" i="4"/>
  <c r="Q45" i="4"/>
  <c r="Y24" i="4"/>
  <c r="H45" i="4"/>
  <c r="AH120" i="2"/>
  <c r="AL122" i="2" s="1"/>
  <c r="AM31" i="2" s="1"/>
  <c r="W45" i="4"/>
  <c r="R45" i="4"/>
  <c r="T24" i="4"/>
  <c r="AK123" i="2"/>
  <c r="X45" i="4"/>
  <c r="Z23" i="6"/>
  <c r="AD23" i="6"/>
  <c r="Z24" i="6"/>
  <c r="AD24" i="6"/>
  <c r="AD25" i="6"/>
  <c r="R151" i="2" s="1"/>
  <c r="G149" i="2" s="1"/>
  <c r="K11" i="2" s="1"/>
  <c r="P61" i="20"/>
  <c r="W71" i="20"/>
  <c r="X63" i="20"/>
  <c r="W76" i="20"/>
  <c r="V48" i="20"/>
  <c r="V49" i="20"/>
  <c r="Y70" i="20"/>
  <c r="F42" i="20"/>
  <c r="G68" i="20"/>
  <c r="I63" i="20"/>
  <c r="P74" i="20"/>
  <c r="P77" i="20"/>
  <c r="O78" i="20"/>
  <c r="V50" i="20"/>
  <c r="N44" i="20"/>
  <c r="N51" i="20"/>
  <c r="G67" i="20"/>
  <c r="N55" i="20"/>
  <c r="G78" i="20"/>
  <c r="I75" i="20"/>
  <c r="G71" i="20"/>
  <c r="F52" i="20"/>
  <c r="AD41" i="20"/>
  <c r="AD28" i="20"/>
  <c r="AD53" i="20"/>
  <c r="AD37" i="20"/>
  <c r="Q72" i="20"/>
  <c r="Y68" i="20"/>
  <c r="X76" i="20"/>
  <c r="V38" i="20"/>
  <c r="X72" i="20"/>
  <c r="V78" i="20"/>
  <c r="V55" i="20"/>
  <c r="V68" i="20"/>
  <c r="H72" i="20"/>
  <c r="H70" i="20"/>
  <c r="J28" i="20"/>
  <c r="N60" i="20"/>
  <c r="N56" i="20"/>
  <c r="Y73" i="20"/>
  <c r="N29" i="20"/>
  <c r="Q74" i="20"/>
  <c r="I73" i="20"/>
  <c r="H76" i="20"/>
  <c r="P70" i="20"/>
  <c r="I77" i="20"/>
  <c r="I78" i="20"/>
  <c r="H64" i="20"/>
  <c r="O66" i="20"/>
  <c r="AC37" i="20"/>
  <c r="AC41" i="20"/>
  <c r="P76" i="20"/>
  <c r="Q70" i="20"/>
  <c r="Y61" i="20"/>
  <c r="V71" i="20"/>
  <c r="V44" i="20"/>
  <c r="Y71" i="20"/>
  <c r="W78" i="20"/>
  <c r="Y63" i="20"/>
  <c r="H60" i="20"/>
  <c r="H66" i="20"/>
  <c r="I66" i="20"/>
  <c r="F44" i="20"/>
  <c r="P73" i="20"/>
  <c r="O63" i="20"/>
  <c r="Q60" i="20"/>
  <c r="O74" i="20"/>
  <c r="O76" i="20"/>
  <c r="P68" i="20"/>
  <c r="V73" i="20"/>
  <c r="N50" i="20"/>
  <c r="F51" i="20"/>
  <c r="F41" i="20"/>
  <c r="I76" i="20"/>
  <c r="O67" i="20"/>
  <c r="I68" i="20"/>
  <c r="F43" i="20"/>
  <c r="O77" i="20"/>
  <c r="P63" i="20"/>
  <c r="Q67" i="20"/>
  <c r="Z28" i="20"/>
  <c r="V45" i="20"/>
  <c r="W70" i="20"/>
  <c r="V56" i="20"/>
  <c r="V70" i="20"/>
  <c r="V72" i="20"/>
  <c r="X77" i="20"/>
  <c r="V61" i="20"/>
  <c r="I71" i="20"/>
  <c r="H77" i="20"/>
  <c r="N48" i="20"/>
  <c r="X74" i="20"/>
  <c r="O70" i="20"/>
  <c r="N40" i="20"/>
  <c r="Q73" i="20"/>
  <c r="F50" i="20"/>
  <c r="F38" i="20"/>
  <c r="H61" i="20"/>
  <c r="I64" i="20"/>
  <c r="F40" i="20"/>
  <c r="H78" i="20"/>
  <c r="I67" i="20"/>
  <c r="AC63" i="20"/>
  <c r="AC64" i="20"/>
  <c r="Z41" i="20"/>
  <c r="Y72" i="20"/>
  <c r="V41" i="20"/>
  <c r="N37" i="20"/>
  <c r="I61" i="20"/>
  <c r="Q77" i="20"/>
  <c r="Q71" i="20"/>
  <c r="V40" i="20"/>
  <c r="V47" i="20"/>
  <c r="X68" i="20"/>
  <c r="V53" i="20"/>
  <c r="W68" i="20"/>
  <c r="X70" i="20"/>
  <c r="W60" i="20"/>
  <c r="G63" i="20"/>
  <c r="G64" i="20"/>
  <c r="W73" i="20"/>
  <c r="N61" i="20"/>
  <c r="N45" i="20"/>
  <c r="N74" i="20"/>
  <c r="N28" i="20"/>
  <c r="N38" i="20"/>
  <c r="I74" i="20"/>
  <c r="G74" i="20"/>
  <c r="F53" i="20"/>
  <c r="G61" i="20"/>
  <c r="N49" i="20"/>
  <c r="I72" i="20"/>
  <c r="F56" i="20"/>
  <c r="H68" i="20"/>
  <c r="AB74" i="20"/>
  <c r="AB61" i="20"/>
  <c r="AB60" i="20"/>
  <c r="Y41" i="20"/>
  <c r="AB73" i="20"/>
  <c r="AB68" i="20"/>
  <c r="AB71" i="20"/>
  <c r="AB70" i="20"/>
  <c r="AB64" i="20"/>
  <c r="AB78" i="20"/>
  <c r="AB63" i="20"/>
  <c r="AB77" i="20"/>
  <c r="AB76" i="20"/>
  <c r="AA41" i="20"/>
  <c r="AD60" i="20"/>
  <c r="AD64" i="20"/>
  <c r="Q68" i="20"/>
  <c r="Q61" i="20"/>
  <c r="V54" i="20"/>
  <c r="W63" i="20"/>
  <c r="X78" i="20"/>
  <c r="V63" i="20"/>
  <c r="V67" i="20"/>
  <c r="V76" i="20"/>
  <c r="F46" i="20"/>
  <c r="F49" i="20"/>
  <c r="P71" i="20"/>
  <c r="O71" i="20"/>
  <c r="X73" i="20"/>
  <c r="O60" i="20"/>
  <c r="N76" i="20"/>
  <c r="P67" i="20"/>
  <c r="H74" i="20"/>
  <c r="I60" i="20"/>
  <c r="G73" i="20"/>
  <c r="G76" i="20"/>
  <c r="F37" i="20"/>
  <c r="O72" i="20"/>
  <c r="H63" i="20"/>
  <c r="F48" i="20"/>
  <c r="F55" i="20"/>
  <c r="AA70" i="20"/>
  <c r="X41" i="20"/>
  <c r="Q78" i="20"/>
  <c r="Q76" i="20"/>
  <c r="W77" i="20"/>
  <c r="Y78" i="20"/>
  <c r="X61" i="20"/>
  <c r="Y77" i="20"/>
  <c r="W61" i="20"/>
  <c r="V60" i="20"/>
  <c r="W72" i="20"/>
  <c r="G75" i="20"/>
  <c r="H75" i="20"/>
  <c r="F47" i="20"/>
  <c r="H67" i="20"/>
  <c r="N43" i="20"/>
  <c r="P72" i="20"/>
  <c r="V51" i="20"/>
  <c r="N54" i="20"/>
  <c r="P60" i="20"/>
  <c r="N77" i="20"/>
  <c r="H73" i="20"/>
  <c r="G60" i="20"/>
  <c r="F54" i="20"/>
  <c r="Z72" i="20"/>
  <c r="W41" i="20"/>
  <c r="AC61" i="20"/>
  <c r="AA61" i="20"/>
  <c r="AC38" i="20"/>
  <c r="AB28" i="20"/>
  <c r="AC40" i="20"/>
  <c r="X47" i="20"/>
  <c r="AA76" i="20"/>
  <c r="AC50" i="20"/>
  <c r="X48" i="20"/>
  <c r="AA73" i="20"/>
  <c r="AC70" i="20"/>
  <c r="AC51" i="20"/>
  <c r="Z60" i="20"/>
  <c r="AC53" i="20"/>
  <c r="AA63" i="26"/>
  <c r="AA61" i="26"/>
  <c r="AB61" i="26"/>
  <c r="AB175" i="27"/>
  <c r="AA175" i="27"/>
  <c r="AA54" i="29"/>
  <c r="S36" i="6"/>
  <c r="AV119" i="2"/>
  <c r="T64" i="29"/>
  <c r="C39" i="7"/>
  <c r="AF120" i="2"/>
  <c r="AF122" i="2" s="1"/>
  <c r="AG31" i="2" s="1"/>
  <c r="AB161" i="27"/>
  <c r="AA161" i="27"/>
  <c r="AA191" i="27"/>
  <c r="AK108" i="25" s="1"/>
  <c r="AA75" i="30"/>
  <c r="AL286" i="25" s="1"/>
  <c r="Z75" i="30"/>
  <c r="W36" i="6"/>
  <c r="AH103" i="25"/>
  <c r="AH104" i="25"/>
  <c r="G27" i="7"/>
  <c r="E58" i="3"/>
  <c r="S94" i="30"/>
  <c r="AD73" i="25" s="1"/>
  <c r="AD288" i="25"/>
  <c r="N22" i="5"/>
  <c r="K21" i="5"/>
  <c r="I54" i="3"/>
  <c r="J48" i="3"/>
  <c r="M46" i="3"/>
  <c r="AI46" i="2"/>
  <c r="I58" i="3"/>
  <c r="AR119" i="2"/>
  <c r="R24" i="4"/>
  <c r="P55" i="28"/>
  <c r="AA142" i="25"/>
  <c r="P53" i="31"/>
  <c r="P52" i="31"/>
  <c r="L53" i="31"/>
  <c r="L52" i="31"/>
  <c r="H291" i="25"/>
  <c r="F66" i="7"/>
  <c r="C38" i="7"/>
  <c r="C52" i="7"/>
  <c r="F60" i="7"/>
  <c r="F74" i="7"/>
  <c r="C40" i="7"/>
  <c r="C51" i="7"/>
  <c r="F68" i="7"/>
  <c r="F67" i="7"/>
  <c r="F75" i="7"/>
  <c r="C45" i="7"/>
  <c r="C48" i="7"/>
  <c r="C55" i="7"/>
  <c r="F76" i="7"/>
  <c r="F69" i="7"/>
  <c r="C53" i="7"/>
  <c r="F73" i="7"/>
  <c r="F77" i="7"/>
  <c r="F62" i="7"/>
  <c r="F61" i="7"/>
  <c r="C54" i="7"/>
  <c r="AA104" i="25"/>
  <c r="Q195" i="27"/>
  <c r="L195" i="27"/>
  <c r="L131" i="27" s="1"/>
  <c r="AB285" i="25"/>
  <c r="Q94" i="30"/>
  <c r="M94" i="30"/>
  <c r="X287" i="25"/>
  <c r="P24" i="4"/>
  <c r="AL119" i="2"/>
  <c r="AF175" i="25"/>
  <c r="V70" i="26"/>
  <c r="W70" i="26"/>
  <c r="AG174" i="25"/>
  <c r="O47" i="3"/>
  <c r="AJ108" i="25"/>
  <c r="AZ119" i="2"/>
  <c r="Y105" i="25"/>
  <c r="W105" i="25"/>
  <c r="Y108" i="25"/>
  <c r="AD108" i="25"/>
  <c r="AB174" i="25"/>
  <c r="W21" i="5"/>
  <c r="AG108" i="25"/>
  <c r="AD103" i="25"/>
  <c r="AI212" i="25"/>
  <c r="O46" i="3"/>
  <c r="AH106" i="25"/>
  <c r="R54" i="3"/>
  <c r="R55" i="3" s="1"/>
  <c r="AR47" i="2"/>
  <c r="AN120" i="2"/>
  <c r="AN121" i="2" s="1"/>
  <c r="S70" i="20"/>
  <c r="S72" i="20"/>
  <c r="R67" i="20"/>
  <c r="S71" i="20"/>
  <c r="T76" i="20"/>
  <c r="R50" i="20"/>
  <c r="S76" i="20"/>
  <c r="S61" i="20"/>
  <c r="U77" i="20"/>
  <c r="T78" i="20"/>
  <c r="R45" i="20"/>
  <c r="U78" i="20"/>
  <c r="T71" i="20"/>
  <c r="R61" i="20"/>
  <c r="K54" i="20"/>
  <c r="N67" i="20"/>
  <c r="K51" i="20"/>
  <c r="K53" i="20"/>
  <c r="K55" i="20"/>
  <c r="N72" i="20"/>
  <c r="N68" i="20"/>
  <c r="N73" i="20"/>
  <c r="N71" i="20"/>
  <c r="K48" i="20"/>
  <c r="K47" i="20"/>
  <c r="N78" i="20"/>
  <c r="K38" i="20"/>
  <c r="K44" i="20"/>
  <c r="K28" i="20"/>
  <c r="N63" i="20"/>
  <c r="O28" i="20"/>
  <c r="K45" i="20"/>
  <c r="K40" i="20"/>
  <c r="N66" i="20"/>
  <c r="K37" i="20"/>
  <c r="N70" i="20"/>
  <c r="AI174" i="25"/>
  <c r="BB76" i="2"/>
  <c r="Y107" i="25"/>
  <c r="AF141" i="25"/>
  <c r="AD58" i="3"/>
  <c r="AC21" i="5"/>
  <c r="AA167" i="27"/>
  <c r="AB167" i="27"/>
  <c r="U52" i="3"/>
  <c r="AB173" i="25"/>
  <c r="AE173" i="25"/>
  <c r="X54" i="3"/>
  <c r="AX43" i="2"/>
  <c r="AX44" i="2" s="1"/>
  <c r="AB46" i="3"/>
  <c r="AD68" i="20"/>
  <c r="AD54" i="20"/>
  <c r="Z47" i="3"/>
  <c r="AZ43" i="2"/>
  <c r="AC24" i="4"/>
  <c r="BC119" i="2"/>
  <c r="BH119" i="2" s="1"/>
  <c r="AA91" i="30"/>
  <c r="Z91" i="30"/>
  <c r="AD174" i="25"/>
  <c r="T68" i="7"/>
  <c r="Y174" i="25"/>
  <c r="Z174" i="25"/>
  <c r="AB103" i="25"/>
  <c r="X106" i="25"/>
  <c r="X107" i="25"/>
  <c r="AB108" i="25"/>
  <c r="F25" i="6"/>
  <c r="AA28" i="20"/>
  <c r="Z63" i="20"/>
  <c r="W50" i="20"/>
  <c r="Z78" i="20"/>
  <c r="W51" i="20"/>
  <c r="W37" i="20"/>
  <c r="X52" i="31"/>
  <c r="AJ209" i="25"/>
  <c r="AB24" i="3"/>
  <c r="Z30" i="6"/>
  <c r="AA37" i="6"/>
  <c r="AK138" i="25"/>
  <c r="AB154" i="27"/>
  <c r="Q104" i="25"/>
  <c r="AB139" i="27"/>
  <c r="AA139" i="27"/>
  <c r="AA150" i="27"/>
  <c r="AB150" i="27"/>
  <c r="AA84" i="30"/>
  <c r="AL288" i="25" s="1"/>
  <c r="Z84" i="30"/>
  <c r="AB172" i="27"/>
  <c r="AA172" i="27"/>
  <c r="Z173" i="25"/>
  <c r="AA107" i="25"/>
  <c r="J75" i="25"/>
  <c r="J38" i="25" s="1"/>
  <c r="AE139" i="25"/>
  <c r="AD76" i="20"/>
  <c r="AB53" i="20"/>
  <c r="AC73" i="20"/>
  <c r="AB50" i="20"/>
  <c r="AC76" i="20"/>
  <c r="AB37" i="20"/>
  <c r="AD77" i="20"/>
  <c r="AB47" i="20"/>
  <c r="T195" i="27"/>
  <c r="AD210" i="25"/>
  <c r="AC174" i="25"/>
  <c r="I70" i="26"/>
  <c r="K70" i="26"/>
  <c r="L70" i="26"/>
  <c r="E70" i="26"/>
  <c r="M70" i="26"/>
  <c r="AB104" i="25"/>
  <c r="Z104" i="25"/>
  <c r="E94" i="30"/>
  <c r="E64" i="30" s="1"/>
  <c r="I94" i="30"/>
  <c r="I64" i="30" s="1"/>
  <c r="F94" i="30"/>
  <c r="F64" i="30" s="1"/>
  <c r="Y286" i="25"/>
  <c r="X286" i="25"/>
  <c r="D94" i="30"/>
  <c r="D64" i="30" s="1"/>
  <c r="W287" i="25"/>
  <c r="K94" i="30"/>
  <c r="K64" i="30" s="1"/>
  <c r="J94" i="30"/>
  <c r="J64" i="30" s="1"/>
  <c r="X288" i="25"/>
  <c r="H94" i="30"/>
  <c r="AA289" i="25"/>
  <c r="Z289" i="25"/>
  <c r="Y289" i="25"/>
  <c r="Y290" i="25"/>
  <c r="AA174" i="25"/>
  <c r="AE103" i="25"/>
  <c r="V25" i="6"/>
  <c r="P151" i="2" s="1"/>
  <c r="AJ207" i="25"/>
  <c r="X47" i="3"/>
  <c r="AB157" i="27"/>
  <c r="AB60" i="26"/>
  <c r="Q108" i="25"/>
  <c r="R108" i="25"/>
  <c r="AA156" i="27"/>
  <c r="AB162" i="27"/>
  <c r="AA162" i="27"/>
  <c r="R140" i="25"/>
  <c r="AA49" i="28"/>
  <c r="Z49" i="28"/>
  <c r="AI271" i="2"/>
  <c r="AB106" i="25"/>
  <c r="Y106" i="25"/>
  <c r="W106" i="25"/>
  <c r="W107" i="25"/>
  <c r="AB107" i="25"/>
  <c r="AC106" i="25"/>
  <c r="Z29" i="20"/>
  <c r="Q177" i="2" s="1"/>
  <c r="AX120" i="2"/>
  <c r="AX122" i="2" s="1"/>
  <c r="AY31" i="2" s="1"/>
  <c r="X55" i="28"/>
  <c r="AI285" i="25"/>
  <c r="AJ287" i="25"/>
  <c r="AJ288" i="25"/>
  <c r="AJ290" i="25"/>
  <c r="AJ208" i="25"/>
  <c r="Z64" i="29"/>
  <c r="AJ212" i="25"/>
  <c r="AB40" i="20"/>
  <c r="AK174" i="25"/>
  <c r="AA88" i="30"/>
  <c r="Z88" i="30"/>
  <c r="Q291" i="25"/>
  <c r="V52" i="31"/>
  <c r="AC45" i="20"/>
  <c r="AC54" i="20"/>
  <c r="Z37" i="6"/>
  <c r="AD38" i="6" s="1"/>
  <c r="AB36" i="6"/>
  <c r="AK107" i="25"/>
  <c r="R207" i="25"/>
  <c r="Q106" i="25"/>
  <c r="AG106" i="25"/>
  <c r="V30" i="6"/>
  <c r="M29" i="20"/>
  <c r="AJ109" i="25"/>
  <c r="AC47" i="20"/>
  <c r="AA146" i="27"/>
  <c r="AB159" i="27"/>
  <c r="AB160" i="27"/>
  <c r="AG173" i="25"/>
  <c r="U30" i="6"/>
  <c r="J25" i="6"/>
  <c r="AC48" i="20"/>
  <c r="AC56" i="20"/>
  <c r="Q105" i="25"/>
  <c r="O143" i="25"/>
  <c r="O291" i="25"/>
  <c r="Z48" i="3"/>
  <c r="AA30" i="6"/>
  <c r="R291" i="25"/>
  <c r="R24" i="6"/>
  <c r="X53" i="31"/>
  <c r="AJ105" i="25"/>
  <c r="Y53" i="3"/>
  <c r="Z47" i="28"/>
  <c r="AK139" i="25" s="1"/>
  <c r="Q208" i="25"/>
  <c r="BC76" i="2"/>
  <c r="BG77" i="2" s="1"/>
  <c r="G11" i="2" s="1"/>
  <c r="BD76" i="2"/>
  <c r="AF123" i="2"/>
  <c r="AH49" i="2"/>
  <c r="AQ30" i="2"/>
  <c r="G244" i="2"/>
  <c r="U259" i="2"/>
  <c r="AO77" i="2"/>
  <c r="Y260" i="2"/>
  <c r="AN49" i="2"/>
  <c r="AA244" i="2"/>
  <c r="AE272" i="2"/>
  <c r="AT123" i="2"/>
  <c r="AI123" i="2"/>
  <c r="AT121" i="2"/>
  <c r="AP44" i="2"/>
  <c r="AI245" i="2"/>
  <c r="AD272" i="2"/>
  <c r="Z244" i="2"/>
  <c r="W259" i="2"/>
  <c r="AI121" i="2"/>
  <c r="V260" i="2"/>
  <c r="AE245" i="2"/>
  <c r="AZ30" i="2"/>
  <c r="AM50" i="2"/>
  <c r="S244" i="2"/>
  <c r="AK272" i="2"/>
  <c r="Z271" i="2"/>
  <c r="AC271" i="2"/>
  <c r="AP49" i="2"/>
  <c r="AP39" i="2"/>
  <c r="AA245" i="2"/>
  <c r="AN44" i="2"/>
  <c r="AG271" i="2"/>
  <c r="T259" i="2"/>
  <c r="AY50" i="2"/>
  <c r="AV44" i="2"/>
  <c r="T245" i="2"/>
  <c r="AU44" i="2"/>
  <c r="S272" i="2"/>
  <c r="P272" i="2"/>
  <c r="X259" i="2"/>
  <c r="Q244" i="2"/>
  <c r="K245" i="2"/>
  <c r="H244" i="2"/>
  <c r="AM271" i="2"/>
  <c r="AY39" i="2"/>
  <c r="V271" i="2"/>
  <c r="AN50" i="2"/>
  <c r="X272" i="2"/>
  <c r="AO272" i="2"/>
  <c r="AK245" i="2"/>
  <c r="AE271" i="2"/>
  <c r="X271" i="2"/>
  <c r="O272" i="2"/>
  <c r="V29" i="20"/>
  <c r="P177" i="2" s="1"/>
  <c r="AD40" i="20"/>
  <c r="Z70" i="7"/>
  <c r="Z44" i="7"/>
  <c r="Z51" i="7"/>
  <c r="Z52" i="7"/>
  <c r="Z63" i="7"/>
  <c r="Z48" i="7"/>
  <c r="Z46" i="7"/>
  <c r="AA28" i="7"/>
  <c r="AZ208" i="2"/>
  <c r="Z55" i="7"/>
  <c r="Z40" i="7"/>
  <c r="Z69" i="7"/>
  <c r="Z75" i="7"/>
  <c r="Z47" i="7"/>
  <c r="Z27" i="7"/>
  <c r="Z60" i="7"/>
  <c r="Z77" i="7"/>
  <c r="Z53" i="7"/>
  <c r="Z38" i="7"/>
  <c r="AC38" i="7"/>
  <c r="Y28" i="7"/>
  <c r="S47" i="7"/>
  <c r="S53" i="7"/>
  <c r="V68" i="7"/>
  <c r="U62" i="7"/>
  <c r="T28" i="7"/>
  <c r="V77" i="7"/>
  <c r="S38" i="7"/>
  <c r="S29" i="7"/>
  <c r="T73" i="7"/>
  <c r="S60" i="7"/>
  <c r="U74" i="7"/>
  <c r="V63" i="7"/>
  <c r="U69" i="7"/>
  <c r="S48" i="7"/>
  <c r="T75" i="7"/>
  <c r="V76" i="7"/>
  <c r="S74" i="7"/>
  <c r="S63" i="7"/>
  <c r="U76" i="7"/>
  <c r="T69" i="7"/>
  <c r="V73" i="7"/>
  <c r="V62" i="7"/>
  <c r="V75" i="7"/>
  <c r="S55" i="7"/>
  <c r="S75" i="7"/>
  <c r="S77" i="7"/>
  <c r="S28" i="7"/>
  <c r="U60" i="7"/>
  <c r="U75" i="7"/>
  <c r="T77" i="7"/>
  <c r="V61" i="7"/>
  <c r="U29" i="7"/>
  <c r="S68" i="7"/>
  <c r="S40" i="7"/>
  <c r="V29" i="7"/>
  <c r="U61" i="7"/>
  <c r="AS208" i="2"/>
  <c r="S44" i="7"/>
  <c r="S70" i="7"/>
  <c r="S54" i="7"/>
  <c r="S52" i="7"/>
  <c r="T76" i="7"/>
  <c r="U77" i="7"/>
  <c r="T70" i="7"/>
  <c r="V74" i="7"/>
  <c r="U70" i="7"/>
  <c r="S51" i="7"/>
  <c r="S39" i="7"/>
  <c r="U66" i="7"/>
  <c r="S66" i="7"/>
  <c r="S69" i="7"/>
  <c r="S41" i="7"/>
  <c r="T29" i="7"/>
  <c r="U63" i="7"/>
  <c r="T63" i="7"/>
  <c r="V66" i="7"/>
  <c r="S76" i="7"/>
  <c r="T61" i="7"/>
  <c r="V70" i="7"/>
  <c r="U68" i="7"/>
  <c r="T74" i="7"/>
  <c r="T66" i="7"/>
  <c r="V60" i="7"/>
  <c r="S61" i="7"/>
  <c r="S73" i="7"/>
  <c r="T60" i="7"/>
  <c r="Z68" i="7"/>
  <c r="Y77" i="7"/>
  <c r="Z73" i="7"/>
  <c r="Y69" i="7"/>
  <c r="Y60" i="7"/>
  <c r="Y63" i="7"/>
  <c r="Y76" i="7"/>
  <c r="Y38" i="7"/>
  <c r="Y53" i="7"/>
  <c r="Z74" i="7"/>
  <c r="Y68" i="7"/>
  <c r="Y48" i="7"/>
  <c r="Y44" i="7"/>
  <c r="AA29" i="7"/>
  <c r="Y46" i="7"/>
  <c r="Z29" i="7"/>
  <c r="Z28" i="7"/>
  <c r="AY208" i="2"/>
  <c r="AB29" i="7"/>
  <c r="Y70" i="7"/>
  <c r="Y47" i="7"/>
  <c r="Y52" i="7"/>
  <c r="Z62" i="7"/>
  <c r="Y29" i="7"/>
  <c r="Y55" i="7"/>
  <c r="Y41" i="7"/>
  <c r="Y75" i="7"/>
  <c r="Z66" i="7"/>
  <c r="AC27" i="7"/>
  <c r="P271" i="2"/>
  <c r="T271" i="2"/>
  <c r="AJ121" i="2"/>
  <c r="AJ271" i="2"/>
  <c r="Z259" i="2"/>
  <c r="AJ123" i="2"/>
  <c r="AN123" i="2"/>
  <c r="AF244" i="2"/>
  <c r="AJ272" i="2"/>
  <c r="AA259" i="2"/>
  <c r="AH271" i="2"/>
  <c r="AL272" i="2"/>
  <c r="R244" i="2"/>
  <c r="AK244" i="2"/>
  <c r="AF271" i="2"/>
  <c r="AL244" i="2"/>
  <c r="AH108" i="25"/>
  <c r="X195" i="27"/>
  <c r="AO244" i="2"/>
  <c r="F44" i="29"/>
  <c r="H29" i="7"/>
  <c r="M245" i="2"/>
  <c r="H67" i="7"/>
  <c r="K70" i="7"/>
  <c r="H41" i="7"/>
  <c r="H53" i="7"/>
  <c r="I66" i="7"/>
  <c r="I62" i="7"/>
  <c r="I70" i="7"/>
  <c r="H60" i="7"/>
  <c r="K68" i="7"/>
  <c r="H28" i="7"/>
  <c r="I69" i="7"/>
  <c r="J76" i="7"/>
  <c r="H45" i="7"/>
  <c r="H54" i="7"/>
  <c r="K69" i="7"/>
  <c r="H62" i="7"/>
  <c r="I29" i="7"/>
  <c r="I30" i="7" s="1"/>
  <c r="K76" i="7"/>
  <c r="H48" i="7"/>
  <c r="I61" i="7"/>
  <c r="K63" i="7"/>
  <c r="H77" i="7"/>
  <c r="H55" i="7"/>
  <c r="I74" i="7"/>
  <c r="H75" i="7"/>
  <c r="H63" i="7"/>
  <c r="J63" i="7"/>
  <c r="I77" i="7"/>
  <c r="H27" i="7"/>
  <c r="H76" i="7"/>
  <c r="H44" i="7"/>
  <c r="J60" i="7"/>
  <c r="K60" i="7"/>
  <c r="I68" i="7"/>
  <c r="I63" i="7"/>
  <c r="I76" i="7"/>
  <c r="J67" i="7"/>
  <c r="J62" i="7"/>
  <c r="H51" i="7"/>
  <c r="H40" i="7"/>
  <c r="K62" i="7"/>
  <c r="I28" i="7"/>
  <c r="H73" i="7"/>
  <c r="H69" i="7"/>
  <c r="J70" i="7"/>
  <c r="J74" i="7"/>
  <c r="J61" i="7"/>
  <c r="J69" i="7"/>
  <c r="K29" i="7"/>
  <c r="K67" i="7"/>
  <c r="K77" i="7"/>
  <c r="J75" i="7"/>
  <c r="K75" i="7"/>
  <c r="J66" i="7"/>
  <c r="H68" i="7"/>
  <c r="I73" i="7"/>
  <c r="J73" i="7"/>
  <c r="H70" i="7"/>
  <c r="F70" i="26"/>
  <c r="F48" i="26" s="1"/>
  <c r="F70" i="25"/>
  <c r="L94" i="30"/>
  <c r="W285" i="25"/>
  <c r="O94" i="30"/>
  <c r="Z286" i="25"/>
  <c r="P94" i="30"/>
  <c r="AA288" i="25"/>
  <c r="M53" i="31"/>
  <c r="AC288" i="25"/>
  <c r="R94" i="30"/>
  <c r="AC212" i="25"/>
  <c r="S64" i="29"/>
  <c r="AE174" i="25"/>
  <c r="U70" i="26"/>
  <c r="T52" i="31"/>
  <c r="T53" i="31"/>
  <c r="Z24" i="4"/>
  <c r="F47" i="3"/>
  <c r="AF43" i="2"/>
  <c r="AF50" i="2" s="1"/>
  <c r="G47" i="3"/>
  <c r="F48" i="3"/>
  <c r="J46" i="3"/>
  <c r="F54" i="3"/>
  <c r="W244" i="2"/>
  <c r="V245" i="2"/>
  <c r="Z245" i="2"/>
  <c r="V272" i="2"/>
  <c r="Z272" i="2"/>
  <c r="I291" i="25"/>
  <c r="D73" i="25"/>
  <c r="G71" i="25"/>
  <c r="AG209" i="25"/>
  <c r="AE212" i="25"/>
  <c r="AE106" i="25"/>
  <c r="Z21" i="5"/>
  <c r="V21" i="5"/>
  <c r="AI208" i="25"/>
  <c r="Y64" i="29"/>
  <c r="AA260" i="2"/>
  <c r="H61" i="7"/>
  <c r="J29" i="7"/>
  <c r="J30" i="7" s="1"/>
  <c r="AD106" i="25"/>
  <c r="AD105" i="25"/>
  <c r="AK49" i="2"/>
  <c r="X173" i="25"/>
  <c r="AG107" i="25"/>
  <c r="X103" i="25"/>
  <c r="AI287" i="25"/>
  <c r="X94" i="30"/>
  <c r="AI289" i="25"/>
  <c r="AR42" i="2"/>
  <c r="AR38" i="2" s="1"/>
  <c r="S25" i="3"/>
  <c r="D74" i="25"/>
  <c r="AF105" i="25"/>
  <c r="AQ121" i="2"/>
  <c r="AF42" i="2"/>
  <c r="G25" i="3"/>
  <c r="F25" i="3"/>
  <c r="AS120" i="2"/>
  <c r="X23" i="6"/>
  <c r="T30" i="6"/>
  <c r="U64" i="20"/>
  <c r="R38" i="20"/>
  <c r="R56" i="20"/>
  <c r="S74" i="20"/>
  <c r="U73" i="20"/>
  <c r="R68" i="20"/>
  <c r="U61" i="20"/>
  <c r="U70" i="20"/>
  <c r="S67" i="20"/>
  <c r="T68" i="20"/>
  <c r="S77" i="20"/>
  <c r="R55" i="20"/>
  <c r="R44" i="20"/>
  <c r="R63" i="20"/>
  <c r="R54" i="20"/>
  <c r="R51" i="20"/>
  <c r="R47" i="20"/>
  <c r="S78" i="20"/>
  <c r="R73" i="20"/>
  <c r="U74" i="20"/>
  <c r="R70" i="20"/>
  <c r="R78" i="20"/>
  <c r="T60" i="20"/>
  <c r="R40" i="20"/>
  <c r="R71" i="20"/>
  <c r="R74" i="20"/>
  <c r="T70" i="20"/>
  <c r="R29" i="20"/>
  <c r="S68" i="20"/>
  <c r="U72" i="20"/>
  <c r="T77" i="20"/>
  <c r="T67" i="20"/>
  <c r="R77" i="20"/>
  <c r="R53" i="20"/>
  <c r="R48" i="20"/>
  <c r="T74" i="20"/>
  <c r="R28" i="20"/>
  <c r="V28" i="20"/>
  <c r="U60" i="20"/>
  <c r="U76" i="20"/>
  <c r="T63" i="20"/>
  <c r="S60" i="20"/>
  <c r="R37" i="20"/>
  <c r="R49" i="20"/>
  <c r="U68" i="20"/>
  <c r="T73" i="20"/>
  <c r="U67" i="20"/>
  <c r="U63" i="20"/>
  <c r="T72" i="20"/>
  <c r="R60" i="20"/>
  <c r="R76" i="20"/>
  <c r="K23" i="6"/>
  <c r="Z64" i="20"/>
  <c r="R25" i="6"/>
  <c r="P30" i="6"/>
  <c r="AI288" i="25"/>
  <c r="AI290" i="25"/>
  <c r="P74" i="25"/>
  <c r="AJ103" i="25"/>
  <c r="P143" i="25"/>
  <c r="P291" i="25"/>
  <c r="V244" i="2"/>
  <c r="AG272" i="2"/>
  <c r="AK271" i="2"/>
  <c r="AX76" i="2"/>
  <c r="AX77" i="2" s="1"/>
  <c r="AB21" i="5"/>
  <c r="AI103" i="25"/>
  <c r="AY42" i="2"/>
  <c r="AY38" i="2" s="1"/>
  <c r="Y25" i="3"/>
  <c r="BC42" i="2"/>
  <c r="BH41" i="2" s="1"/>
  <c r="AC25" i="3"/>
  <c r="AC24" i="3"/>
  <c r="AC58" i="3"/>
  <c r="AE49" i="2"/>
  <c r="T64" i="20"/>
  <c r="P71" i="25"/>
  <c r="AJ139" i="25"/>
  <c r="AJ141" i="25"/>
  <c r="AI286" i="25"/>
  <c r="AI175" i="25"/>
  <c r="Y70" i="26"/>
  <c r="AI104" i="25"/>
  <c r="AI105" i="25"/>
  <c r="AI106" i="25"/>
  <c r="Y23" i="6"/>
  <c r="Y64" i="20"/>
  <c r="AJ106" i="25"/>
  <c r="Y30" i="6"/>
  <c r="Y37" i="6"/>
  <c r="Z58" i="3"/>
  <c r="AA25" i="3"/>
  <c r="Z25" i="3"/>
  <c r="AB181" i="27"/>
  <c r="AB179" i="27"/>
  <c r="AA179" i="27"/>
  <c r="AA78" i="20"/>
  <c r="V64" i="20"/>
  <c r="Y28" i="20"/>
  <c r="X64" i="20"/>
  <c r="Y55" i="28"/>
  <c r="Y38" i="28" s="1"/>
  <c r="Z70" i="26"/>
  <c r="AA24" i="29"/>
  <c r="Q74" i="25" s="1"/>
  <c r="AA49" i="29"/>
  <c r="Q209" i="25"/>
  <c r="N24" i="6"/>
  <c r="N25" i="6"/>
  <c r="AJ174" i="25"/>
  <c r="AJ107" i="25"/>
  <c r="AA23" i="6"/>
  <c r="Z25" i="6"/>
  <c r="W23" i="6"/>
  <c r="AC71" i="20"/>
  <c r="AC60" i="20"/>
  <c r="AC74" i="20"/>
  <c r="AC68" i="20"/>
  <c r="AC77" i="20"/>
  <c r="Y94" i="30"/>
  <c r="Y58" i="3"/>
  <c r="BB119" i="2"/>
  <c r="AB24" i="4"/>
  <c r="AB165" i="27"/>
  <c r="AA67" i="27"/>
  <c r="Q142" i="25"/>
  <c r="Z53" i="28"/>
  <c r="AA52" i="28"/>
  <c r="Z52" i="28"/>
  <c r="Y50" i="20"/>
  <c r="J24" i="6"/>
  <c r="AA77" i="20"/>
  <c r="AA68" i="20"/>
  <c r="AX47" i="2"/>
  <c r="Z53" i="3"/>
  <c r="AB28" i="7"/>
  <c r="AD74" i="20"/>
  <c r="AD63" i="20"/>
  <c r="AD73" i="20"/>
  <c r="AD61" i="20"/>
  <c r="AB56" i="20"/>
  <c r="AB48" i="20"/>
  <c r="AD71" i="20"/>
  <c r="AB54" i="20"/>
  <c r="AB45" i="20"/>
  <c r="AB51" i="20"/>
  <c r="AB38" i="20"/>
  <c r="Z54" i="3"/>
  <c r="AB25" i="3"/>
  <c r="AL285" i="25"/>
  <c r="AD47" i="20"/>
  <c r="AD70" i="20"/>
  <c r="BC208" i="2"/>
  <c r="BG209" i="2" s="1"/>
  <c r="G16" i="2" s="1"/>
  <c r="BA120" i="2"/>
  <c r="Q210" i="25"/>
  <c r="AA56" i="29"/>
  <c r="AA86" i="30"/>
  <c r="Z86" i="30"/>
  <c r="AB69" i="26"/>
  <c r="AA26" i="26"/>
  <c r="Q72" i="25" s="1"/>
  <c r="AA74" i="20"/>
  <c r="AA63" i="20"/>
  <c r="AA64" i="20"/>
  <c r="AC55" i="7"/>
  <c r="AY120" i="2"/>
  <c r="AY122" i="2" s="1"/>
  <c r="AZ31" i="2" s="1"/>
  <c r="BB120" i="2"/>
  <c r="AA47" i="3"/>
  <c r="AA54" i="3"/>
  <c r="AE55" i="3" s="1"/>
  <c r="AA46" i="3"/>
  <c r="AB37" i="6"/>
  <c r="AB30" i="6"/>
  <c r="AC36" i="6"/>
  <c r="AB63" i="26"/>
  <c r="Z21" i="28"/>
  <c r="Y21" i="31"/>
  <c r="AA171" i="27"/>
  <c r="AA60" i="20"/>
  <c r="AC53" i="7"/>
  <c r="AC28" i="7"/>
  <c r="AD51" i="20"/>
  <c r="AD38" i="20"/>
  <c r="AD50" i="20"/>
  <c r="AD56" i="20"/>
  <c r="AD48" i="20"/>
  <c r="AK285" i="25"/>
  <c r="AB53" i="29"/>
  <c r="AA53" i="29"/>
  <c r="AA89" i="30"/>
  <c r="Z89" i="30"/>
  <c r="AA50" i="28"/>
  <c r="AL141" i="25" s="1"/>
  <c r="Z50" i="28"/>
  <c r="AA71" i="20"/>
  <c r="AC28" i="20"/>
  <c r="AA58" i="3"/>
  <c r="BC43" i="2"/>
  <c r="AC54" i="3"/>
  <c r="AG55" i="3" s="1"/>
  <c r="AC46" i="3"/>
  <c r="AC47" i="3"/>
  <c r="AA53" i="3"/>
  <c r="AL174" i="25"/>
  <c r="Q207" i="25"/>
  <c r="AA166" i="27"/>
  <c r="AB166" i="27"/>
  <c r="AB178" i="27"/>
  <c r="AA178" i="27"/>
  <c r="Z90" i="30"/>
  <c r="AA90" i="30"/>
  <c r="AA60" i="26"/>
  <c r="Q173" i="25"/>
  <c r="Q177" i="25" s="1"/>
  <c r="AA55" i="29"/>
  <c r="Y45" i="31"/>
  <c r="Z54" i="28"/>
  <c r="AC52" i="3"/>
  <c r="R173" i="25"/>
  <c r="R177" i="25" s="1"/>
  <c r="AB59" i="26"/>
  <c r="AA168" i="27"/>
  <c r="AA52" i="29"/>
  <c r="R104" i="25"/>
  <c r="AB170" i="27"/>
  <c r="AA170" i="27"/>
  <c r="R139" i="25"/>
  <c r="Z52" i="31"/>
  <c r="AB173" i="27"/>
  <c r="AA48" i="28"/>
  <c r="Z48" i="28"/>
  <c r="AA57" i="26"/>
  <c r="AC37" i="6"/>
  <c r="AG38" i="6" s="1"/>
  <c r="AB62" i="26"/>
  <c r="Z53" i="31"/>
  <c r="Q139" i="25"/>
  <c r="R271" i="2"/>
  <c r="AO271" i="2"/>
  <c r="AO121" i="2"/>
  <c r="AM44" i="2"/>
  <c r="AU122" i="2"/>
  <c r="AV31" i="2" s="1"/>
  <c r="AN271" i="2"/>
  <c r="AD121" i="2"/>
  <c r="AO122" i="2"/>
  <c r="AP31" i="2" s="1"/>
  <c r="AD271" i="2"/>
  <c r="U260" i="2"/>
  <c r="AL245" i="2"/>
  <c r="AM272" i="2"/>
  <c r="AD123" i="2"/>
  <c r="AI272" i="2"/>
  <c r="P245" i="2"/>
  <c r="P73" i="2"/>
  <c r="AO38" i="2"/>
  <c r="AX49" i="2"/>
  <c r="AK121" i="2"/>
  <c r="M244" i="2"/>
  <c r="U245" i="2"/>
  <c r="AO123" i="2"/>
  <c r="T260" i="2"/>
  <c r="Q271" i="2"/>
  <c r="S259" i="2"/>
  <c r="AB271" i="2"/>
  <c r="AF272" i="2"/>
  <c r="AP50" i="2"/>
  <c r="AI209" i="2"/>
  <c r="Q73" i="2"/>
  <c r="U244" i="2"/>
  <c r="AM122" i="2"/>
  <c r="AN31" i="2" s="1"/>
  <c r="AF245" i="2"/>
  <c r="AE244" i="2"/>
  <c r="AV50" i="2"/>
  <c r="V259" i="2"/>
  <c r="X260" i="2"/>
  <c r="L244" i="2"/>
  <c r="T272" i="2"/>
  <c r="AB245" i="2"/>
  <c r="AB272" i="2"/>
  <c r="X245" i="2"/>
  <c r="S260" i="2"/>
  <c r="AA257" i="2"/>
  <c r="AD244" i="2"/>
  <c r="V257" i="2"/>
  <c r="AH245" i="2"/>
  <c r="AC244" i="2"/>
  <c r="X257" i="2"/>
  <c r="AQ122" i="2"/>
  <c r="AR31" i="2" s="1"/>
  <c r="AU49" i="2"/>
  <c r="AV49" i="2"/>
  <c r="AO245" i="2"/>
  <c r="AD245" i="2"/>
  <c r="AM244" i="2"/>
  <c r="AM209" i="2"/>
  <c r="M203" i="2"/>
  <c r="U246" i="2"/>
  <c r="AN245" i="2"/>
  <c r="AM245" i="2"/>
  <c r="AL209" i="2"/>
  <c r="AB244" i="2"/>
  <c r="N271" i="2"/>
  <c r="AN244" i="2"/>
  <c r="T244" i="2"/>
  <c r="AF209" i="2"/>
  <c r="K203" i="2"/>
  <c r="W260" i="2"/>
  <c r="W257" i="2"/>
  <c r="AA271" i="2"/>
  <c r="W271" i="2"/>
  <c r="AH44" i="2"/>
  <c r="AM30" i="2"/>
  <c r="AL39" i="2"/>
  <c r="L245" i="2"/>
  <c r="I244" i="2"/>
  <c r="S257" i="2"/>
  <c r="Q245" i="2"/>
  <c r="AC245" i="2"/>
  <c r="Y245" i="2"/>
  <c r="Y244" i="2"/>
  <c r="U272" i="2"/>
  <c r="Q272" i="2"/>
  <c r="Y272" i="2"/>
  <c r="AC272" i="2"/>
  <c r="AG246" i="2"/>
  <c r="AG247" i="2"/>
  <c r="AG245" i="2"/>
  <c r="AH244" i="2"/>
  <c r="AG244" i="2"/>
  <c r="R245" i="2"/>
  <c r="N245" i="2"/>
  <c r="U257" i="2"/>
  <c r="N244" i="2"/>
  <c r="L203" i="2"/>
  <c r="AK209" i="2"/>
  <c r="AK246" i="2"/>
  <c r="AI244" i="2"/>
  <c r="AO247" i="2"/>
  <c r="AU121" i="2"/>
  <c r="AY123" i="2"/>
  <c r="AU123" i="2"/>
  <c r="O73" i="2"/>
  <c r="AS44" i="2"/>
  <c r="AS38" i="2"/>
  <c r="AS49" i="2"/>
  <c r="AH209" i="2"/>
  <c r="AJ244" i="2"/>
  <c r="AJ245" i="2"/>
  <c r="Z257" i="2"/>
  <c r="Z260" i="2"/>
  <c r="Y257" i="2"/>
  <c r="Y259" i="2"/>
  <c r="J245" i="2"/>
  <c r="J244" i="2"/>
  <c r="T257" i="2"/>
  <c r="K244" i="2"/>
  <c r="AO246" i="2"/>
  <c r="Y271" i="2"/>
  <c r="U271" i="2"/>
  <c r="O244" i="2"/>
  <c r="O245" i="2"/>
  <c r="P244" i="2"/>
  <c r="X244" i="2"/>
  <c r="W245" i="2"/>
  <c r="Y246" i="2"/>
  <c r="AC246" i="2"/>
  <c r="W272" i="2"/>
  <c r="AA272" i="2"/>
  <c r="N272" i="2"/>
  <c r="R272" i="2"/>
  <c r="AN209" i="2"/>
  <c r="AJ209" i="2"/>
  <c r="X143" i="25" l="1"/>
  <c r="AE70" i="25"/>
  <c r="AX238" i="2" s="1"/>
  <c r="AG74" i="25"/>
  <c r="AE73" i="25"/>
  <c r="AX241" i="2" s="1"/>
  <c r="AE71" i="25"/>
  <c r="AX239" i="2" s="1"/>
  <c r="BA77" i="2"/>
  <c r="BH75" i="2"/>
  <c r="BH120" i="2"/>
  <c r="L10" i="2" s="1"/>
  <c r="L16" i="2" s="1"/>
  <c r="AJ50" i="2"/>
  <c r="BG122" i="2"/>
  <c r="BH31" i="2" s="1"/>
  <c r="AG38" i="2"/>
  <c r="AG49" i="2"/>
  <c r="AC49" i="2"/>
  <c r="AC38" i="2"/>
  <c r="BH30" i="2"/>
  <c r="BG39" i="2"/>
  <c r="G10" i="2" s="1"/>
  <c r="BH43" i="2"/>
  <c r="Q60" i="7"/>
  <c r="R67" i="7"/>
  <c r="R69" i="7"/>
  <c r="Q61" i="7"/>
  <c r="Q74" i="7"/>
  <c r="Q62" i="7"/>
  <c r="Q64" i="7"/>
  <c r="R60" i="7"/>
  <c r="AH30" i="6"/>
  <c r="AI30" i="6"/>
  <c r="U55" i="3"/>
  <c r="R70" i="7"/>
  <c r="R77" i="7"/>
  <c r="R61" i="7"/>
  <c r="R68" i="7"/>
  <c r="Q65" i="7"/>
  <c r="Q76" i="7"/>
  <c r="Q71" i="7"/>
  <c r="Q75" i="7"/>
  <c r="Q77" i="7"/>
  <c r="R62" i="7"/>
  <c r="R73" i="7"/>
  <c r="R71" i="7"/>
  <c r="AA78" i="7"/>
  <c r="AA79" i="20"/>
  <c r="BG38" i="2"/>
  <c r="G9" i="2" s="1"/>
  <c r="R74" i="7"/>
  <c r="Q63" i="7"/>
  <c r="Q67" i="7"/>
  <c r="R75" i="7"/>
  <c r="Q66" i="7"/>
  <c r="Q68" i="7"/>
  <c r="R76" i="7"/>
  <c r="R64" i="7"/>
  <c r="Q69" i="7"/>
  <c r="R63" i="7"/>
  <c r="AG79" i="20"/>
  <c r="AA56" i="7"/>
  <c r="W79" i="20"/>
  <c r="P68" i="7"/>
  <c r="R65" i="7"/>
  <c r="Q70" i="7"/>
  <c r="Q73" i="7"/>
  <c r="R66" i="7"/>
  <c r="AG291" i="25"/>
  <c r="AC177" i="25"/>
  <c r="BG123" i="2"/>
  <c r="L9" i="2"/>
  <c r="BB50" i="2"/>
  <c r="V56" i="3"/>
  <c r="AB55" i="3"/>
  <c r="L70" i="7"/>
  <c r="AC70" i="25"/>
  <c r="AV238" i="2" s="1"/>
  <c r="AE291" i="25"/>
  <c r="W38" i="6"/>
  <c r="BB125" i="2"/>
  <c r="Q70" i="25"/>
  <c r="L56" i="3"/>
  <c r="AJ74" i="25"/>
  <c r="BC242" i="2" s="1"/>
  <c r="W252" i="25"/>
  <c r="O46" i="7"/>
  <c r="L46" i="7"/>
  <c r="O52" i="7"/>
  <c r="S27" i="7"/>
  <c r="O49" i="7"/>
  <c r="O53" i="7"/>
  <c r="AC121" i="2"/>
  <c r="AN38" i="2"/>
  <c r="BF39" i="2"/>
  <c r="BG30" i="2"/>
  <c r="BF122" i="2"/>
  <c r="BG31" i="2" s="1"/>
  <c r="BF123" i="2"/>
  <c r="AF79" i="20"/>
  <c r="U38" i="28"/>
  <c r="H48" i="26"/>
  <c r="AS30" i="2"/>
  <c r="G44" i="29"/>
  <c r="X72" i="25"/>
  <c r="AQ240" i="2" s="1"/>
  <c r="AB38" i="6"/>
  <c r="AF38" i="6"/>
  <c r="O55" i="3"/>
  <c r="BF77" i="2"/>
  <c r="K17" i="2" s="1"/>
  <c r="BB38" i="2"/>
  <c r="BF38" i="2"/>
  <c r="AX38" i="2"/>
  <c r="AE121" i="2"/>
  <c r="AI122" i="2"/>
  <c r="AJ31" i="2" s="1"/>
  <c r="AC50" i="2"/>
  <c r="AC44" i="2"/>
  <c r="AD30" i="2"/>
  <c r="AQ49" i="2"/>
  <c r="Y55" i="3"/>
  <c r="AF34" i="2"/>
  <c r="BA50" i="2"/>
  <c r="S55" i="3"/>
  <c r="AQ38" i="2"/>
  <c r="O56" i="3"/>
  <c r="AT49" i="2"/>
  <c r="P56" i="3"/>
  <c r="AH30" i="2"/>
  <c r="X38" i="6"/>
  <c r="Y38" i="6"/>
  <c r="AR77" i="2"/>
  <c r="P28" i="7"/>
  <c r="O55" i="7"/>
  <c r="O41" i="7"/>
  <c r="O44" i="7"/>
  <c r="O27" i="7"/>
  <c r="R29" i="7"/>
  <c r="V30" i="7" s="1"/>
  <c r="O39" i="7"/>
  <c r="O42" i="7"/>
  <c r="AW123" i="2"/>
  <c r="AI49" i="2"/>
  <c r="N40" i="25"/>
  <c r="AY77" i="2"/>
  <c r="AK122" i="2"/>
  <c r="AL31" i="2" s="1"/>
  <c r="N49" i="3"/>
  <c r="E56" i="3"/>
  <c r="AQ123" i="2"/>
  <c r="AC34" i="2"/>
  <c r="AU77" i="2"/>
  <c r="AG122" i="2"/>
  <c r="AH31" i="2" s="1"/>
  <c r="Z28" i="6"/>
  <c r="AT77" i="2"/>
  <c r="AK247" i="25"/>
  <c r="AK252" i="25" s="1"/>
  <c r="F75" i="25"/>
  <c r="F38" i="25" s="1"/>
  <c r="J39" i="25" s="1"/>
  <c r="AS121" i="2"/>
  <c r="J26" i="6"/>
  <c r="AP30" i="2"/>
  <c r="K55" i="3"/>
  <c r="J30" i="20"/>
  <c r="O75" i="25"/>
  <c r="O38" i="25" s="1"/>
  <c r="S39" i="25" s="1"/>
  <c r="AR39" i="2"/>
  <c r="AE69" i="25"/>
  <c r="AX237" i="2" s="1"/>
  <c r="O28" i="7"/>
  <c r="O38" i="7"/>
  <c r="L52" i="7"/>
  <c r="AD70" i="25"/>
  <c r="AW238" i="2" s="1"/>
  <c r="BA44" i="2"/>
  <c r="AM38" i="2"/>
  <c r="O54" i="7"/>
  <c r="O45" i="7"/>
  <c r="Q55" i="3"/>
  <c r="AR50" i="2"/>
  <c r="AH74" i="25"/>
  <c r="BA242" i="2" s="1"/>
  <c r="O40" i="7"/>
  <c r="S38" i="28"/>
  <c r="X74" i="25"/>
  <c r="AQ242" i="2" s="1"/>
  <c r="AA195" i="27"/>
  <c r="AF35" i="2"/>
  <c r="AH73" i="25"/>
  <c r="BA241" i="2" s="1"/>
  <c r="AV39" i="2"/>
  <c r="O48" i="7"/>
  <c r="AO208" i="2"/>
  <c r="S38" i="6"/>
  <c r="M38" i="6"/>
  <c r="R73" i="2"/>
  <c r="R74" i="2" s="1"/>
  <c r="AE177" i="25"/>
  <c r="Y72" i="25"/>
  <c r="AR240" i="2" s="1"/>
  <c r="Q29" i="7"/>
  <c r="U30" i="7" s="1"/>
  <c r="O47" i="7"/>
  <c r="O51" i="7"/>
  <c r="I38" i="6"/>
  <c r="AC213" i="25"/>
  <c r="Y252" i="25"/>
  <c r="L41" i="7"/>
  <c r="L55" i="7"/>
  <c r="L27" i="7"/>
  <c r="L28" i="7"/>
  <c r="L40" i="7"/>
  <c r="L54" i="7"/>
  <c r="L68" i="7"/>
  <c r="L48" i="7"/>
  <c r="L74" i="7"/>
  <c r="L53" i="7"/>
  <c r="L39" i="7"/>
  <c r="L61" i="7"/>
  <c r="P27" i="7"/>
  <c r="L67" i="7"/>
  <c r="L60" i="7"/>
  <c r="L44" i="7"/>
  <c r="L63" i="7"/>
  <c r="L69" i="7"/>
  <c r="L47" i="7"/>
  <c r="L62" i="7"/>
  <c r="L45" i="7"/>
  <c r="L73" i="7"/>
  <c r="L38" i="7"/>
  <c r="L29" i="7"/>
  <c r="L30" i="7" s="1"/>
  <c r="L77" i="7"/>
  <c r="L66" i="7"/>
  <c r="L51" i="7"/>
  <c r="L75" i="7"/>
  <c r="L76" i="7"/>
  <c r="BB123" i="2"/>
  <c r="X38" i="28"/>
  <c r="BD122" i="2"/>
  <c r="BE31" i="2" s="1"/>
  <c r="AO30" i="2"/>
  <c r="G38" i="6"/>
  <c r="G55" i="3"/>
  <c r="AD252" i="25"/>
  <c r="N64" i="30"/>
  <c r="AD30" i="20"/>
  <c r="Y73" i="25"/>
  <c r="AR241" i="2" s="1"/>
  <c r="H56" i="3"/>
  <c r="P131" i="27"/>
  <c r="K56" i="3"/>
  <c r="AJ44" i="2"/>
  <c r="X213" i="25"/>
  <c r="AN39" i="2"/>
  <c r="BA38" i="2"/>
  <c r="AD143" i="25"/>
  <c r="AJ71" i="25"/>
  <c r="BC239" i="2" s="1"/>
  <c r="AG213" i="25"/>
  <c r="AX123" i="2"/>
  <c r="AI252" i="25"/>
  <c r="W213" i="25"/>
  <c r="Z143" i="25"/>
  <c r="Z110" i="25"/>
  <c r="R131" i="27"/>
  <c r="AC69" i="25"/>
  <c r="AV237" i="2" s="1"/>
  <c r="K75" i="25"/>
  <c r="K38" i="25" s="1"/>
  <c r="K40" i="25" s="1"/>
  <c r="AC291" i="25"/>
  <c r="AF291" i="25"/>
  <c r="AJ252" i="25"/>
  <c r="AC252" i="25"/>
  <c r="AB143" i="25"/>
  <c r="W143" i="25"/>
  <c r="AC72" i="25"/>
  <c r="AV240" i="2" s="1"/>
  <c r="Q143" i="25"/>
  <c r="Z252" i="25"/>
  <c r="Y213" i="25"/>
  <c r="AH213" i="25"/>
  <c r="AF252" i="25"/>
  <c r="AH252" i="25"/>
  <c r="AE252" i="25"/>
  <c r="AH291" i="25"/>
  <c r="Z49" i="3"/>
  <c r="AL103" i="25"/>
  <c r="AH143" i="25"/>
  <c r="BE39" i="2"/>
  <c r="Z27" i="3"/>
  <c r="AA143" i="25"/>
  <c r="AD291" i="25"/>
  <c r="BE123" i="2"/>
  <c r="BE122" i="2"/>
  <c r="BF31" i="2" s="1"/>
  <c r="AM123" i="2"/>
  <c r="AF177" i="25"/>
  <c r="W55" i="3"/>
  <c r="M38" i="28"/>
  <c r="AD71" i="25"/>
  <c r="AW239" i="2" s="1"/>
  <c r="AA252" i="25"/>
  <c r="BE38" i="2"/>
  <c r="BD121" i="2"/>
  <c r="AC38" i="6"/>
  <c r="AA38" i="6"/>
  <c r="AE38" i="6"/>
  <c r="AH39" i="2"/>
  <c r="AE30" i="2"/>
  <c r="AZ38" i="2"/>
  <c r="AO44" i="2"/>
  <c r="AK50" i="2"/>
  <c r="AL49" i="2"/>
  <c r="AF49" i="2"/>
  <c r="AD50" i="2"/>
  <c r="AI30" i="2"/>
  <c r="AD35" i="2"/>
  <c r="AP38" i="2"/>
  <c r="AF30" i="2"/>
  <c r="AE39" i="2"/>
  <c r="AL30" i="2"/>
  <c r="AE50" i="2"/>
  <c r="AZ49" i="2"/>
  <c r="AW77" i="2"/>
  <c r="AL44" i="2"/>
  <c r="AL38" i="2"/>
  <c r="AD34" i="2"/>
  <c r="AI39" i="2"/>
  <c r="AK44" i="2"/>
  <c r="AN30" i="2"/>
  <c r="AJ30" i="2"/>
  <c r="BA39" i="2"/>
  <c r="AW44" i="2"/>
  <c r="BB30" i="2"/>
  <c r="J27" i="3"/>
  <c r="AI44" i="2"/>
  <c r="AU39" i="2"/>
  <c r="AX30" i="2"/>
  <c r="AH38" i="2"/>
  <c r="AI50" i="2"/>
  <c r="AM39" i="2"/>
  <c r="AV30" i="2"/>
  <c r="AG44" i="2"/>
  <c r="AD44" i="2"/>
  <c r="AW50" i="2"/>
  <c r="H55" i="3"/>
  <c r="AQ44" i="2"/>
  <c r="AR30" i="2"/>
  <c r="AQ39" i="2"/>
  <c r="AG39" i="2"/>
  <c r="AC35" i="2"/>
  <c r="AD49" i="2"/>
  <c r="AK39" i="2"/>
  <c r="AZ122" i="2"/>
  <c r="BA31" i="2" s="1"/>
  <c r="AH123" i="2"/>
  <c r="AI107" i="2"/>
  <c r="S73" i="2"/>
  <c r="AS77" i="2"/>
  <c r="AQ77" i="2"/>
  <c r="AE79" i="20"/>
  <c r="N30" i="20"/>
  <c r="M39" i="25"/>
  <c r="M26" i="7"/>
  <c r="AC143" i="25"/>
  <c r="BB49" i="2"/>
  <c r="L38" i="28"/>
  <c r="AB252" i="25"/>
  <c r="BB44" i="2"/>
  <c r="AB213" i="25"/>
  <c r="H44" i="29"/>
  <c r="AA291" i="25"/>
  <c r="AD49" i="3"/>
  <c r="W177" i="25"/>
  <c r="AG252" i="25"/>
  <c r="AG123" i="2"/>
  <c r="AO50" i="2"/>
  <c r="AG50" i="2"/>
  <c r="AA213" i="25"/>
  <c r="X252" i="25"/>
  <c r="AE35" i="2"/>
  <c r="AO39" i="2"/>
  <c r="AP122" i="2"/>
  <c r="AQ31" i="2" s="1"/>
  <c r="AZ247" i="2"/>
  <c r="AA177" i="25"/>
  <c r="AI177" i="25"/>
  <c r="AH107" i="2"/>
  <c r="AH109" i="2" s="1"/>
  <c r="Q56" i="3"/>
  <c r="AS39" i="2"/>
  <c r="AT122" i="2"/>
  <c r="AU31" i="2" s="1"/>
  <c r="AF213" i="25"/>
  <c r="Z291" i="25"/>
  <c r="AP121" i="2"/>
  <c r="M56" i="3"/>
  <c r="AF110" i="25"/>
  <c r="I40" i="25"/>
  <c r="W74" i="25"/>
  <c r="AP242" i="2" s="1"/>
  <c r="P55" i="3"/>
  <c r="AG177" i="25"/>
  <c r="L55" i="3"/>
  <c r="AB291" i="25"/>
  <c r="AG143" i="25"/>
  <c r="AH177" i="25"/>
  <c r="Z72" i="25"/>
  <c r="AS240" i="2" s="1"/>
  <c r="L75" i="25"/>
  <c r="AD177" i="25"/>
  <c r="AI143" i="25"/>
  <c r="AD213" i="25"/>
  <c r="AE213" i="25"/>
  <c r="AE143" i="25"/>
  <c r="Y143" i="25"/>
  <c r="D56" i="3"/>
  <c r="AB74" i="25"/>
  <c r="AU242" i="2" s="1"/>
  <c r="W71" i="25"/>
  <c r="AP239" i="2" s="1"/>
  <c r="AK105" i="25"/>
  <c r="Q38" i="6"/>
  <c r="X71" i="25"/>
  <c r="AQ239" i="2" s="1"/>
  <c r="E71" i="25"/>
  <c r="E75" i="25" s="1"/>
  <c r="E38" i="25" s="1"/>
  <c r="I39" i="25" s="1"/>
  <c r="Z70" i="25"/>
  <c r="AS238" i="2" s="1"/>
  <c r="AS267" i="2" s="1"/>
  <c r="AS271" i="2" s="1"/>
  <c r="AE74" i="25"/>
  <c r="AX242" i="2" s="1"/>
  <c r="Y70" i="25"/>
  <c r="AR238" i="2" s="1"/>
  <c r="N38" i="28"/>
  <c r="Y53" i="31"/>
  <c r="AK103" i="25"/>
  <c r="AI71" i="25"/>
  <c r="BB239" i="2" s="1"/>
  <c r="T55" i="3"/>
  <c r="T56" i="3"/>
  <c r="U56" i="3"/>
  <c r="W38" i="28"/>
  <c r="Y177" i="25"/>
  <c r="G79" i="20"/>
  <c r="R49" i="3"/>
  <c r="AR122" i="2"/>
  <c r="AS31" i="2" s="1"/>
  <c r="W102" i="25"/>
  <c r="W283" i="25"/>
  <c r="W206" i="25"/>
  <c r="W137" i="25"/>
  <c r="W172" i="25"/>
  <c r="W244" i="25"/>
  <c r="AH71" i="25"/>
  <c r="BA239" i="2" s="1"/>
  <c r="AB72" i="25"/>
  <c r="AK210" i="25"/>
  <c r="P79" i="20"/>
  <c r="I79" i="20"/>
  <c r="T38" i="6"/>
  <c r="P38" i="6"/>
  <c r="AJ291" i="25"/>
  <c r="W110" i="25"/>
  <c r="H79" i="20"/>
  <c r="Y69" i="25"/>
  <c r="AR237" i="2" s="1"/>
  <c r="O131" i="27"/>
  <c r="V49" i="3"/>
  <c r="Q110" i="25"/>
  <c r="V38" i="28"/>
  <c r="AG70" i="25"/>
  <c r="AC71" i="25"/>
  <c r="AV239" i="2" s="1"/>
  <c r="AA21" i="28"/>
  <c r="AT44" i="2"/>
  <c r="Y79" i="20"/>
  <c r="Q79" i="20"/>
  <c r="W69" i="25"/>
  <c r="AP237" i="2" s="1"/>
  <c r="M131" i="27"/>
  <c r="V38" i="6"/>
  <c r="R38" i="6"/>
  <c r="Z74" i="25"/>
  <c r="AS242" i="2" s="1"/>
  <c r="Q38" i="28"/>
  <c r="AC110" i="25"/>
  <c r="AU30" i="2"/>
  <c r="AT50" i="2"/>
  <c r="AD110" i="25"/>
  <c r="AB177" i="25"/>
  <c r="O79" i="20"/>
  <c r="BD38" i="2"/>
  <c r="AX121" i="2"/>
  <c r="V27" i="6"/>
  <c r="AJ213" i="25"/>
  <c r="AF143" i="25"/>
  <c r="V55" i="3"/>
  <c r="V27" i="3"/>
  <c r="C75" i="25"/>
  <c r="C38" i="25" s="1"/>
  <c r="X69" i="25"/>
  <c r="AQ237" i="2" s="1"/>
  <c r="BD39" i="2"/>
  <c r="BE30" i="2"/>
  <c r="AD56" i="3"/>
  <c r="AD55" i="3"/>
  <c r="BD44" i="2"/>
  <c r="BD50" i="2"/>
  <c r="P203" i="2"/>
  <c r="AM107" i="2"/>
  <c r="AZ121" i="2"/>
  <c r="AN122" i="2"/>
  <c r="AO31" i="2" s="1"/>
  <c r="BA121" i="2"/>
  <c r="AN108" i="2"/>
  <c r="O116" i="2" s="1"/>
  <c r="K10" i="2" s="1"/>
  <c r="AN107" i="2"/>
  <c r="BD123" i="2"/>
  <c r="AM108" i="2"/>
  <c r="BD77" i="2"/>
  <c r="BC38" i="2"/>
  <c r="U73" i="2"/>
  <c r="BC39" i="2"/>
  <c r="BD30" i="2"/>
  <c r="AH35" i="2"/>
  <c r="N39" i="2" s="1"/>
  <c r="F10" i="2" s="1"/>
  <c r="AG34" i="2"/>
  <c r="AH34" i="2"/>
  <c r="H39" i="2" s="1"/>
  <c r="F9" i="2" s="1"/>
  <c r="AK107" i="2"/>
  <c r="AI108" i="2"/>
  <c r="AY30" i="2"/>
  <c r="AH122" i="2"/>
  <c r="AI31" i="2" s="1"/>
  <c r="BC49" i="2"/>
  <c r="BA30" i="2"/>
  <c r="AZ39" i="2"/>
  <c r="AL123" i="2"/>
  <c r="AH108" i="2"/>
  <c r="AH110" i="2" s="1"/>
  <c r="AZ50" i="2"/>
  <c r="AJ122" i="2"/>
  <c r="AK31" i="2" s="1"/>
  <c r="AF121" i="2"/>
  <c r="AP123" i="2"/>
  <c r="AJ107" i="2"/>
  <c r="AG35" i="2"/>
  <c r="AX39" i="2"/>
  <c r="AX50" i="2"/>
  <c r="BB39" i="2"/>
  <c r="BC30" i="2"/>
  <c r="AR123" i="2"/>
  <c r="AR121" i="2"/>
  <c r="BC123" i="2"/>
  <c r="AJ108" i="2"/>
  <c r="AX209" i="2"/>
  <c r="AT209" i="2"/>
  <c r="F56" i="7"/>
  <c r="BA209" i="2"/>
  <c r="Q56" i="7"/>
  <c r="V56" i="7"/>
  <c r="W56" i="7"/>
  <c r="AU209" i="2"/>
  <c r="G56" i="7"/>
  <c r="BB209" i="2"/>
  <c r="T56" i="7"/>
  <c r="AP209" i="2"/>
  <c r="AV209" i="2"/>
  <c r="K56" i="7"/>
  <c r="O203" i="2"/>
  <c r="AA30" i="7"/>
  <c r="W30" i="7"/>
  <c r="E56" i="7"/>
  <c r="K30" i="7"/>
  <c r="R56" i="7"/>
  <c r="AB30" i="7"/>
  <c r="X30" i="7"/>
  <c r="K78" i="7"/>
  <c r="O29" i="7"/>
  <c r="S30" i="7" s="1"/>
  <c r="M27" i="7"/>
  <c r="N73" i="7"/>
  <c r="W78" i="7"/>
  <c r="X78" i="7"/>
  <c r="G78" i="7"/>
  <c r="X56" i="7"/>
  <c r="U56" i="7"/>
  <c r="P56" i="7"/>
  <c r="Y30" i="7"/>
  <c r="D56" i="7"/>
  <c r="AZ44" i="2"/>
  <c r="AH121" i="2"/>
  <c r="AV121" i="2"/>
  <c r="AL121" i="2"/>
  <c r="AD26" i="6"/>
  <c r="AD27" i="6"/>
  <c r="V79" i="20"/>
  <c r="AC79" i="20"/>
  <c r="AB79" i="20"/>
  <c r="X79" i="20"/>
  <c r="N79" i="20"/>
  <c r="J56" i="3"/>
  <c r="I55" i="3"/>
  <c r="I56" i="3"/>
  <c r="AL107" i="2"/>
  <c r="AH110" i="25"/>
  <c r="AK288" i="25"/>
  <c r="AK286" i="25"/>
  <c r="Z38" i="6"/>
  <c r="AI70" i="25"/>
  <c r="BB238" i="2" s="1"/>
  <c r="AL104" i="25"/>
  <c r="M55" i="3"/>
  <c r="AA110" i="25"/>
  <c r="AE110" i="25"/>
  <c r="I48" i="26"/>
  <c r="AB110" i="25"/>
  <c r="X73" i="25"/>
  <c r="AQ241" i="2" s="1"/>
  <c r="M64" i="30"/>
  <c r="Q131" i="27"/>
  <c r="AA69" i="25"/>
  <c r="AK173" i="25"/>
  <c r="AK177" i="25" s="1"/>
  <c r="Z79" i="20"/>
  <c r="T131" i="27"/>
  <c r="AD69" i="25"/>
  <c r="AW237" i="2" s="1"/>
  <c r="J40" i="25"/>
  <c r="N39" i="25"/>
  <c r="Y56" i="3"/>
  <c r="X55" i="3"/>
  <c r="X56" i="3"/>
  <c r="Z94" i="30"/>
  <c r="AV123" i="2"/>
  <c r="Y110" i="25"/>
  <c r="AB73" i="25"/>
  <c r="AU241" i="2" s="1"/>
  <c r="AZ123" i="2"/>
  <c r="AB67" i="27"/>
  <c r="AL140" i="25"/>
  <c r="AB54" i="29"/>
  <c r="S56" i="3"/>
  <c r="BC121" i="2"/>
  <c r="W72" i="25"/>
  <c r="AP240" i="2" s="1"/>
  <c r="AB191" i="27"/>
  <c r="AD74" i="25"/>
  <c r="AW242" i="2" s="1"/>
  <c r="P38" i="28"/>
  <c r="AA70" i="25"/>
  <c r="AJ177" i="25"/>
  <c r="AG110" i="25"/>
  <c r="R56" i="3"/>
  <c r="X291" i="25"/>
  <c r="E48" i="26"/>
  <c r="Z177" i="25"/>
  <c r="AG72" i="25"/>
  <c r="M74" i="7"/>
  <c r="F78" i="7"/>
  <c r="H64" i="30"/>
  <c r="AF72" i="25"/>
  <c r="AY240" i="2" s="1"/>
  <c r="AK289" i="25"/>
  <c r="C56" i="7"/>
  <c r="AL289" i="25"/>
  <c r="AI291" i="25"/>
  <c r="Y258" i="2"/>
  <c r="Q213" i="25"/>
  <c r="Y291" i="25"/>
  <c r="AB71" i="25"/>
  <c r="BC77" i="2"/>
  <c r="T73" i="2"/>
  <c r="AB35" i="2"/>
  <c r="AJ39" i="2"/>
  <c r="AB34" i="2"/>
  <c r="AY121" i="2"/>
  <c r="AK30" i="2"/>
  <c r="BC44" i="2"/>
  <c r="BB121" i="2"/>
  <c r="AY44" i="2"/>
  <c r="AZ209" i="2"/>
  <c r="BC122" i="2"/>
  <c r="BD31" i="2" s="1"/>
  <c r="AY49" i="2"/>
  <c r="S79" i="20"/>
  <c r="Z30" i="20"/>
  <c r="R177" i="2"/>
  <c r="G175" i="2" s="1"/>
  <c r="AD79" i="20"/>
  <c r="AY209" i="2"/>
  <c r="Z56" i="7"/>
  <c r="AC78" i="7"/>
  <c r="AC56" i="7"/>
  <c r="Z78" i="7"/>
  <c r="AB78" i="7"/>
  <c r="V78" i="7"/>
  <c r="Z30" i="7"/>
  <c r="S78" i="7"/>
  <c r="S56" i="7"/>
  <c r="T78" i="7"/>
  <c r="AC30" i="7"/>
  <c r="AW209" i="2"/>
  <c r="U78" i="7"/>
  <c r="Y78" i="7"/>
  <c r="Y56" i="7"/>
  <c r="AV38" i="2"/>
  <c r="AR49" i="2"/>
  <c r="AE34" i="2"/>
  <c r="AR44" i="2"/>
  <c r="R79" i="20"/>
  <c r="AS122" i="2"/>
  <c r="AT31" i="2" s="1"/>
  <c r="AL108" i="2"/>
  <c r="AL110" i="2" s="1"/>
  <c r="BA122" i="2"/>
  <c r="BB31" i="2" s="1"/>
  <c r="AW122" i="2"/>
  <c r="AX31" i="2" s="1"/>
  <c r="BB122" i="2"/>
  <c r="BC31" i="2" s="1"/>
  <c r="AK140" i="25"/>
  <c r="AC56" i="3"/>
  <c r="AC55" i="3"/>
  <c r="AK290" i="25"/>
  <c r="Z21" i="31"/>
  <c r="Y52" i="31"/>
  <c r="Q69" i="25"/>
  <c r="AA94" i="30"/>
  <c r="AJ73" i="25"/>
  <c r="BC241" i="2" s="1"/>
  <c r="AK208" i="25"/>
  <c r="BC209" i="2"/>
  <c r="AE72" i="25"/>
  <c r="AZ242" i="2"/>
  <c r="W73" i="25"/>
  <c r="L64" i="30"/>
  <c r="AL290" i="25"/>
  <c r="Q71" i="25"/>
  <c r="AB56" i="29"/>
  <c r="AK142" i="25"/>
  <c r="AK207" i="25"/>
  <c r="AJ72" i="25"/>
  <c r="BC240" i="2" s="1"/>
  <c r="O151" i="2"/>
  <c r="P152" i="2" s="1"/>
  <c r="R26" i="6"/>
  <c r="R27" i="6"/>
  <c r="R30" i="20"/>
  <c r="V30" i="20"/>
  <c r="G75" i="25"/>
  <c r="AA73" i="25"/>
  <c r="AJ110" i="25"/>
  <c r="BC50" i="2"/>
  <c r="AA54" i="28"/>
  <c r="AJ70" i="25"/>
  <c r="AI72" i="25"/>
  <c r="D75" i="25"/>
  <c r="D38" i="25" s="1"/>
  <c r="AC74" i="25"/>
  <c r="R210" i="25"/>
  <c r="AA64" i="29"/>
  <c r="AK209" i="25"/>
  <c r="AI110" i="25"/>
  <c r="AI73" i="25"/>
  <c r="AH69" i="25"/>
  <c r="F56" i="3"/>
  <c r="G56" i="3"/>
  <c r="J55" i="3"/>
  <c r="H30" i="7"/>
  <c r="R208" i="25"/>
  <c r="AB51" i="29"/>
  <c r="AB171" i="27"/>
  <c r="AL106" i="25" s="1"/>
  <c r="AB56" i="3"/>
  <c r="AA56" i="3"/>
  <c r="AA55" i="3"/>
  <c r="R106" i="25"/>
  <c r="N26" i="6"/>
  <c r="N151" i="2"/>
  <c r="N152" i="2" s="1"/>
  <c r="AB49" i="29"/>
  <c r="AB24" i="29"/>
  <c r="R74" i="25" s="1"/>
  <c r="R209" i="25"/>
  <c r="P75" i="25"/>
  <c r="P38" i="25" s="1"/>
  <c r="T39" i="25" s="1"/>
  <c r="AI69" i="25"/>
  <c r="AJ143" i="25"/>
  <c r="X177" i="25"/>
  <c r="AF39" i="2"/>
  <c r="AF44" i="2"/>
  <c r="AG30" i="2"/>
  <c r="AC73" i="25"/>
  <c r="Z73" i="25"/>
  <c r="O64" i="30"/>
  <c r="H78" i="7"/>
  <c r="AW241" i="2"/>
  <c r="AB156" i="27"/>
  <c r="R105" i="25"/>
  <c r="AA70" i="26"/>
  <c r="AK106" i="25"/>
  <c r="Z56" i="3"/>
  <c r="Z55" i="3"/>
  <c r="Z26" i="6"/>
  <c r="Z27" i="6"/>
  <c r="Q151" i="2"/>
  <c r="R152" i="2" s="1"/>
  <c r="U79" i="20"/>
  <c r="AF38" i="2"/>
  <c r="AJ38" i="2"/>
  <c r="V26" i="6"/>
  <c r="AI74" i="25"/>
  <c r="H56" i="7"/>
  <c r="AY237" i="2"/>
  <c r="AA258" i="2"/>
  <c r="AL71" i="25"/>
  <c r="Z55" i="28"/>
  <c r="Z38" i="28" s="1"/>
  <c r="AB26" i="26"/>
  <c r="AB57" i="26"/>
  <c r="AB70" i="26" s="1"/>
  <c r="AL173" i="25"/>
  <c r="AL177" i="25" s="1"/>
  <c r="AK141" i="25"/>
  <c r="R142" i="25"/>
  <c r="R143" i="25" s="1"/>
  <c r="AA53" i="28"/>
  <c r="BB77" i="2"/>
  <c r="AJ69" i="25"/>
  <c r="T79" i="20"/>
  <c r="X110" i="25"/>
  <c r="AI213" i="25"/>
  <c r="AF71" i="25"/>
  <c r="Y71" i="25"/>
  <c r="W291" i="25"/>
  <c r="J78" i="7"/>
  <c r="I78" i="7"/>
  <c r="J49" i="3"/>
  <c r="AB56" i="7"/>
  <c r="P74" i="2"/>
  <c r="Q74" i="2"/>
  <c r="L204" i="2"/>
  <c r="V258" i="2"/>
  <c r="U258" i="2"/>
  <c r="W258" i="2"/>
  <c r="X258" i="2"/>
  <c r="T258" i="2"/>
  <c r="M204" i="2"/>
  <c r="Z258" i="2"/>
  <c r="AX267" i="2" l="1"/>
  <c r="AX247" i="2"/>
  <c r="K16" i="2"/>
  <c r="P62" i="7"/>
  <c r="P70" i="7"/>
  <c r="P63" i="7"/>
  <c r="P71" i="7"/>
  <c r="P61" i="7"/>
  <c r="P64" i="7"/>
  <c r="P73" i="7"/>
  <c r="P69" i="7"/>
  <c r="P65" i="7"/>
  <c r="P74" i="7"/>
  <c r="P66" i="7"/>
  <c r="P75" i="7"/>
  <c r="P67" i="7"/>
  <c r="P76" i="7"/>
  <c r="P60" i="7"/>
  <c r="P77" i="7"/>
  <c r="O71" i="7"/>
  <c r="O67" i="7"/>
  <c r="R70" i="25"/>
  <c r="AD42" i="31"/>
  <c r="AD46" i="31"/>
  <c r="O40" i="25"/>
  <c r="AR268" i="2"/>
  <c r="AR272" i="2" s="1"/>
  <c r="M44" i="7"/>
  <c r="M60" i="7"/>
  <c r="M46" i="7"/>
  <c r="N203" i="2"/>
  <c r="N204" i="2" s="1"/>
  <c r="O62" i="7"/>
  <c r="AO209" i="2"/>
  <c r="AS209" i="2"/>
  <c r="O39" i="25"/>
  <c r="AK73" i="25"/>
  <c r="BD241" i="2" s="1"/>
  <c r="AK110" i="25"/>
  <c r="S74" i="2"/>
  <c r="Q78" i="7"/>
  <c r="BE239" i="2"/>
  <c r="O56" i="7"/>
  <c r="R78" i="7"/>
  <c r="O66" i="7"/>
  <c r="M51" i="7"/>
  <c r="N62" i="7"/>
  <c r="M61" i="7"/>
  <c r="M62" i="7"/>
  <c r="BA247" i="2"/>
  <c r="BA268" i="2"/>
  <c r="M52" i="7"/>
  <c r="M66" i="7"/>
  <c r="M68" i="7"/>
  <c r="AQ268" i="2"/>
  <c r="AQ272" i="2" s="1"/>
  <c r="M53" i="7"/>
  <c r="O73" i="7"/>
  <c r="P29" i="7"/>
  <c r="P30" i="7" s="1"/>
  <c r="N66" i="7"/>
  <c r="M48" i="7"/>
  <c r="M29" i="7"/>
  <c r="Q30" i="7" s="1"/>
  <c r="N68" i="7"/>
  <c r="O61" i="7"/>
  <c r="N77" i="7"/>
  <c r="O74" i="7"/>
  <c r="M28" i="7"/>
  <c r="M76" i="7"/>
  <c r="N67" i="7"/>
  <c r="O60" i="7"/>
  <c r="N60" i="7"/>
  <c r="M77" i="7"/>
  <c r="M63" i="7"/>
  <c r="M73" i="7"/>
  <c r="N61" i="7"/>
  <c r="M55" i="7"/>
  <c r="N76" i="7"/>
  <c r="M69" i="7"/>
  <c r="O75" i="7"/>
  <c r="M47" i="7"/>
  <c r="N75" i="7"/>
  <c r="M67" i="7"/>
  <c r="M41" i="7"/>
  <c r="N28" i="7"/>
  <c r="O68" i="7"/>
  <c r="Q27" i="7"/>
  <c r="O63" i="7"/>
  <c r="N74" i="7"/>
  <c r="N70" i="7"/>
  <c r="O64" i="7"/>
  <c r="L56" i="7"/>
  <c r="L78" i="7"/>
  <c r="R69" i="25"/>
  <c r="AB195" i="27"/>
  <c r="M40" i="7"/>
  <c r="N69" i="7"/>
  <c r="M75" i="7"/>
  <c r="M45" i="7"/>
  <c r="O77" i="7"/>
  <c r="O70" i="7"/>
  <c r="M39" i="7"/>
  <c r="N63" i="7"/>
  <c r="O69" i="7"/>
  <c r="M54" i="7"/>
  <c r="N29" i="7"/>
  <c r="N30" i="7" s="1"/>
  <c r="M38" i="7"/>
  <c r="M56" i="7"/>
  <c r="O76" i="7"/>
  <c r="M70" i="7"/>
  <c r="AK71" i="25"/>
  <c r="L38" i="25"/>
  <c r="P39" i="25" s="1"/>
  <c r="AV267" i="2"/>
  <c r="AP267" i="2"/>
  <c r="AP271" i="2" s="1"/>
  <c r="O65" i="7"/>
  <c r="AF75" i="25"/>
  <c r="AF38" i="25" s="1"/>
  <c r="AJ109" i="2"/>
  <c r="AD256" i="2"/>
  <c r="AI109" i="2"/>
  <c r="AB256" i="2"/>
  <c r="AB251" i="2"/>
  <c r="AD75" i="25"/>
  <c r="AD38" i="25" s="1"/>
  <c r="F40" i="25"/>
  <c r="X75" i="25"/>
  <c r="X38" i="25" s="1"/>
  <c r="AB252" i="2"/>
  <c r="AK213" i="25"/>
  <c r="R110" i="25"/>
  <c r="AZ238" i="2"/>
  <c r="AL291" i="25"/>
  <c r="AK291" i="25"/>
  <c r="AL210" i="25"/>
  <c r="AU240" i="2"/>
  <c r="AU268" i="2" s="1"/>
  <c r="AB254" i="2"/>
  <c r="AN109" i="2"/>
  <c r="H116" i="2"/>
  <c r="K9" i="2" s="1"/>
  <c r="AN110" i="2"/>
  <c r="U74" i="2"/>
  <c r="H73" i="2"/>
  <c r="F11" i="2" s="1"/>
  <c r="AK109" i="2"/>
  <c r="AJ110" i="2"/>
  <c r="AL109" i="2"/>
  <c r="AI110" i="2"/>
  <c r="AK110" i="2"/>
  <c r="O30" i="7"/>
  <c r="AM109" i="2"/>
  <c r="AZ240" i="2"/>
  <c r="AG75" i="25"/>
  <c r="AG38" i="25" s="1"/>
  <c r="AT238" i="2"/>
  <c r="AY268" i="2"/>
  <c r="AW267" i="2"/>
  <c r="AW271" i="2" s="1"/>
  <c r="AU239" i="2"/>
  <c r="AL108" i="25"/>
  <c r="AT237" i="2"/>
  <c r="AB75" i="25"/>
  <c r="AB38" i="25" s="1"/>
  <c r="T74" i="2"/>
  <c r="P204" i="2"/>
  <c r="AM110" i="2"/>
  <c r="AK69" i="25"/>
  <c r="BB241" i="2"/>
  <c r="AY247" i="2"/>
  <c r="AD255" i="2"/>
  <c r="BB240" i="2"/>
  <c r="G38" i="25"/>
  <c r="BC268" i="2"/>
  <c r="R71" i="25"/>
  <c r="AQ267" i="2"/>
  <c r="AQ243" i="2"/>
  <c r="AR239" i="2"/>
  <c r="AB253" i="2" s="1"/>
  <c r="Y75" i="25"/>
  <c r="Y38" i="25" s="1"/>
  <c r="AK70" i="25"/>
  <c r="BD238" i="2" s="1"/>
  <c r="AK72" i="25"/>
  <c r="BD240" i="2" s="1"/>
  <c r="AW243" i="2"/>
  <c r="AW268" i="2"/>
  <c r="O152" i="2"/>
  <c r="BC238" i="2"/>
  <c r="AL73" i="25"/>
  <c r="BE241" i="2" s="1"/>
  <c r="BB242" i="2"/>
  <c r="Q152" i="2"/>
  <c r="AB64" i="29"/>
  <c r="AL209" i="25"/>
  <c r="R213" i="25"/>
  <c r="Q75" i="25"/>
  <c r="Q38" i="25" s="1"/>
  <c r="R72" i="25"/>
  <c r="AL105" i="25"/>
  <c r="AS241" i="2"/>
  <c r="Z75" i="25"/>
  <c r="Z38" i="25" s="1"/>
  <c r="AH75" i="25"/>
  <c r="AH38" i="25" s="1"/>
  <c r="BA237" i="2"/>
  <c r="AD251" i="2" s="1"/>
  <c r="AV242" i="2"/>
  <c r="AA55" i="28"/>
  <c r="AA38" i="28" s="1"/>
  <c r="AT241" i="2"/>
  <c r="AA75" i="25"/>
  <c r="AK143" i="25"/>
  <c r="AL208" i="25"/>
  <c r="AL142" i="25"/>
  <c r="AL143" i="25" s="1"/>
  <c r="AX240" i="2"/>
  <c r="AE75" i="25"/>
  <c r="AY239" i="2"/>
  <c r="AY243" i="2" s="1"/>
  <c r="AL72" i="25"/>
  <c r="AV241" i="2"/>
  <c r="AC75" i="25"/>
  <c r="AC38" i="25" s="1"/>
  <c r="BB237" i="2"/>
  <c r="AI75" i="25"/>
  <c r="AP241" i="2"/>
  <c r="W75" i="25"/>
  <c r="BC237" i="2"/>
  <c r="AJ75" i="25"/>
  <c r="AJ38" i="25" s="1"/>
  <c r="P40" i="25"/>
  <c r="AK74" i="25"/>
  <c r="BD242" i="2" s="1"/>
  <c r="D40" i="25"/>
  <c r="E40" i="25"/>
  <c r="H39" i="25"/>
  <c r="O204" i="2" l="1"/>
  <c r="AD48" i="31"/>
  <c r="V249" i="25"/>
  <c r="AD50" i="31"/>
  <c r="AD47" i="31"/>
  <c r="AP248" i="25" s="1"/>
  <c r="V248" i="25"/>
  <c r="AD49" i="31"/>
  <c r="AP250" i="25" s="1"/>
  <c r="V250" i="25"/>
  <c r="AD45" i="31"/>
  <c r="AP247" i="25" s="1"/>
  <c r="V247" i="25"/>
  <c r="AD44" i="31"/>
  <c r="AP246" i="25" s="1"/>
  <c r="V246" i="25"/>
  <c r="BD247" i="2"/>
  <c r="T30" i="7"/>
  <c r="M30" i="7"/>
  <c r="BE240" i="2"/>
  <c r="AF178" i="27"/>
  <c r="BD239" i="2"/>
  <c r="AE253" i="2" s="1"/>
  <c r="AF253" i="2" s="1"/>
  <c r="M78" i="7"/>
  <c r="N78" i="7"/>
  <c r="P78" i="7"/>
  <c r="O78" i="7"/>
  <c r="L40" i="25"/>
  <c r="L39" i="25"/>
  <c r="R30" i="7"/>
  <c r="M40" i="25"/>
  <c r="AD192" i="27"/>
  <c r="AF39" i="25"/>
  <c r="AG40" i="25"/>
  <c r="AL213" i="25"/>
  <c r="Y40" i="25"/>
  <c r="R75" i="25"/>
  <c r="R38" i="25" s="1"/>
  <c r="AL110" i="25"/>
  <c r="AB39" i="25"/>
  <c r="AC254" i="2"/>
  <c r="AZ267" i="2"/>
  <c r="AZ271" i="2" s="1"/>
  <c r="AD252" i="2"/>
  <c r="BC247" i="2"/>
  <c r="AE255" i="2"/>
  <c r="AF255" i="2" s="1"/>
  <c r="BE247" i="2"/>
  <c r="AZ243" i="2"/>
  <c r="AZ268" i="2"/>
  <c r="AY272" i="2"/>
  <c r="AU267" i="2"/>
  <c r="AU271" i="2" s="1"/>
  <c r="AC253" i="2"/>
  <c r="AU243" i="2"/>
  <c r="Z40" i="25"/>
  <c r="AC251" i="2"/>
  <c r="AU272" i="2"/>
  <c r="AT267" i="2"/>
  <c r="AC252" i="2"/>
  <c r="AC39" i="25"/>
  <c r="AC40" i="25"/>
  <c r="AG39" i="25"/>
  <c r="Q40" i="25"/>
  <c r="Q39" i="25"/>
  <c r="AQ271" i="2"/>
  <c r="G39" i="25"/>
  <c r="G40" i="25"/>
  <c r="K39" i="25"/>
  <c r="H40" i="25"/>
  <c r="AD253" i="2"/>
  <c r="AL70" i="25"/>
  <c r="AS268" i="2"/>
  <c r="AW272" i="2" s="1"/>
  <c r="AS243" i="2"/>
  <c r="AW245" i="2" s="1"/>
  <c r="AB259" i="2"/>
  <c r="BB268" i="2"/>
  <c r="BB247" i="2"/>
  <c r="AV268" i="2"/>
  <c r="AV243" i="2"/>
  <c r="BC243" i="2"/>
  <c r="BC267" i="2"/>
  <c r="AX268" i="2"/>
  <c r="AD254" i="2"/>
  <c r="AD260" i="2" s="1"/>
  <c r="AX243" i="2"/>
  <c r="AJ39" i="25"/>
  <c r="W38" i="25"/>
  <c r="X40" i="25" s="1"/>
  <c r="AY267" i="2"/>
  <c r="AC256" i="2"/>
  <c r="AL69" i="25"/>
  <c r="BD237" i="2"/>
  <c r="AK75" i="25"/>
  <c r="AK38" i="25" s="1"/>
  <c r="AH39" i="25"/>
  <c r="AH40" i="25"/>
  <c r="AQ245" i="2"/>
  <c r="AA38" i="25"/>
  <c r="AL74" i="25"/>
  <c r="BA272" i="2"/>
  <c r="AI38" i="25"/>
  <c r="AE38" i="25"/>
  <c r="AR267" i="2"/>
  <c r="AR243" i="2"/>
  <c r="BC272" i="2"/>
  <c r="AD40" i="25"/>
  <c r="BD268" i="2"/>
  <c r="AP243" i="2"/>
  <c r="AB255" i="2"/>
  <c r="AB260" i="2" s="1"/>
  <c r="AP268" i="2"/>
  <c r="BB267" i="2"/>
  <c r="BB243" i="2"/>
  <c r="AT268" i="2"/>
  <c r="AC255" i="2"/>
  <c r="AT243" i="2"/>
  <c r="BA267" i="2"/>
  <c r="BA243" i="2"/>
  <c r="AD39" i="25"/>
  <c r="AP249" i="25" l="1"/>
  <c r="AE48" i="28"/>
  <c r="AE51" i="28"/>
  <c r="AE50" i="28"/>
  <c r="AE53" i="28"/>
  <c r="AP142" i="25" s="1"/>
  <c r="AE21" i="28"/>
  <c r="V70" i="25" s="1"/>
  <c r="V141" i="25"/>
  <c r="V143" i="25" s="1"/>
  <c r="AE49" i="28"/>
  <c r="U250" i="25"/>
  <c r="AD50" i="28"/>
  <c r="U141" i="25"/>
  <c r="U143" i="25" s="1"/>
  <c r="U249" i="25"/>
  <c r="AD47" i="28"/>
  <c r="AD49" i="28"/>
  <c r="U248" i="25"/>
  <c r="AD51" i="28"/>
  <c r="AD53" i="28"/>
  <c r="U246" i="25"/>
  <c r="AE47" i="28"/>
  <c r="AD48" i="28"/>
  <c r="AE254" i="2"/>
  <c r="AF254" i="2" s="1"/>
  <c r="AS246" i="2"/>
  <c r="AS247" i="2"/>
  <c r="AW246" i="2"/>
  <c r="BK240" i="2"/>
  <c r="AX244" i="2"/>
  <c r="BE242" i="2"/>
  <c r="BK242" i="2" s="1"/>
  <c r="AD178" i="27"/>
  <c r="AF177" i="27"/>
  <c r="AP106" i="25" s="1"/>
  <c r="AC178" i="27"/>
  <c r="AF192" i="27"/>
  <c r="AE178" i="27"/>
  <c r="AC192" i="27"/>
  <c r="R40" i="25"/>
  <c r="S40" i="25"/>
  <c r="BB271" i="2"/>
  <c r="R39" i="25"/>
  <c r="AZ245" i="2"/>
  <c r="AZ244" i="2"/>
  <c r="AC259" i="2"/>
  <c r="AU245" i="2"/>
  <c r="AY245" i="2"/>
  <c r="AX271" i="2"/>
  <c r="AT271" i="2"/>
  <c r="AD259" i="2"/>
  <c r="AW244" i="2"/>
  <c r="AY271" i="2"/>
  <c r="BA245" i="2"/>
  <c r="AA39" i="25"/>
  <c r="AA40" i="25"/>
  <c r="AB40" i="25"/>
  <c r="AD257" i="2"/>
  <c r="AX272" i="2"/>
  <c r="AS245" i="2"/>
  <c r="AS244" i="2"/>
  <c r="BB244" i="2"/>
  <c r="BB245" i="2"/>
  <c r="AI39" i="25"/>
  <c r="AI40" i="25"/>
  <c r="AC260" i="2"/>
  <c r="AC257" i="2"/>
  <c r="BC271" i="2"/>
  <c r="BB272" i="2"/>
  <c r="AS272" i="2"/>
  <c r="AY244" i="2"/>
  <c r="AR245" i="2"/>
  <c r="AR244" i="2"/>
  <c r="BE237" i="2"/>
  <c r="AL75" i="25"/>
  <c r="BC244" i="2"/>
  <c r="BC245" i="2"/>
  <c r="AB257" i="2"/>
  <c r="AB258" i="2" s="1"/>
  <c r="BE238" i="2"/>
  <c r="BD267" i="2"/>
  <c r="BD243" i="2"/>
  <c r="AX245" i="2"/>
  <c r="AZ272" i="2"/>
  <c r="AV272" i="2"/>
  <c r="AT244" i="2"/>
  <c r="AW247" i="2"/>
  <c r="AU244" i="2"/>
  <c r="AT272" i="2"/>
  <c r="AT245" i="2"/>
  <c r="AP245" i="2"/>
  <c r="AP244" i="2"/>
  <c r="AV271" i="2"/>
  <c r="AR271" i="2"/>
  <c r="AQ244" i="2"/>
  <c r="AJ40" i="25"/>
  <c r="BA271" i="2"/>
  <c r="AP272" i="2"/>
  <c r="BD272" i="2"/>
  <c r="BA244" i="2"/>
  <c r="AE40" i="25"/>
  <c r="AE39" i="25"/>
  <c r="AF40" i="25"/>
  <c r="AK40" i="25"/>
  <c r="AK39" i="25"/>
  <c r="AV245" i="2"/>
  <c r="AV244" i="2"/>
  <c r="AO142" i="25" l="1"/>
  <c r="AO140" i="25"/>
  <c r="AP140" i="25"/>
  <c r="AP141" i="25"/>
  <c r="U247" i="25"/>
  <c r="AO141" i="25"/>
  <c r="BD271" i="2"/>
  <c r="AC50" i="31"/>
  <c r="AC44" i="31"/>
  <c r="AC48" i="31"/>
  <c r="AC47" i="31"/>
  <c r="AC49" i="31"/>
  <c r="AC42" i="31"/>
  <c r="AD21" i="28"/>
  <c r="AC45" i="31"/>
  <c r="AC46" i="31"/>
  <c r="BE268" i="2"/>
  <c r="BE272" i="2" s="1"/>
  <c r="AE256" i="2"/>
  <c r="AF256" i="2" s="1"/>
  <c r="AE252" i="2"/>
  <c r="AF252" i="2" s="1"/>
  <c r="BK238" i="2"/>
  <c r="AE251" i="2"/>
  <c r="BE267" i="2"/>
  <c r="BE271" i="2" s="1"/>
  <c r="AD177" i="27"/>
  <c r="AN106" i="25" s="1"/>
  <c r="AE177" i="27"/>
  <c r="AF191" i="27"/>
  <c r="AE192" i="27"/>
  <c r="AC177" i="27"/>
  <c r="AD258" i="2"/>
  <c r="AL38" i="25"/>
  <c r="BE243" i="2"/>
  <c r="BD245" i="2"/>
  <c r="BD244" i="2"/>
  <c r="AC258" i="2"/>
  <c r="AM106" i="25" l="1"/>
  <c r="AO106" i="25"/>
  <c r="AO249" i="25"/>
  <c r="AO250" i="25"/>
  <c r="AO246" i="25"/>
  <c r="U70" i="25"/>
  <c r="AP108" i="25"/>
  <c r="AO247" i="25"/>
  <c r="AO248" i="25"/>
  <c r="AE260" i="2"/>
  <c r="AF260" i="2" s="1"/>
  <c r="F12" i="2" s="1"/>
  <c r="AE259" i="2"/>
  <c r="AF259" i="2" s="1"/>
  <c r="K12" i="2" s="1"/>
  <c r="AF251" i="2"/>
  <c r="AE257" i="2"/>
  <c r="AF257" i="2" s="1"/>
  <c r="AE191" i="27"/>
  <c r="AC191" i="27"/>
  <c r="AD191" i="27"/>
  <c r="BE244" i="2"/>
  <c r="BE245" i="2"/>
  <c r="AL40" i="25"/>
  <c r="AL39" i="25"/>
  <c r="F17" i="2" l="1"/>
  <c r="H233" i="2"/>
  <c r="AO108" i="25"/>
  <c r="AE258" i="2"/>
  <c r="AD195" i="27"/>
  <c r="AN108" i="25"/>
  <c r="AN110" i="25" s="1"/>
  <c r="AM108" i="25"/>
  <c r="AC195" i="27"/>
  <c r="AD26" i="7"/>
  <c r="AG29" i="7" s="1"/>
  <c r="AG30" i="7" s="1"/>
  <c r="AD49" i="7" l="1"/>
  <c r="AD51" i="7"/>
  <c r="AD42" i="7"/>
  <c r="AD44" i="7"/>
  <c r="AD46" i="7"/>
  <c r="AD48" i="7"/>
  <c r="AD40" i="7"/>
  <c r="AD50" i="7"/>
  <c r="AD41" i="7"/>
  <c r="AD43" i="7"/>
  <c r="AD45" i="7"/>
  <c r="AD47" i="7"/>
  <c r="AG67" i="7"/>
  <c r="AF67" i="7"/>
  <c r="AD77" i="7"/>
  <c r="AD73" i="7"/>
  <c r="AE67" i="7"/>
  <c r="AD75" i="7"/>
  <c r="AD62" i="7"/>
  <c r="AD64" i="7"/>
  <c r="AD60" i="7"/>
  <c r="AD66" i="7"/>
  <c r="AD63" i="7"/>
  <c r="AD69" i="7"/>
  <c r="AD65" i="7"/>
  <c r="AD71" i="7"/>
  <c r="AD67" i="7"/>
  <c r="AD68" i="7"/>
  <c r="AD74" i="7"/>
  <c r="AD72" i="7"/>
  <c r="AD70" i="7"/>
  <c r="AG63" i="7"/>
  <c r="AG72" i="7"/>
  <c r="AG71" i="7"/>
  <c r="AG64" i="7"/>
  <c r="AG73" i="7"/>
  <c r="AG69" i="7"/>
  <c r="AG65" i="7"/>
  <c r="AG75" i="7"/>
  <c r="AG70" i="7"/>
  <c r="AG66" i="7"/>
  <c r="AG77" i="7"/>
  <c r="AG62" i="7"/>
  <c r="AG68" i="7"/>
  <c r="AG60" i="7"/>
  <c r="AF72" i="7"/>
  <c r="AE72" i="7"/>
  <c r="AD27" i="7"/>
  <c r="AF62" i="7"/>
  <c r="AF77" i="7"/>
  <c r="AF69" i="7"/>
  <c r="AF60" i="7"/>
  <c r="AF64" i="7"/>
  <c r="AF65" i="7"/>
  <c r="AF66" i="7"/>
  <c r="AF71" i="7"/>
  <c r="AF70" i="7"/>
  <c r="AF73" i="7"/>
  <c r="AF68" i="7"/>
  <c r="AF63" i="7"/>
  <c r="AF29" i="7"/>
  <c r="AF30" i="7" s="1"/>
  <c r="AF75" i="7"/>
  <c r="AM69" i="25"/>
  <c r="AM110" i="25"/>
  <c r="AN69" i="25"/>
  <c r="BG237" i="2" s="1"/>
  <c r="AE28" i="7"/>
  <c r="AE29" i="7"/>
  <c r="AE30" i="7" s="1"/>
  <c r="AE62" i="7"/>
  <c r="AE64" i="7"/>
  <c r="AE71" i="7"/>
  <c r="AE75" i="7"/>
  <c r="AE63" i="7"/>
  <c r="AE65" i="7"/>
  <c r="AE60" i="7"/>
  <c r="AE77" i="7"/>
  <c r="AE73" i="7"/>
  <c r="AE68" i="7"/>
  <c r="AE66" i="7"/>
  <c r="AE70" i="7"/>
  <c r="AE69" i="7"/>
  <c r="AD29" i="7"/>
  <c r="AD30" i="7" s="1"/>
  <c r="AD28" i="7"/>
  <c r="AD53" i="7"/>
  <c r="BD208" i="2"/>
  <c r="AD55" i="7"/>
  <c r="AD38" i="7"/>
  <c r="AG78" i="7" l="1"/>
  <c r="AF78" i="7"/>
  <c r="BF237" i="2"/>
  <c r="BK237" i="2" s="1"/>
  <c r="AE78" i="7"/>
  <c r="AD56" i="7"/>
  <c r="AD78" i="7"/>
  <c r="BD209" i="2"/>
  <c r="Q203" i="2"/>
  <c r="G201" i="2" s="1"/>
  <c r="F16" i="2" s="1"/>
  <c r="Q204" i="2" l="1"/>
  <c r="AD77" i="30" l="1"/>
  <c r="AC89" i="30"/>
  <c r="AD81" i="30"/>
  <c r="AE89" i="30"/>
  <c r="AE86" i="30"/>
  <c r="AD78" i="30"/>
  <c r="AE84" i="30"/>
  <c r="AD74" i="30"/>
  <c r="AO285" i="25" s="1"/>
  <c r="AB74" i="30"/>
  <c r="AM285" i="25" s="1"/>
  <c r="AC74" i="30"/>
  <c r="AN285" i="25" s="1"/>
  <c r="AE74" i="30"/>
  <c r="AP285" i="25" s="1"/>
  <c r="AB85" i="30"/>
  <c r="AB82" i="30"/>
  <c r="AD83" i="30"/>
  <c r="AC84" i="30"/>
  <c r="AB89" i="30"/>
  <c r="AE82" i="30"/>
  <c r="AD88" i="30"/>
  <c r="AB91" i="30"/>
  <c r="AD85" i="30"/>
  <c r="AD82" i="30"/>
  <c r="AC88" i="30"/>
  <c r="AC85" i="30"/>
  <c r="AC82" i="30"/>
  <c r="AB76" i="30"/>
  <c r="AE92" i="30"/>
  <c r="AC81" i="30"/>
  <c r="AD84" i="30"/>
  <c r="AB79" i="30"/>
  <c r="AE79" i="30"/>
  <c r="AD90" i="30"/>
  <c r="AE83" i="30"/>
  <c r="AE77" i="30"/>
  <c r="AC90" i="30"/>
  <c r="AB86" i="30"/>
  <c r="AB87" i="30"/>
  <c r="AC91" i="30"/>
  <c r="AC86" i="30"/>
  <c r="AB90" i="30"/>
  <c r="AC80" i="30"/>
  <c r="AB83" i="30"/>
  <c r="AB80" i="30"/>
  <c r="AD76" i="30"/>
  <c r="AB88" i="30"/>
  <c r="AE91" i="30"/>
  <c r="AB77" i="30"/>
  <c r="AE87" i="30"/>
  <c r="AB92" i="30"/>
  <c r="AD75" i="30"/>
  <c r="AE90" i="30"/>
  <c r="AD79" i="30"/>
  <c r="AE76" i="30"/>
  <c r="AC78" i="30"/>
  <c r="AE75" i="30"/>
  <c r="AD86" i="30"/>
  <c r="AE81" i="30"/>
  <c r="AD89" i="30"/>
  <c r="AB84" i="30"/>
  <c r="AD80" i="30"/>
  <c r="AE88" i="30"/>
  <c r="AE85" i="30"/>
  <c r="AD92" i="30"/>
  <c r="AC92" i="30"/>
  <c r="AC87" i="30"/>
  <c r="AC77" i="30"/>
  <c r="AC76" i="30"/>
  <c r="AB78" i="30"/>
  <c r="AB75" i="30"/>
  <c r="AD91" i="30"/>
  <c r="AC83" i="30"/>
  <c r="AE80" i="30"/>
  <c r="AE78" i="30"/>
  <c r="AB81" i="30"/>
  <c r="AC79" i="30"/>
  <c r="AC75" i="30"/>
  <c r="AP286" i="25" l="1"/>
  <c r="AP290" i="25"/>
  <c r="AP288" i="25"/>
  <c r="AO287" i="25"/>
  <c r="AO286" i="25"/>
  <c r="AP287" i="25"/>
  <c r="AO290" i="25"/>
  <c r="AO289" i="25"/>
  <c r="AO288" i="25"/>
  <c r="AP289" i="25"/>
  <c r="AM287" i="25"/>
  <c r="AN287" i="25"/>
  <c r="AM289" i="25"/>
  <c r="AM286" i="25"/>
  <c r="AN286" i="25"/>
  <c r="AM290" i="25"/>
  <c r="AN288" i="25"/>
  <c r="AN289" i="25"/>
  <c r="AN290" i="25"/>
  <c r="AM288" i="25"/>
  <c r="AC94" i="30"/>
  <c r="AE94" i="30"/>
  <c r="AB94" i="30"/>
  <c r="AM73" i="25" s="1"/>
  <c r="AD94" i="30"/>
  <c r="AO291" i="25" l="1"/>
  <c r="AP291" i="25"/>
  <c r="AO73" i="25"/>
  <c r="BH241" i="2" s="1"/>
  <c r="AP73" i="25"/>
  <c r="BF241" i="2"/>
  <c r="AN291" i="25"/>
  <c r="AM291" i="25"/>
  <c r="AN73" i="25"/>
  <c r="BG241" i="2" l="1"/>
  <c r="BF268" i="2"/>
  <c r="BF247" i="2"/>
  <c r="BK241" i="2" l="1"/>
  <c r="BH247" i="2"/>
  <c r="BG247" i="2"/>
  <c r="BG268" i="2"/>
  <c r="BF272" i="2"/>
  <c r="AK139" i="2"/>
  <c r="AK140" i="2" s="1"/>
  <c r="AL139" i="2"/>
  <c r="AL140" i="2" s="1"/>
  <c r="BG272" i="2" l="1"/>
  <c r="U245" i="25" l="1"/>
  <c r="AC51" i="31" l="1"/>
  <c r="U251" i="25"/>
  <c r="U252" i="25" s="1"/>
  <c r="AD43" i="31"/>
  <c r="AP245" i="25" s="1"/>
  <c r="V245" i="25"/>
  <c r="AD51" i="31"/>
  <c r="AP251" i="25" s="1"/>
  <c r="V251" i="25"/>
  <c r="AC43" i="31"/>
  <c r="AD21" i="31"/>
  <c r="V71" i="25" s="1"/>
  <c r="AO251" i="25" l="1"/>
  <c r="AO245" i="25"/>
  <c r="AP252" i="25"/>
  <c r="V252" i="25"/>
  <c r="AD52" i="31"/>
  <c r="AD53" i="31"/>
  <c r="AC21" i="31"/>
  <c r="AC52" i="31"/>
  <c r="AC53" i="31"/>
  <c r="AO71" i="25" s="1"/>
  <c r="BH239" i="2" s="1"/>
  <c r="AO252" i="25" l="1"/>
  <c r="U71" i="25"/>
  <c r="AP71" i="25"/>
  <c r="AF55" i="29" l="1"/>
  <c r="AE55" i="29" l="1"/>
  <c r="U207" i="25" l="1"/>
  <c r="AF52" i="29" l="1"/>
  <c r="AE50" i="29"/>
  <c r="AO207" i="25" l="1"/>
  <c r="AF50" i="29"/>
  <c r="AP207" i="25" s="1"/>
  <c r="V207" i="25"/>
  <c r="AB48" i="31" l="1"/>
  <c r="AN249" i="25" s="1"/>
  <c r="AB50" i="31"/>
  <c r="AN251" i="25" s="1"/>
  <c r="AA48" i="31"/>
  <c r="AA50" i="31"/>
  <c r="AM251" i="25" s="1"/>
  <c r="AA53" i="31" l="1"/>
  <c r="AM71" i="25" s="1"/>
  <c r="AM75" i="25" s="1"/>
  <c r="AB53" i="31"/>
  <c r="AN71" i="25" s="1"/>
  <c r="AM249" i="25"/>
  <c r="AB52" i="31"/>
  <c r="AA52" i="31"/>
  <c r="AN75" i="25"/>
  <c r="AN38" i="25" s="1"/>
  <c r="AN39" i="25" s="1"/>
  <c r="BG239" i="2"/>
  <c r="BG243" i="2" s="1"/>
  <c r="BG245" i="2" s="1"/>
  <c r="AM252" i="25"/>
  <c r="AN252" i="25"/>
  <c r="BF239" i="2" l="1"/>
  <c r="BG267" i="2"/>
  <c r="BG271" i="2" s="1"/>
  <c r="BK239" i="2"/>
  <c r="AM38" i="25"/>
  <c r="BF267" i="2"/>
  <c r="BF243" i="2"/>
  <c r="AM40" i="25" l="1"/>
  <c r="AN40" i="25"/>
  <c r="AM39" i="25"/>
  <c r="BF245" i="2"/>
  <c r="BF244" i="2"/>
  <c r="BG244" i="2"/>
  <c r="BK243" i="2"/>
  <c r="BF271" i="2"/>
  <c r="U209" i="25"/>
  <c r="U213" i="25" s="1"/>
  <c r="AE24" i="29"/>
  <c r="U74" i="25" s="1"/>
  <c r="U75" i="25" s="1"/>
  <c r="U38" i="25" s="1"/>
  <c r="AE49" i="29"/>
  <c r="AO209" i="25" s="1"/>
  <c r="AO213" i="25" s="1"/>
  <c r="V209" i="25" l="1"/>
  <c r="V213" i="25" s="1"/>
  <c r="U39" i="25"/>
  <c r="U40" i="25"/>
  <c r="AE64" i="29"/>
  <c r="AF24" i="29"/>
  <c r="AF49" i="29"/>
  <c r="V74" i="25" l="1"/>
  <c r="V75" i="25" s="1"/>
  <c r="V38" i="25" s="1"/>
  <c r="AO74" i="25"/>
  <c r="BH242" i="2" s="1"/>
  <c r="BH268" i="2" s="1"/>
  <c r="BH272" i="2" s="1"/>
  <c r="G12" i="2" s="1"/>
  <c r="K18" i="2" s="1"/>
  <c r="AF64" i="29"/>
  <c r="AP74" i="25" s="1"/>
  <c r="AP209" i="25"/>
  <c r="AP213" i="25" s="1"/>
  <c r="V40" i="25" l="1"/>
  <c r="V39" i="25"/>
  <c r="AE46" i="28" l="1"/>
  <c r="AD46" i="28"/>
  <c r="AD55" i="28" l="1"/>
  <c r="AO139" i="25"/>
  <c r="AO143" i="25" s="1"/>
  <c r="AP139" i="25"/>
  <c r="AP143" i="25" s="1"/>
  <c r="AE55" i="28"/>
  <c r="AD38" i="28" l="1"/>
  <c r="AO70" i="25"/>
  <c r="BH238" i="2" s="1"/>
  <c r="AE38" i="28"/>
  <c r="AP70" i="25"/>
  <c r="AF137" i="27"/>
  <c r="AP103" i="25" s="1"/>
  <c r="AP110" i="25" s="1"/>
  <c r="AE137" i="27"/>
  <c r="AE195" i="27" l="1"/>
  <c r="AO103" i="25"/>
  <c r="AO110" i="25" s="1"/>
  <c r="AF195" i="27"/>
  <c r="AP69" i="25" l="1"/>
  <c r="AP75" i="25" s="1"/>
  <c r="AP38" i="25" s="1"/>
  <c r="AO69" i="25"/>
  <c r="AO75" i="25" l="1"/>
  <c r="AO38" i="25" s="1"/>
  <c r="AO40" i="25" s="1"/>
  <c r="BH237" i="2"/>
  <c r="AP39" i="25"/>
  <c r="AP40" i="25" l="1"/>
  <c r="AO39" i="25"/>
  <c r="BH267" i="2"/>
  <c r="BH271" i="2" s="1"/>
  <c r="L12" i="2" s="1"/>
  <c r="L18" i="2" s="1"/>
  <c r="BH243" i="2"/>
  <c r="BH244" i="2" l="1"/>
  <c r="BH245" i="2"/>
  <c r="G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300-000001000000}">
      <text>
        <r>
          <rPr>
            <sz val="10"/>
            <rFont val="Arial"/>
            <family val="2"/>
          </rPr>
          <t>Includes multi-rate</t>
        </r>
      </text>
    </comment>
    <comment ref="B110" authorId="1" shapeId="0" xr:uid="{00000000-0006-0000-0300-000002000000}">
      <text>
        <r>
          <rPr>
            <sz val="10"/>
            <rFont val="Arial"/>
            <family val="2"/>
          </rPr>
          <t>Includes Ethernet over Copper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5" authorId="0" shapeId="0" xr:uid="{00000000-0006-0000-0500-00000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M15" authorId="0" shapeId="0" xr:uid="{00000000-0006-0000-0500-000002000000}">
      <text>
        <r>
          <rPr>
            <b/>
            <sz val="9"/>
            <color rgb="FF000000"/>
            <rFont val="Tahoma"/>
            <family val="2"/>
          </rPr>
          <t>added to the above</t>
        </r>
      </text>
    </comment>
    <comment ref="N15" authorId="0" shapeId="0" xr:uid="{00000000-0006-0000-0500-000003000000}">
      <text>
        <r>
          <rPr>
            <b/>
            <sz val="9"/>
            <color rgb="FF000000"/>
            <rFont val="Tahoma"/>
            <family val="2"/>
          </rPr>
          <t>added to the above</t>
        </r>
      </text>
    </comment>
    <comment ref="K18" authorId="0" shapeId="0" xr:uid="{00000000-0006-0000-0500-000004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18" authorId="0" shapeId="0" xr:uid="{00000000-0006-0000-0500-000005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D19" authorId="0" shapeId="0" xr:uid="{00000000-0006-0000-0500-000006000000}">
      <text>
        <r>
          <rPr>
            <b/>
            <sz val="9"/>
            <color indexed="81"/>
            <rFont val="Tahoma"/>
            <family val="2"/>
          </rPr>
          <t xml:space="preserve">2 km reach </t>
        </r>
      </text>
    </comment>
    <comment ref="K21" authorId="0" shapeId="0" xr:uid="{00000000-0006-0000-0500-000007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1" authorId="0" shapeId="0" xr:uid="{00000000-0006-0000-0500-000008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K23" authorId="0" shapeId="0" xr:uid="{00000000-0006-0000-0500-000009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3" authorId="0" shapeId="0" xr:uid="{00000000-0006-0000-0500-00000A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B29" authorId="1" shapeId="0" xr:uid="{00000000-0006-0000-0500-00000B000000}">
      <text>
        <r>
          <rPr>
            <b/>
            <sz val="9"/>
            <color indexed="81"/>
            <rFont val="Tahoma"/>
            <family val="2"/>
          </rPr>
          <t>Dale:</t>
        </r>
        <r>
          <rPr>
            <sz val="9"/>
            <color indexed="81"/>
            <rFont val="Tahoma"/>
            <family val="2"/>
          </rPr>
          <t xml:space="preserve">
Extended short reach 40GbE on MMF</t>
        </r>
      </text>
    </comment>
    <comment ref="B31" authorId="0" shapeId="0" xr:uid="{00000000-0006-0000-0500-00000C000000}">
      <text>
        <r>
          <rPr>
            <b/>
            <sz val="9"/>
            <color indexed="81"/>
            <rFont val="Tahoma"/>
            <family val="2"/>
          </rPr>
          <t>John Lively:</t>
        </r>
        <r>
          <rPr>
            <sz val="9"/>
            <color indexed="81"/>
            <rFont val="Tahoma"/>
            <family val="2"/>
          </rPr>
          <t xml:space="preserve">
move to legacy
</t>
        </r>
      </text>
    </comment>
    <comment ref="B33" authorId="1" shapeId="0" xr:uid="{00000000-0006-0000-0500-00000D000000}">
      <text>
        <r>
          <rPr>
            <b/>
            <sz val="9"/>
            <color rgb="FF000000"/>
            <rFont val="Tahoma"/>
            <family val="2"/>
          </rPr>
          <t>Dale:</t>
        </r>
        <r>
          <rPr>
            <sz val="9"/>
            <color rgb="FF000000"/>
            <rFont val="Tahoma"/>
            <family val="2"/>
          </rPr>
          <t xml:space="preserve">
</t>
        </r>
        <r>
          <rPr>
            <sz val="9"/>
            <color rgb="FF000000"/>
            <rFont val="Tahoma"/>
            <family val="2"/>
          </rPr>
          <t>Full spec versions only. Please record 2km or subspec versions above</t>
        </r>
      </text>
    </comment>
    <comment ref="B41" authorId="0" shapeId="0" xr:uid="{00000000-0006-0000-0500-00000E000000}">
      <text>
        <r>
          <rPr>
            <b/>
            <sz val="9"/>
            <color indexed="81"/>
            <rFont val="Tahoma"/>
            <family val="2"/>
          </rPr>
          <t xml:space="preserve">John Lively:
Include eSR4 on this line
</t>
        </r>
        <r>
          <rPr>
            <sz val="9"/>
            <color indexed="81"/>
            <rFont val="Tahoma"/>
            <family val="2"/>
          </rPr>
          <t xml:space="preserve">
</t>
        </r>
      </text>
    </comment>
    <comment ref="D41" authorId="2" shapeId="0" xr:uid="{00000000-0006-0000-0500-00000F000000}">
      <text>
        <r>
          <rPr>
            <b/>
            <sz val="9"/>
            <color indexed="81"/>
            <rFont val="Tahoma"/>
            <family val="2"/>
          </rPr>
          <t>Does not include CPAK</t>
        </r>
      </text>
    </comment>
    <comment ref="B43" authorId="0" shapeId="0" xr:uid="{00000000-0006-0000-0500-000010000000}">
      <text>
        <r>
          <rPr>
            <b/>
            <sz val="9"/>
            <color indexed="81"/>
            <rFont val="Tahoma"/>
            <family val="2"/>
          </rPr>
          <t>John Lively:</t>
        </r>
        <r>
          <rPr>
            <sz val="9"/>
            <color indexed="81"/>
            <rFont val="Tahoma"/>
            <family val="2"/>
          </rPr>
          <t xml:space="preserve">
make this line MM Duplex only</t>
        </r>
      </text>
    </comment>
    <comment ref="D48" authorId="2" shapeId="0" xr:uid="{00000000-0006-0000-0500-000012000000}">
      <text>
        <r>
          <rPr>
            <b/>
            <sz val="9"/>
            <color indexed="81"/>
            <rFont val="Tahoma"/>
            <family val="2"/>
          </rPr>
          <t>Does not include CPAK</t>
        </r>
      </text>
    </comment>
    <comment ref="D49" authorId="2" shapeId="0" xr:uid="{00000000-0006-0000-0500-000013000000}">
      <text>
        <r>
          <rPr>
            <b/>
            <sz val="9"/>
            <color indexed="81"/>
            <rFont val="Tahoma"/>
            <family val="2"/>
          </rPr>
          <t>Does not include CPAK</t>
        </r>
      </text>
    </comment>
    <comment ref="K49" authorId="0" shapeId="0" xr:uid="{00000000-0006-0000-0500-000014000000}">
      <text>
        <r>
          <rPr>
            <b/>
            <sz val="9"/>
            <color indexed="81"/>
            <rFont val="Tahoma"/>
            <family val="2"/>
          </rPr>
          <t>John Lively:</t>
        </r>
        <r>
          <rPr>
            <sz val="9"/>
            <color indexed="81"/>
            <rFont val="Tahoma"/>
            <family val="2"/>
          </rPr>
          <t xml:space="preserve">
this is CFP2/4 in the forecast</t>
        </r>
      </text>
    </comment>
    <comment ref="K51" authorId="0" shapeId="0" xr:uid="{00000000-0006-0000-0500-000015000000}">
      <text>
        <r>
          <rPr>
            <b/>
            <sz val="9"/>
            <color indexed="81"/>
            <rFont val="Tahoma"/>
            <family val="2"/>
          </rPr>
          <t>John Lively:</t>
        </r>
        <r>
          <rPr>
            <sz val="9"/>
            <color indexed="81"/>
            <rFont val="Tahoma"/>
            <family val="2"/>
          </rPr>
          <t xml:space="preserve">
4
WDM10 and LR4 combined</t>
        </r>
      </text>
    </comment>
    <comment ref="K54" authorId="0" shapeId="0" xr:uid="{00000000-0006-0000-0500-000016000000}">
      <text>
        <r>
          <rPr>
            <b/>
            <sz val="9"/>
            <color indexed="81"/>
            <rFont val="Tahoma"/>
            <family val="2"/>
          </rPr>
          <t>John Lively:</t>
        </r>
        <r>
          <rPr>
            <sz val="9"/>
            <color indexed="81"/>
            <rFont val="Tahoma"/>
            <family val="2"/>
          </rPr>
          <t xml:space="preserve">
included below
</t>
        </r>
      </text>
    </comment>
    <comment ref="D79" authorId="0" shapeId="0" xr:uid="{00000000-0006-0000-0500-000018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shapeId="0" xr:uid="{00000000-0006-0000-0500-000019000000}">
      <text>
        <r>
          <rPr>
            <b/>
            <sz val="9"/>
            <color indexed="81"/>
            <rFont val="Tahoma"/>
            <family val="2"/>
          </rPr>
          <t xml:space="preserve">2 km reach </t>
        </r>
      </text>
    </comment>
    <comment ref="B93" authorId="1" shapeId="0" xr:uid="{00000000-0006-0000-0500-00001C000000}">
      <text>
        <r>
          <rPr>
            <b/>
            <sz val="9"/>
            <color indexed="81"/>
            <rFont val="Tahoma"/>
            <family val="2"/>
          </rPr>
          <t>Dale:</t>
        </r>
        <r>
          <rPr>
            <sz val="9"/>
            <color indexed="81"/>
            <rFont val="Tahoma"/>
            <family val="2"/>
          </rPr>
          <t xml:space="preserve">
Extended short reach 40GbE on MMF</t>
        </r>
      </text>
    </comment>
    <comment ref="B97" authorId="1" shapeId="0" xr:uid="{00000000-0006-0000-0500-00001D000000}">
      <text>
        <r>
          <rPr>
            <b/>
            <sz val="9"/>
            <color indexed="81"/>
            <rFont val="Tahoma"/>
            <family val="2"/>
          </rPr>
          <t>Dale:</t>
        </r>
        <r>
          <rPr>
            <sz val="9"/>
            <color indexed="81"/>
            <rFont val="Tahoma"/>
            <family val="2"/>
          </rPr>
          <t xml:space="preserve">
Full spec versions only. Please record 2km or subspec versions above</t>
        </r>
      </text>
    </comment>
    <comment ref="D105" authorId="2" shapeId="0" xr:uid="{00000000-0006-0000-0500-00001E000000}">
      <text>
        <r>
          <rPr>
            <b/>
            <sz val="9"/>
            <color indexed="81"/>
            <rFont val="Tahoma"/>
            <family val="2"/>
          </rPr>
          <t>Does not include CPAK</t>
        </r>
      </text>
    </comment>
    <comment ref="D112" authorId="2" shapeId="0" xr:uid="{00000000-0006-0000-0500-00001F000000}">
      <text>
        <r>
          <rPr>
            <b/>
            <sz val="9"/>
            <color indexed="81"/>
            <rFont val="Tahoma"/>
            <family val="2"/>
          </rPr>
          <t>Does not include CPAK</t>
        </r>
      </text>
    </comment>
    <comment ref="D113" authorId="2" shapeId="0" xr:uid="{00000000-0006-0000-0500-000020000000}">
      <text>
        <r>
          <rPr>
            <b/>
            <sz val="9"/>
            <color indexed="81"/>
            <rFont val="Tahoma"/>
            <family val="2"/>
          </rPr>
          <t>Does not include CPAK</t>
        </r>
      </text>
    </comment>
    <comment ref="D143" authorId="0" shapeId="0" xr:uid="{00000000-0006-0000-0500-00002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shapeId="0" xr:uid="{00000000-0006-0000-0500-000022000000}">
      <text>
        <r>
          <rPr>
            <b/>
            <sz val="9"/>
            <color indexed="81"/>
            <rFont val="Tahoma"/>
            <family val="2"/>
          </rPr>
          <t xml:space="preserve">2 km reach </t>
        </r>
      </text>
    </comment>
    <comment ref="B157" authorId="1" shapeId="0" xr:uid="{00000000-0006-0000-0500-000023000000}">
      <text>
        <r>
          <rPr>
            <b/>
            <sz val="9"/>
            <color indexed="81"/>
            <rFont val="Tahoma"/>
            <family val="2"/>
          </rPr>
          <t>Dale:</t>
        </r>
        <r>
          <rPr>
            <sz val="9"/>
            <color indexed="81"/>
            <rFont val="Tahoma"/>
            <family val="2"/>
          </rPr>
          <t xml:space="preserve">
Extended short reach 40GbE on MMF</t>
        </r>
      </text>
    </comment>
    <comment ref="B161" authorId="1" shapeId="0" xr:uid="{00000000-0006-0000-0500-000024000000}">
      <text>
        <r>
          <rPr>
            <b/>
            <sz val="9"/>
            <color indexed="81"/>
            <rFont val="Tahoma"/>
            <family val="2"/>
          </rPr>
          <t>Dale:</t>
        </r>
        <r>
          <rPr>
            <sz val="9"/>
            <color indexed="81"/>
            <rFont val="Tahoma"/>
            <family val="2"/>
          </rPr>
          <t xml:space="preserve">
Full spec versions only. Please record 2km or subspec versions above</t>
        </r>
      </text>
    </comment>
    <comment ref="D169" authorId="2" shapeId="0" xr:uid="{00000000-0006-0000-0500-000025000000}">
      <text>
        <r>
          <rPr>
            <b/>
            <sz val="9"/>
            <color indexed="81"/>
            <rFont val="Tahoma"/>
            <family val="2"/>
          </rPr>
          <t>Does not include CPAK</t>
        </r>
      </text>
    </comment>
    <comment ref="D176" authorId="2" shapeId="0" xr:uid="{00000000-0006-0000-0500-000026000000}">
      <text>
        <r>
          <rPr>
            <b/>
            <sz val="9"/>
            <color indexed="81"/>
            <rFont val="Tahoma"/>
            <family val="2"/>
          </rPr>
          <t>Does not include CPAK</t>
        </r>
      </text>
    </comment>
    <comment ref="D177" authorId="2" shapeId="0" xr:uid="{00000000-0006-0000-0500-000027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7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7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800-000001000000}">
      <text>
        <r>
          <rPr>
            <sz val="9"/>
            <color indexed="81"/>
            <rFont val="Tahoma"/>
            <family val="2"/>
          </rPr>
          <t>Most CPRI links are limited to 15 km or less by latency requirements</t>
        </r>
      </text>
    </comment>
    <comment ref="B13" authorId="0" shapeId="0" xr:uid="{00000000-0006-0000-0800-000002000000}">
      <text>
        <r>
          <rPr>
            <sz val="9"/>
            <color indexed="81"/>
            <rFont val="Tahoma"/>
            <family val="2"/>
          </rPr>
          <t>Most CPRI links are limited to 15 km or less by latency requirements</t>
        </r>
      </text>
    </comment>
    <comment ref="B16" authorId="0" shapeId="0" xr:uid="{00000000-0006-0000-0800-000003000000}">
      <text>
        <r>
          <rPr>
            <sz val="9"/>
            <color rgb="FF000000"/>
            <rFont val="Tahoma"/>
            <family val="2"/>
          </rPr>
          <t>Most CPRI links are limited to 15 km or less by latency requirements</t>
        </r>
      </text>
    </comment>
    <comment ref="B19" authorId="0" shapeId="0" xr:uid="{00000000-0006-0000-0800-000004000000}">
      <text>
        <r>
          <rPr>
            <sz val="9"/>
            <color indexed="81"/>
            <rFont val="Tahoma"/>
            <family val="2"/>
          </rPr>
          <t>Most CPRI links are limited to 15 km or less by latency requirements</t>
        </r>
      </text>
    </comment>
    <comment ref="B23" authorId="0" shapeId="0" xr:uid="{00000000-0006-0000-0800-000005000000}">
      <text>
        <r>
          <rPr>
            <sz val="9"/>
            <color indexed="81"/>
            <rFont val="Tahoma"/>
            <family val="2"/>
          </rPr>
          <t>Most CPRI links are limited to 15 km or less by latency requirements</t>
        </r>
      </text>
    </comment>
    <comment ref="B40" authorId="0" shapeId="0" xr:uid="{00000000-0006-0000-0800-000006000000}">
      <text>
        <r>
          <rPr>
            <sz val="9"/>
            <color indexed="81"/>
            <rFont val="Tahoma"/>
            <family val="2"/>
          </rPr>
          <t>Most CPRI links are limited to 15 km or less by latency requirements</t>
        </r>
      </text>
    </comment>
    <comment ref="B43" authorId="0" shapeId="0" xr:uid="{00000000-0006-0000-0800-000007000000}">
      <text>
        <r>
          <rPr>
            <sz val="9"/>
            <color indexed="81"/>
            <rFont val="Tahoma"/>
            <family val="2"/>
          </rPr>
          <t>Most CPRI links are limited to 15 km or less by latency requirements</t>
        </r>
      </text>
    </comment>
    <comment ref="B46" authorId="0" shapeId="0" xr:uid="{00000000-0006-0000-0800-000008000000}">
      <text>
        <r>
          <rPr>
            <sz val="9"/>
            <color indexed="81"/>
            <rFont val="Tahoma"/>
            <family val="2"/>
          </rPr>
          <t>Most CPRI links are limited to 15 km or less by latency requirements</t>
        </r>
      </text>
    </comment>
    <comment ref="B49" authorId="0" shapeId="0" xr:uid="{00000000-0006-0000-0800-000009000000}">
      <text>
        <r>
          <rPr>
            <sz val="9"/>
            <color indexed="81"/>
            <rFont val="Tahoma"/>
            <family val="2"/>
          </rPr>
          <t>Most CPRI links are limited to 15 km or less by latency requirements</t>
        </r>
      </text>
    </comment>
    <comment ref="B53" authorId="0" shapeId="0" xr:uid="{00000000-0006-0000-0800-00000A000000}">
      <text>
        <r>
          <rPr>
            <sz val="9"/>
            <color indexed="81"/>
            <rFont val="Tahoma"/>
            <family val="2"/>
          </rPr>
          <t>Most CPRI links are limited to 15 km or less by latency requirements</t>
        </r>
      </text>
    </comment>
    <comment ref="B57" authorId="0" shapeId="0" xr:uid="{00000000-0006-0000-0800-00000B000000}">
      <text>
        <r>
          <rPr>
            <sz val="9"/>
            <color indexed="81"/>
            <rFont val="Tahoma"/>
            <family val="2"/>
          </rPr>
          <t>Most CPRI links are limited to 15 km or less by latency requirements</t>
        </r>
      </text>
    </comment>
    <comment ref="H62" authorId="1" shapeId="0" xr:uid="{00000000-0006-0000-0800-00000C000000}">
      <text>
        <r>
          <rPr>
            <b/>
            <sz val="9"/>
            <color rgb="FF000000"/>
            <rFont val="Tahoma"/>
            <family val="2"/>
          </rPr>
          <t>Reported as "CWDM/DWDM" with no speed specificed</t>
        </r>
      </text>
    </comment>
    <comment ref="I62" authorId="1" shapeId="0" xr:uid="{00000000-0006-0000-0800-00000D000000}">
      <text>
        <r>
          <rPr>
            <b/>
            <sz val="9"/>
            <color indexed="81"/>
            <rFont val="Tahoma"/>
            <family val="2"/>
          </rPr>
          <t>Reported as "CWDM/DWDM" with no speed specificed</t>
        </r>
      </text>
    </comment>
    <comment ref="J62" authorId="1" shapeId="0" xr:uid="{00000000-0006-0000-0800-00000E000000}">
      <text>
        <r>
          <rPr>
            <b/>
            <sz val="9"/>
            <color indexed="81"/>
            <rFont val="Tahoma"/>
            <family val="2"/>
          </rPr>
          <t>Reported as "CWDM/DWDM" with no speed specificed</t>
        </r>
      </text>
    </comment>
    <comment ref="K62" authorId="1" shapeId="0" xr:uid="{00000000-0006-0000-0800-00000F000000}">
      <text>
        <r>
          <rPr>
            <b/>
            <sz val="9"/>
            <color indexed="81"/>
            <rFont val="Tahoma"/>
            <family val="2"/>
          </rPr>
          <t>Reported as "CWDM/DWDM" with no speed specificed</t>
        </r>
      </text>
    </comment>
    <comment ref="B70" authorId="0" shapeId="0" xr:uid="{00000000-0006-0000-0800-000010000000}">
      <text>
        <r>
          <rPr>
            <sz val="9"/>
            <color indexed="81"/>
            <rFont val="Tahoma"/>
            <family val="2"/>
          </rPr>
          <t>Most CPRI links are limited to 15 km or less by latency requirements</t>
        </r>
      </text>
    </comment>
    <comment ref="B73" authorId="0" shapeId="0" xr:uid="{00000000-0006-0000-0800-000011000000}">
      <text>
        <r>
          <rPr>
            <sz val="9"/>
            <color indexed="81"/>
            <rFont val="Tahoma"/>
            <family val="2"/>
          </rPr>
          <t>Most CPRI links are limited to 15 km or less by latency requirements</t>
        </r>
      </text>
    </comment>
    <comment ref="B76" authorId="0" shapeId="0" xr:uid="{00000000-0006-0000-0800-000012000000}">
      <text>
        <r>
          <rPr>
            <sz val="9"/>
            <color indexed="81"/>
            <rFont val="Tahoma"/>
            <family val="2"/>
          </rPr>
          <t>Most CPRI links are limited to 15 km or less by latency requirements</t>
        </r>
      </text>
    </comment>
    <comment ref="B79" authorId="0" shapeId="0" xr:uid="{00000000-0006-0000-0800-000013000000}">
      <text>
        <r>
          <rPr>
            <sz val="9"/>
            <color indexed="81"/>
            <rFont val="Tahoma"/>
            <family val="2"/>
          </rPr>
          <t>Most CPRI links are limited to 15 km or less by latency requirements</t>
        </r>
      </text>
    </comment>
    <comment ref="B83" authorId="0" shapeId="0" xr:uid="{00000000-0006-0000-0800-000014000000}">
      <text>
        <r>
          <rPr>
            <sz val="9"/>
            <color indexed="81"/>
            <rFont val="Tahoma"/>
            <family val="2"/>
          </rPr>
          <t>Most CPRI links are limited to 15 km or less by latency requirements</t>
        </r>
      </text>
    </comment>
    <comment ref="B87" authorId="0" shapeId="0" xr:uid="{00000000-0006-0000-08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C192" authorId="0" shapeId="0" xr:uid="{00000000-0006-0000-0A00-000001000000}">
      <text>
        <r>
          <rPr>
            <sz val="9"/>
            <color indexed="81"/>
            <rFont val="Tahoma"/>
            <family val="2"/>
          </rPr>
          <t xml:space="preserve">figures prior to Q1 2021 are transceiver only estimates
</t>
        </r>
      </text>
    </comment>
    <comment ref="I203" authorId="0" shapeId="0" xr:uid="{00000000-0006-0000-0A00-000003000000}">
      <text>
        <r>
          <rPr>
            <b/>
            <sz val="9"/>
            <color indexed="81"/>
            <rFont val="Tahoma"/>
            <family val="2"/>
          </rPr>
          <t>John Lively:</t>
        </r>
        <r>
          <rPr>
            <sz val="9"/>
            <color indexed="81"/>
            <rFont val="Tahoma"/>
            <family val="2"/>
          </rPr>
          <t xml:space="preserve">
Do not include HGG or II-VI for 2010-2014</t>
        </r>
      </text>
    </comment>
  </commentList>
</comments>
</file>

<file path=xl/sharedStrings.xml><?xml version="1.0" encoding="utf-8"?>
<sst xmlns="http://schemas.openxmlformats.org/spreadsheetml/2006/main" count="2591" uniqueCount="632">
  <si>
    <t>Optical component vendors</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</si>
  <si>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</si>
  <si>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</si>
  <si>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</si>
  <si>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</si>
  <si>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</si>
  <si>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</si>
  <si>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</si>
  <si>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</si>
  <si>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</si>
  <si>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</si>
  <si>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</si>
  <si>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</si>
  <si>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</si>
  <si>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</si>
  <si>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</si>
  <si>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</si>
  <si>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</si>
  <si>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</si>
  <si>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</si>
  <si>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</si>
  <si>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Annual totals for CAGR calculation</t>
  </si>
  <si>
    <t>Mellanox</t>
  </si>
  <si>
    <t>CAGR</t>
  </si>
  <si>
    <t>Revenue</t>
  </si>
  <si>
    <t>Wireless</t>
  </si>
  <si>
    <t>Capex</t>
  </si>
  <si>
    <t>Market segment</t>
  </si>
  <si>
    <t>Telecom Equipment</t>
  </si>
  <si>
    <t>Datacom Equipment</t>
  </si>
  <si>
    <t xml:space="preserve">Companies included: </t>
  </si>
  <si>
    <t>Accelink</t>
  </si>
  <si>
    <t>Applied Optoelectronics</t>
  </si>
  <si>
    <t>Finisar</t>
  </si>
  <si>
    <t>Hisense</t>
  </si>
  <si>
    <t>NeoPhotonics</t>
  </si>
  <si>
    <t>O-Net</t>
  </si>
  <si>
    <t>Oplink</t>
  </si>
  <si>
    <t>Sumitomo</t>
  </si>
  <si>
    <t>Telecom network equipment vendor revenues</t>
  </si>
  <si>
    <t>Datacom system equipment vendor revenues</t>
  </si>
  <si>
    <t>Company</t>
  </si>
  <si>
    <t>Capex ($ bn)</t>
  </si>
  <si>
    <t>Alibaba</t>
  </si>
  <si>
    <t>Amazon</t>
  </si>
  <si>
    <t>Apple</t>
  </si>
  <si>
    <t>Baidu</t>
  </si>
  <si>
    <t>eBay</t>
  </si>
  <si>
    <t>Microsoft</t>
  </si>
  <si>
    <t>Tencent</t>
  </si>
  <si>
    <t>Spending ($ bn)</t>
  </si>
  <si>
    <t>Spending/Revenue</t>
  </si>
  <si>
    <t>Optical components vendor revenues</t>
  </si>
  <si>
    <t>AT&amp;T</t>
  </si>
  <si>
    <t>BT</t>
  </si>
  <si>
    <t>China Mobile</t>
  </si>
  <si>
    <t>China Telecom</t>
  </si>
  <si>
    <t>China Unicom</t>
  </si>
  <si>
    <t>Comcast</t>
  </si>
  <si>
    <t>Deutsche Telekom</t>
  </si>
  <si>
    <t>KDDI</t>
  </si>
  <si>
    <t>NTT</t>
  </si>
  <si>
    <t>Softbank</t>
  </si>
  <si>
    <t>Telecom Italia</t>
  </si>
  <si>
    <t>Telefonica</t>
  </si>
  <si>
    <t>Verizon</t>
  </si>
  <si>
    <t>Vodafone</t>
  </si>
  <si>
    <t>Companies included:</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</si>
  <si>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</si>
  <si>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</si>
  <si>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</si>
  <si>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</si>
  <si>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</si>
  <si>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</si>
  <si>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</si>
  <si>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</si>
  <si>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</si>
  <si>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</si>
  <si>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</si>
  <si>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</si>
  <si>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</si>
  <si>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</si>
  <si>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</si>
  <si>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</si>
  <si>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</si>
  <si>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</si>
  <si>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</si>
  <si>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</si>
  <si>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</si>
  <si>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</si>
  <si>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</si>
  <si>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</si>
  <si>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</si>
  <si>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</si>
  <si>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</si>
  <si>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</si>
  <si>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</si>
  <si>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</si>
  <si>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</si>
  <si>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</si>
  <si>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</si>
  <si>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</si>
  <si>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</si>
  <si>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</si>
  <si>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</si>
  <si>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</si>
  <si>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</si>
  <si>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</si>
  <si>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</si>
  <si>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</si>
  <si>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</si>
  <si>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</si>
  <si>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</si>
  <si>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</si>
  <si>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</si>
  <si>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</si>
  <si>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</si>
  <si>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</si>
  <si>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Y-o-Y growth rates</t>
  </si>
  <si>
    <t>CWDM/DWDM</t>
  </si>
  <si>
    <t>Market Segment</t>
  </si>
  <si>
    <t>TOTAL</t>
  </si>
  <si>
    <t>Acacia</t>
  </si>
  <si>
    <t>Coadna</t>
  </si>
  <si>
    <t>Delta</t>
  </si>
  <si>
    <t>Eoptolink</t>
  </si>
  <si>
    <t>HG-Genuine</t>
  </si>
  <si>
    <t>Hitachi Cable</t>
  </si>
  <si>
    <t>Innolight</t>
  </si>
  <si>
    <t>NEC</t>
  </si>
  <si>
    <t>OE Solutions</t>
  </si>
  <si>
    <t>Source Photonics</t>
  </si>
  <si>
    <t>Current quarter</t>
  </si>
  <si>
    <t>Rolling 4-Q</t>
  </si>
  <si>
    <t>Market share (publicly reported revenues only)</t>
  </si>
  <si>
    <t>Spending growth rate</t>
  </si>
  <si>
    <t>Quanta Computer</t>
  </si>
  <si>
    <t>Lumentum</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</si>
  <si>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</si>
  <si>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</si>
  <si>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</si>
  <si>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</si>
  <si>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</si>
  <si>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</si>
  <si>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</si>
  <si>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</si>
  <si>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</si>
  <si>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</si>
  <si>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</si>
  <si>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</si>
  <si>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</si>
  <si>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</si>
  <si>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</si>
  <si>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</si>
  <si>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</si>
  <si>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</si>
  <si>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</si>
  <si>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</si>
  <si>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</si>
  <si>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</si>
  <si>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</si>
  <si>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</si>
  <si>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</si>
  <si>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</si>
  <si>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</si>
  <si>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</si>
  <si>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</si>
  <si>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</si>
  <si>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FTTx Transceivers</t>
  </si>
  <si>
    <t>GPON TxRx</t>
  </si>
  <si>
    <t>EPON TxRx</t>
  </si>
  <si>
    <t>BOSAs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</si>
  <si>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</si>
  <si>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</si>
  <si>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</si>
  <si>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</si>
  <si>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</si>
  <si>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</si>
  <si>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</si>
  <si>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</si>
  <si>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</si>
  <si>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</si>
  <si>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</si>
  <si>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</si>
  <si>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</si>
  <si>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</si>
  <si>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</si>
  <si>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</si>
  <si>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</si>
  <si>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</si>
  <si>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</si>
  <si>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</si>
  <si>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</si>
  <si>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</si>
  <si>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</si>
  <si>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</si>
  <si>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</si>
  <si>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</si>
  <si>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</si>
  <si>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</si>
  <si>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</si>
  <si>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</si>
  <si>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</si>
  <si>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</si>
  <si>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</si>
  <si>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</si>
  <si>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</si>
  <si>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</si>
  <si>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</si>
  <si>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</si>
  <si>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</si>
  <si>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</si>
  <si>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</si>
  <si>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</si>
  <si>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</si>
  <si>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</si>
  <si>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</si>
  <si>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</si>
  <si>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</si>
  <si>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</si>
  <si>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</si>
  <si>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</si>
  <si>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</si>
  <si>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</si>
  <si>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</si>
  <si>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</si>
  <si>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</si>
  <si>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</si>
  <si>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</si>
  <si>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</si>
  <si>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</si>
  <si>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</si>
  <si>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</si>
  <si>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</si>
  <si>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</si>
  <si>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</si>
  <si>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</si>
  <si>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</si>
  <si>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 0.5 km</t>
  </si>
  <si>
    <t>0.5-7 km</t>
  </si>
  <si>
    <t>6 Gbps</t>
  </si>
  <si>
    <t xml:space="preserve">Annual growth = </t>
  </si>
  <si>
    <t xml:space="preserve">Cloud-based companies </t>
  </si>
  <si>
    <t>Oracle - Hardware</t>
  </si>
  <si>
    <t>China</t>
  </si>
  <si>
    <t>non-China</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</si>
  <si>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</si>
  <si>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</si>
  <si>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</si>
  <si>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</si>
  <si>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</si>
  <si>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</si>
  <si>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</si>
  <si>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</si>
  <si>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</si>
  <si>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</si>
  <si>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</si>
  <si>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</si>
  <si>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</si>
  <si>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</si>
  <si>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</si>
  <si>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</si>
  <si>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</si>
  <si>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</si>
  <si>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</si>
  <si>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</si>
  <si>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</si>
  <si>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</si>
  <si>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</si>
  <si>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Xilinx</t>
  </si>
  <si>
    <t>Growth</t>
  </si>
  <si>
    <t>Rolling 4-Q share</t>
  </si>
  <si>
    <t>Current quarter share</t>
  </si>
  <si>
    <t>Semiconductor vendors</t>
  </si>
  <si>
    <t>Intel - Data Center</t>
  </si>
  <si>
    <t>GigaPeak</t>
  </si>
  <si>
    <t>Linear</t>
  </si>
  <si>
    <t>MACOM</t>
  </si>
  <si>
    <t>II-VI</t>
  </si>
  <si>
    <t>q-o-q</t>
  </si>
  <si>
    <t>Shipments: Estimated</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</si>
  <si>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</si>
  <si>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</si>
  <si>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</si>
  <si>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</si>
  <si>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</si>
  <si>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</si>
  <si>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</si>
  <si>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</si>
  <si>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</si>
  <si>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</si>
  <si>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</si>
  <si>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</si>
  <si>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</si>
  <si>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</si>
  <si>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</si>
  <si>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</si>
  <si>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</si>
  <si>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</si>
  <si>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GigaLight</t>
  </si>
  <si>
    <t xml:space="preserve">Internet Content/commerce Providers (ICPs) </t>
  </si>
  <si>
    <t>Revenue growth rate</t>
  </si>
  <si>
    <t>acquired by MACOM</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</si>
  <si>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</si>
  <si>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</si>
  <si>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</si>
  <si>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</si>
  <si>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</si>
  <si>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</si>
  <si>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</si>
  <si>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</si>
  <si>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</si>
  <si>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</si>
  <si>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acquired</t>
  </si>
  <si>
    <t>IBM - Systems</t>
  </si>
  <si>
    <t>Cisco</t>
  </si>
  <si>
    <t>FOIT-Foxconn</t>
  </si>
  <si>
    <t>JD.com</t>
  </si>
  <si>
    <t>NetEase</t>
  </si>
  <si>
    <t>VIPShop.com</t>
  </si>
  <si>
    <t>Non-Chinese CSPs</t>
  </si>
  <si>
    <t>Chinese CSPs</t>
  </si>
  <si>
    <t>Communications Service Providers (CSPs)</t>
  </si>
  <si>
    <t>revenues</t>
  </si>
  <si>
    <t>CSP Revenues</t>
  </si>
  <si>
    <t>100 GbE ER4 - Lite</t>
  </si>
  <si>
    <t>CSP Capex</t>
  </si>
  <si>
    <t>ICP Revenues</t>
  </si>
  <si>
    <t>China Revenues</t>
  </si>
  <si>
    <t>China Capex</t>
  </si>
  <si>
    <t>Non-China Revenues</t>
  </si>
  <si>
    <t>Non China Capex</t>
  </si>
  <si>
    <t>Total CSPs</t>
  </si>
  <si>
    <t>10 Gbps tunable wavelength</t>
  </si>
  <si>
    <t>&lt;== networks business only</t>
  </si>
  <si>
    <t>&lt;== Nokia Networks only</t>
  </si>
  <si>
    <t>&lt;== networks only</t>
  </si>
  <si>
    <t>&lt;== total company</t>
  </si>
  <si>
    <t>Inspur</t>
  </si>
  <si>
    <t>H3C</t>
  </si>
  <si>
    <t>acquired by IDT</t>
  </si>
  <si>
    <t>acquired by Analog Devices</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</si>
  <si>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</si>
  <si>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</si>
  <si>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</si>
  <si>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</si>
  <si>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</si>
  <si>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</si>
  <si>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</si>
  <si>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</si>
  <si>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</si>
  <si>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</si>
  <si>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</si>
  <si>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Produc type</t>
  </si>
  <si>
    <t>Speed &amp; Type</t>
  </si>
  <si>
    <t>GbE  single rate</t>
  </si>
  <si>
    <t>1 GbE</t>
  </si>
  <si>
    <t>Total - EXCLUDING GigE over Copper</t>
  </si>
  <si>
    <t>Type</t>
  </si>
  <si>
    <t>25 Gbps (MMF)</t>
  </si>
  <si>
    <t>25 Gbps (SMF)</t>
  </si>
  <si>
    <t>Optical Transceivers for wireless fronthaul &amp; midhaul networks</t>
  </si>
  <si>
    <t>10G</t>
  </si>
  <si>
    <t>25G</t>
  </si>
  <si>
    <t xml:space="preserve">100G </t>
  </si>
  <si>
    <t>4G</t>
  </si>
  <si>
    <t>8G</t>
  </si>
  <si>
    <t>16G</t>
  </si>
  <si>
    <t>32G</t>
  </si>
  <si>
    <t>Estimated</t>
  </si>
  <si>
    <t>Chinese: H3C, Inspur, Lenovo</t>
  </si>
  <si>
    <t>acquired by Renasys, deal closed April 1</t>
  </si>
  <si>
    <t>CFP/CFP2 DCO</t>
  </si>
  <si>
    <t>100 GbE MM Duplex, eSR4</t>
  </si>
  <si>
    <t>20 km</t>
  </si>
  <si>
    <t>Ciena</t>
  </si>
  <si>
    <t>100GbE FR1</t>
  </si>
  <si>
    <t>2km</t>
  </si>
  <si>
    <t>CFP4</t>
  </si>
  <si>
    <t>CFP2</t>
  </si>
  <si>
    <t>Sept 2019 - 4 quarters updated starting with Q3 2018</t>
  </si>
  <si>
    <t>1 Gbps grey optics</t>
  </si>
  <si>
    <t>3 Gbps grey optics</t>
  </si>
  <si>
    <t>6 Gbps grey optics</t>
  </si>
  <si>
    <t>10 Gbps grey optics</t>
  </si>
  <si>
    <t xml:space="preserve">10/25G CWDM/DWDM </t>
  </si>
  <si>
    <t>up to 12x16 Gbps</t>
  </si>
  <si>
    <t>up to 12x25 Gbps</t>
  </si>
  <si>
    <t>100 GbE 4WDM20</t>
  </si>
  <si>
    <t>Cash &amp; Equivalents ($ bn)</t>
  </si>
  <si>
    <t>Operating margin</t>
  </si>
  <si>
    <t>Net margin</t>
  </si>
  <si>
    <t>GPON and XG-PON BOSAs</t>
  </si>
  <si>
    <t>Early years annual data above based on total company revenues, not an exact match with Semiconductors tab</t>
  </si>
  <si>
    <t>&lt;== annual growth rate (rolling 4-quarters)</t>
  </si>
  <si>
    <t>&lt;== Rolling 4-quarter sales</t>
  </si>
  <si>
    <t>&lt;== y-o-y growth rate (quarters)</t>
  </si>
  <si>
    <t>Fiberhome</t>
  </si>
  <si>
    <t>50 Gbps</t>
  </si>
  <si>
    <t>≤ 10 km</t>
  </si>
  <si>
    <t>10-20 km</t>
  </si>
  <si>
    <t>2x200GbE</t>
  </si>
  <si>
    <t>400GbE SR8</t>
  </si>
  <si>
    <t>400GbE DR4</t>
  </si>
  <si>
    <t>100 GbE CWDM4</t>
  </si>
  <si>
    <t>100 GbE PSM4</t>
  </si>
  <si>
    <t>400GbE FR4</t>
  </si>
  <si>
    <t>400GbE LR8</t>
  </si>
  <si>
    <t>400GbE LR4</t>
  </si>
  <si>
    <t>OSFP</t>
  </si>
  <si>
    <t>50-100G grey optics</t>
  </si>
  <si>
    <t>100 GbE 4WDM10</t>
  </si>
  <si>
    <t>10 Gbps CWDM</t>
  </si>
  <si>
    <t>10 Gbps DWDM</t>
  </si>
  <si>
    <t>25 Gbps CWDM</t>
  </si>
  <si>
    <t>25 Gbps DWDM</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</si>
  <si>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</si>
  <si>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</si>
  <si>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</si>
  <si>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</si>
  <si>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</si>
  <si>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</si>
  <si>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</si>
  <si>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</si>
  <si>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</si>
  <si>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</si>
  <si>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</si>
  <si>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</si>
  <si>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</si>
  <si>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</si>
  <si>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</si>
  <si>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</si>
  <si>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</si>
  <si>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</si>
  <si>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</si>
  <si>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</si>
  <si>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</si>
  <si>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</si>
  <si>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ASPs: Estimated</t>
  </si>
  <si>
    <t>AMD</t>
  </si>
  <si>
    <t>Nvidia</t>
  </si>
  <si>
    <t>BiDi</t>
  </si>
  <si>
    <t>GPON/EPON</t>
  </si>
  <si>
    <t>inadequate data from survey</t>
  </si>
  <si>
    <t>Inadequate data in survey</t>
  </si>
  <si>
    <t>Included in miscellaneous</t>
  </si>
  <si>
    <t>4x14G</t>
  </si>
  <si>
    <t>4x25G</t>
  </si>
  <si>
    <t>4x50G</t>
  </si>
  <si>
    <t>8x50G</t>
  </si>
  <si>
    <t>CXP/CXP2</t>
  </si>
  <si>
    <t>Other</t>
  </si>
  <si>
    <t>AOCs</t>
  </si>
  <si>
    <t>AOCs total</t>
  </si>
  <si>
    <t>Parallel Transceivers</t>
  </si>
  <si>
    <t>Duplex</t>
  </si>
  <si>
    <t>1x10G</t>
  </si>
  <si>
    <t>1x25G</t>
  </si>
  <si>
    <t>END OF SUMMARY DATA</t>
  </si>
  <si>
    <t>inadequate/no survey data</t>
  </si>
  <si>
    <t>Finisar (historical data)</t>
  </si>
  <si>
    <t>Mellanox (Nvidia)</t>
  </si>
  <si>
    <t>Oclaro (historical)</t>
  </si>
  <si>
    <t>1Q 21</t>
  </si>
  <si>
    <t>2Q 21</t>
  </si>
  <si>
    <t>3Q 21</t>
  </si>
  <si>
    <t>4Q 21</t>
  </si>
  <si>
    <t>1Q 22</t>
  </si>
  <si>
    <t>2Q 22</t>
  </si>
  <si>
    <t>3Q 22</t>
  </si>
  <si>
    <t>4Q 22</t>
  </si>
  <si>
    <t>10-yr revenue growth</t>
  </si>
  <si>
    <t>Sales ($ mn)</t>
  </si>
  <si>
    <t>Sequential growth rate</t>
  </si>
  <si>
    <t>Year-on-year growth rate</t>
  </si>
  <si>
    <t>T-Mobile USA shares are majority owned by Deutsche Telekom (approximately 43 percent) and Softbank (24 percent), with the remainder held by public shareholders.</t>
  </si>
  <si>
    <t xml:space="preserve">To avoid double-counting revenues and capex, T-Mobile results are not included above. </t>
  </si>
  <si>
    <t>Equipment vendor sales</t>
  </si>
  <si>
    <t>Maxlinear</t>
  </si>
  <si>
    <t>Microchip</t>
  </si>
  <si>
    <t>Dell - Servers, Networking, Storage</t>
  </si>
  <si>
    <t>Extreme - Product</t>
  </si>
  <si>
    <t>Juniper (Routers &amp; Switches)</t>
  </si>
  <si>
    <t>Lenovo - Datacenter Group</t>
  </si>
  <si>
    <t>NetApp - Product</t>
  </si>
  <si>
    <t>Arista Networks - Product</t>
  </si>
  <si>
    <t>Annual</t>
  </si>
  <si>
    <t>Annual (%)</t>
  </si>
  <si>
    <t>3-year CAGR</t>
  </si>
  <si>
    <t>2Q21</t>
  </si>
  <si>
    <t>Broadex</t>
  </si>
  <si>
    <t>CIG</t>
  </si>
  <si>
    <t>LandMark</t>
  </si>
  <si>
    <t>Cisco - Infrastructure Platforms</t>
  </si>
  <si>
    <t>HPE - Hybrid IT &amp; IE</t>
  </si>
  <si>
    <t>Ericsson (Networks)</t>
  </si>
  <si>
    <t>Fujitsu (System and Network Products)</t>
  </si>
  <si>
    <t>Maximum</t>
  </si>
  <si>
    <t>Y-o-Y growth rate</t>
  </si>
  <si>
    <t>100/200 Gbps</t>
  </si>
  <si>
    <t xml:space="preserve">100/200 Gbps </t>
  </si>
  <si>
    <t>Top 7</t>
  </si>
  <si>
    <t>All others</t>
  </si>
  <si>
    <t>Dell</t>
  </si>
  <si>
    <t>IBM</t>
  </si>
  <si>
    <t>Lenovo</t>
  </si>
  <si>
    <t>HPE</t>
  </si>
  <si>
    <t xml:space="preserve">* All others includes: </t>
  </si>
  <si>
    <t>10-year</t>
  </si>
  <si>
    <t xml:space="preserve">10-year Annual CAGR = </t>
  </si>
  <si>
    <t>Not the Top 7</t>
  </si>
  <si>
    <t>2x400GbE</t>
  </si>
  <si>
    <t>2x400G</t>
  </si>
  <si>
    <t>100 GbE DR1, DR+</t>
  </si>
  <si>
    <t>100GbE DR1, DR+</t>
  </si>
  <si>
    <t>Meta</t>
  </si>
  <si>
    <t xml:space="preserve">Huawei (Carrier &amp; Enterprise) </t>
  </si>
  <si>
    <t>&lt;== Carrier networks &amp; Enterprise; quarters are estimated based on reported half-yearly numbers</t>
  </si>
  <si>
    <t>Ribbon Comm (products only)</t>
  </si>
  <si>
    <t>Revenue growth y-o-y</t>
  </si>
  <si>
    <t>y-o-y sales</t>
  </si>
  <si>
    <t>q-o-q sales</t>
  </si>
  <si>
    <t>y-o-y capex</t>
  </si>
  <si>
    <t>q-o-q capex</t>
  </si>
  <si>
    <t>Credo</t>
  </si>
  <si>
    <t>400G</t>
  </si>
  <si>
    <t>OC vendor sales (survey)</t>
  </si>
  <si>
    <t>HGG (optical)</t>
  </si>
  <si>
    <t>Wireless xhaul</t>
  </si>
  <si>
    <t>Share of WDM port shipments, expressed as 100G port equivalents</t>
  </si>
  <si>
    <t>Included in historical data</t>
  </si>
  <si>
    <t>Acacia/Cisco</t>
  </si>
  <si>
    <t xml:space="preserve">  </t>
  </si>
  <si>
    <t>Misscellaneous</t>
  </si>
  <si>
    <t>200G</t>
  </si>
  <si>
    <t>1G and 10G</t>
  </si>
  <si>
    <t>800G</t>
  </si>
  <si>
    <t xml:space="preserve">40G </t>
  </si>
  <si>
    <t>400 Gbps</t>
  </si>
  <si>
    <t>100G-800G on-board</t>
  </si>
  <si>
    <t>100G &amp; 200G pluggables</t>
  </si>
  <si>
    <t>400G pluggables</t>
  </si>
  <si>
    <t>10G pluggables</t>
  </si>
  <si>
    <t>Calix</t>
  </si>
  <si>
    <t>Equinix</t>
  </si>
  <si>
    <t>Coherent (II-VI)</t>
  </si>
  <si>
    <t>Intel Datacenter</t>
  </si>
  <si>
    <t>&lt;&lt; acquired by Lumentum</t>
  </si>
  <si>
    <t>Top 5</t>
  </si>
  <si>
    <t>&lt;== sequential growth rate (q-o-q)</t>
  </si>
  <si>
    <t>Y-o-Y growth rate (quarters)</t>
  </si>
  <si>
    <t>max</t>
  </si>
  <si>
    <t>QoQ</t>
  </si>
  <si>
    <t>Q-o-Q</t>
  </si>
  <si>
    <t>5-year CAGR</t>
  </si>
  <si>
    <t>Total less Chinese companies</t>
  </si>
  <si>
    <t>Brocade</t>
  </si>
  <si>
    <t>Top 7 by revenue are shown in blue</t>
  </si>
  <si>
    <t>Q-o-Q growth rate</t>
  </si>
  <si>
    <t>Orange</t>
  </si>
  <si>
    <t>Capex growth y-o-y</t>
  </si>
  <si>
    <t>y-o-y revenue</t>
  </si>
  <si>
    <t>OC revenues (public)</t>
  </si>
  <si>
    <t>Y-o-y growth</t>
  </si>
  <si>
    <t>The LightCounting detailed transceiver market survey results contain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</si>
  <si>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40-56G</t>
  </si>
  <si>
    <t>100G</t>
  </si>
  <si>
    <t>AOC total</t>
  </si>
  <si>
    <t>1Q 23</t>
  </si>
  <si>
    <t>&lt;&lt; acquired by IDT</t>
  </si>
  <si>
    <t>&lt;&lt; acquired by Analog Devices</t>
  </si>
  <si>
    <t>acquired by Microchip</t>
  </si>
  <si>
    <t>&lt;&lt; acquired by Microchip</t>
  </si>
  <si>
    <t>&lt;&lt; acquired by MACOM</t>
  </si>
  <si>
    <t>Summary Charts</t>
  </si>
  <si>
    <t>Datacom equipment vendors</t>
  </si>
  <si>
    <t>Network equipment vendors - financial results</t>
  </si>
  <si>
    <t>Network equipment vendors - DWDM port shipments</t>
  </si>
  <si>
    <t>1Q23</t>
  </si>
  <si>
    <t>&lt;&lt; private, no data</t>
  </si>
  <si>
    <t>&lt;&lt; combined with Adtran</t>
  </si>
  <si>
    <t>&lt;&lt; acquired by Broadcom</t>
  </si>
  <si>
    <t>&lt;&lt; acquired by NVIDIA</t>
  </si>
  <si>
    <t>Extreme - Product, Juniper (Routers &amp; Switches)</t>
  </si>
  <si>
    <t>Ribbon (products only)</t>
  </si>
  <si>
    <t>ZTE (Carrier segment)</t>
  </si>
  <si>
    <t>All others = Adva&amp;Adtran, Calix, Infinera, Ribbon</t>
  </si>
  <si>
    <t>ICP Capex</t>
  </si>
  <si>
    <t>Fujitsu (System &amp; Network Products)</t>
  </si>
  <si>
    <t>&lt;== System &amp; Network Products group</t>
  </si>
  <si>
    <t>&lt;&lt; acquired by AMD</t>
  </si>
  <si>
    <t>&lt;&lt; acquired by Renesas</t>
  </si>
  <si>
    <t>&lt;&lt; acquired by Marvell</t>
  </si>
  <si>
    <t>Annual growth</t>
  </si>
  <si>
    <t>2Q 23</t>
  </si>
  <si>
    <t>3Q 23</t>
  </si>
  <si>
    <t>4Q 23</t>
  </si>
  <si>
    <t>25G PON ONU/ONTs</t>
  </si>
  <si>
    <t>&lt;&lt; acquired by Cisco</t>
  </si>
  <si>
    <t>Optical Interconnects - Active Optical Cables (100G and above)</t>
  </si>
  <si>
    <t>Not the Top 5</t>
  </si>
  <si>
    <t>2Q23</t>
  </si>
  <si>
    <t>rank by Q</t>
  </si>
  <si>
    <t>Credo, MACOM, Maxlinear, Semtech</t>
  </si>
  <si>
    <t>ranked by Q</t>
  </si>
  <si>
    <t>Linktel Technologies</t>
  </si>
  <si>
    <t>Lumentum (optical)</t>
  </si>
  <si>
    <t>Coherent (Networking solutions)</t>
  </si>
  <si>
    <t>Coherent</t>
  </si>
  <si>
    <t>Top 5 by revenue are shown in blue</t>
  </si>
  <si>
    <t>Fabrinet</t>
  </si>
  <si>
    <t>Vendor Survey Results through H1 2023</t>
  </si>
  <si>
    <t>Sales: Estimated</t>
  </si>
  <si>
    <t>half-year totals</t>
  </si>
  <si>
    <t>half-yr totals</t>
  </si>
  <si>
    <t>100 Gbps to 800 Gbps</t>
  </si>
  <si>
    <t>On Board</t>
  </si>
  <si>
    <t>Quarterly Market Update for the quarter ended September 30, 2023</t>
  </si>
  <si>
    <t>&lt;&lt; Finisar replaced with Fabrinet starting Q1 2020</t>
  </si>
  <si>
    <t>3Q23</t>
  </si>
  <si>
    <t>3Q23/3Q22 revenue growth</t>
  </si>
  <si>
    <t>3Q 23E</t>
  </si>
  <si>
    <t>4Q 23E</t>
  </si>
  <si>
    <t>Sumitomo (opitcal)</t>
  </si>
  <si>
    <t xml:space="preserve">Quanta is not included in charts and group totals because the available financial data includes laptops and other consumer electronics in addition to telecom &amp; datacom products. </t>
  </si>
  <si>
    <t>Service Provider Capex</t>
  </si>
  <si>
    <t>Chart Q (YoY)</t>
  </si>
  <si>
    <t>Transceiver sales (survey)</t>
  </si>
  <si>
    <t>AOI, Broadex, CIG, HGG, Landmark, Linktel, OE Solutions, Sumitomo</t>
  </si>
  <si>
    <t>END</t>
  </si>
  <si>
    <t xml:space="preserve">The survey results reported here account for sales of the following vendors: </t>
  </si>
  <si>
    <t>December 2023 QMU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</si>
</sst>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84">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b/>
      <sz val="11"/>
      <name val="Arial"/>
      <family val="2"/>
    </font>
    <font>
      <sz val="9"/>
      <color indexed="81"/>
      <name val="Tahoma"/>
      <family val="2"/>
    </font>
    <font>
      <sz val="10"/>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sz val="10"/>
      <color rgb="FF00B050"/>
      <name val="Arial"/>
      <family val="2"/>
    </font>
    <font>
      <sz val="10"/>
      <color theme="3"/>
      <name val="Arial"/>
      <family val="2"/>
    </font>
    <font>
      <u/>
      <sz val="10"/>
      <color theme="11"/>
      <name val="Arial"/>
      <family val="2"/>
    </font>
    <font>
      <sz val="9"/>
      <color rgb="FFFF0000"/>
      <name val="Arial"/>
      <family val="2"/>
    </font>
    <font>
      <sz val="12"/>
      <color theme="3"/>
      <name val="Arial"/>
      <family val="2"/>
    </font>
    <font>
      <sz val="16"/>
      <name val="Arial"/>
      <family val="2"/>
    </font>
    <font>
      <sz val="9"/>
      <color theme="1"/>
      <name val="Arial"/>
      <family val="2"/>
    </font>
    <font>
      <b/>
      <sz val="12"/>
      <name val="Calibri"/>
      <family val="2"/>
      <scheme val="minor"/>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b/>
      <sz val="10"/>
      <color theme="1"/>
      <name val="Arial"/>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10"/>
      <color rgb="FF000000"/>
      <name val="Arial"/>
      <family val="2"/>
    </font>
    <font>
      <sz val="12"/>
      <color rgb="FFFF0000"/>
      <name val="Calibri"/>
      <family val="2"/>
      <scheme val="minor"/>
    </font>
    <font>
      <sz val="11"/>
      <color theme="1"/>
      <name val="Arial"/>
      <family val="2"/>
    </font>
    <font>
      <sz val="11"/>
      <color rgb="FFFF0000"/>
      <name val="Calibri"/>
      <family val="2"/>
    </font>
    <font>
      <b/>
      <sz val="11"/>
      <color rgb="FFFF0000"/>
      <name val="Calibri"/>
      <family val="2"/>
      <scheme val="minor"/>
    </font>
    <font>
      <sz val="11"/>
      <color rgb="FFFF0000"/>
      <name val="Calibri"/>
      <family val="2"/>
      <scheme val="minor"/>
    </font>
  </fonts>
  <fills count="66">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9" tint="0.59999389629810485"/>
        <bgColor indexed="64"/>
      </patternFill>
    </fill>
    <fill>
      <patternFill patternType="solid">
        <fgColor theme="9" tint="0.79998168889431442"/>
        <bgColor indexed="64"/>
      </patternFill>
    </fill>
  </fills>
  <borders count="18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double">
        <color auto="1"/>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thin">
        <color auto="1"/>
      </top>
      <bottom style="thin">
        <color auto="1"/>
      </bottom>
      <diagonal/>
    </border>
    <border>
      <left/>
      <right style="thin">
        <color auto="1"/>
      </right>
      <top/>
      <bottom style="thin">
        <color theme="1"/>
      </bottom>
      <diagonal/>
    </border>
    <border>
      <left/>
      <right/>
      <top style="medium">
        <color auto="1"/>
      </top>
      <bottom style="thin">
        <color auto="1"/>
      </bottom>
      <diagonal/>
    </border>
    <border>
      <left/>
      <right style="medium">
        <color auto="1"/>
      </right>
      <top style="thin">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auto="1"/>
      </bottom>
      <diagonal/>
    </border>
    <border>
      <left style="thick">
        <color auto="1"/>
      </left>
      <right style="thin">
        <color auto="1"/>
      </right>
      <top style="medium">
        <color auto="1"/>
      </top>
      <bottom style="thin">
        <color auto="1"/>
      </bottom>
      <diagonal/>
    </border>
    <border>
      <left/>
      <right style="thick">
        <color auto="1"/>
      </right>
      <top/>
      <bottom style="thin">
        <color auto="1"/>
      </bottom>
      <diagonal/>
    </border>
    <border>
      <left/>
      <right style="thick">
        <color auto="1"/>
      </right>
      <top style="medium">
        <color auto="1"/>
      </top>
      <bottom style="thin">
        <color auto="1"/>
      </bottom>
      <diagonal/>
    </border>
    <border>
      <left style="thick">
        <color auto="1"/>
      </left>
      <right/>
      <top/>
      <bottom style="thin">
        <color auto="1"/>
      </bottom>
      <diagonal/>
    </border>
    <border>
      <left style="double">
        <color auto="1"/>
      </left>
      <right/>
      <top style="thin">
        <color auto="1"/>
      </top>
      <bottom style="thin">
        <color auto="1"/>
      </bottom>
      <diagonal/>
    </border>
    <border>
      <left style="thick">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indexed="64"/>
      </bottom>
      <diagonal/>
    </border>
    <border>
      <left/>
      <right/>
      <top style="thin">
        <color indexed="64"/>
      </top>
      <bottom style="medium">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s>
  <cellStyleXfs count="4374">
    <xf numFmtId="0" fontId="0" fillId="0" borderId="0"/>
    <xf numFmtId="4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alignment wrapText="1"/>
    </xf>
    <xf numFmtId="0" fontId="11" fillId="0" borderId="0"/>
    <xf numFmtId="0" fontId="9" fillId="0" borderId="0"/>
    <xf numFmtId="0" fontId="11" fillId="0" borderId="0"/>
    <xf numFmtId="44" fontId="11" fillId="0" borderId="0" applyFont="0" applyFill="0" applyBorder="0" applyAlignment="0" applyProtection="0"/>
    <xf numFmtId="0" fontId="9" fillId="0" borderId="0"/>
    <xf numFmtId="166" fontId="11" fillId="0" borderId="0"/>
    <xf numFmtId="0" fontId="19" fillId="0" borderId="0"/>
    <xf numFmtId="0" fontId="20" fillId="0" borderId="0"/>
    <xf numFmtId="0" fontId="19" fillId="0" borderId="0"/>
    <xf numFmtId="167" fontId="13" fillId="0" borderId="0"/>
    <xf numFmtId="168" fontId="11" fillId="0" borderId="0"/>
    <xf numFmtId="169" fontId="18"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pplyNumberFormat="0" applyFont="0" applyFill="0" applyBorder="0" applyAlignment="0" applyProtection="0"/>
    <xf numFmtId="44"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3" fillId="0" borderId="0"/>
    <xf numFmtId="171" fontId="13" fillId="0" borderId="0" applyFont="0" applyFill="0" applyBorder="0" applyAlignment="0" applyProtection="0"/>
    <xf numFmtId="172" fontId="13" fillId="0" borderId="0" applyFont="0" applyFill="0" applyBorder="0" applyAlignment="0" applyProtection="0"/>
    <xf numFmtId="0" fontId="11" fillId="0" borderId="0"/>
    <xf numFmtId="166" fontId="11" fillId="0" borderId="0"/>
    <xf numFmtId="0" fontId="19" fillId="0" borderId="0" applyNumberFormat="0" applyFill="0" applyBorder="0" applyAlignment="0" applyProtection="0"/>
    <xf numFmtId="0" fontId="24" fillId="0" borderId="0"/>
    <xf numFmtId="166" fontId="20" fillId="0" borderId="0"/>
    <xf numFmtId="166" fontId="20" fillId="0" borderId="0"/>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1" fillId="0" borderId="0"/>
    <xf numFmtId="166" fontId="11" fillId="0" borderId="0"/>
    <xf numFmtId="166" fontId="11" fillId="0" borderId="0"/>
    <xf numFmtId="166"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5" fillId="0" borderId="0"/>
    <xf numFmtId="0" fontId="25" fillId="0" borderId="0"/>
    <xf numFmtId="0" fontId="11" fillId="0" borderId="0"/>
    <xf numFmtId="166" fontId="11"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11" fillId="0" borderId="0"/>
    <xf numFmtId="0" fontId="11" fillId="0" borderId="0"/>
    <xf numFmtId="0" fontId="11" fillId="0" borderId="0"/>
    <xf numFmtId="0" fontId="25" fillId="0" borderId="0"/>
    <xf numFmtId="0" fontId="25" fillId="0" borderId="0"/>
    <xf numFmtId="166" fontId="25" fillId="0" borderId="0"/>
    <xf numFmtId="166" fontId="25" fillId="0" borderId="0"/>
    <xf numFmtId="0" fontId="2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9" fillId="0" borderId="0" applyNumberFormat="0" applyFill="0" applyBorder="0" applyAlignment="0" applyProtection="0"/>
    <xf numFmtId="0" fontId="26" fillId="0" borderId="0"/>
    <xf numFmtId="3" fontId="13"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25" fillId="0" borderId="0"/>
    <xf numFmtId="0" fontId="25" fillId="0" borderId="0"/>
    <xf numFmtId="0"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166" fontId="11" fillId="0" borderId="0"/>
    <xf numFmtId="3" fontId="13" fillId="0" borderId="0"/>
    <xf numFmtId="166" fontId="22" fillId="0" borderId="0"/>
    <xf numFmtId="0" fontId="22" fillId="0" borderId="0"/>
    <xf numFmtId="0"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22" fillId="0" borderId="0"/>
    <xf numFmtId="0" fontId="11" fillId="0" borderId="0"/>
    <xf numFmtId="166" fontId="11" fillId="0" borderId="0"/>
    <xf numFmtId="0" fontId="11" fillId="0" borderId="0"/>
    <xf numFmtId="0" fontId="11" fillId="0" borderId="0"/>
    <xf numFmtId="0" fontId="22"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20" fillId="0" borderId="0"/>
    <xf numFmtId="166" fontId="20" fillId="0" borderId="0"/>
    <xf numFmtId="166" fontId="20" fillId="0" borderId="0"/>
    <xf numFmtId="166" fontId="20" fillId="0" borderId="0"/>
    <xf numFmtId="166"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6" fillId="0" borderId="0"/>
    <xf numFmtId="0" fontId="26"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0" fontId="13" fillId="0" borderId="0" applyFont="0" applyFill="0" applyBorder="0" applyAlignment="0" applyProtection="0"/>
    <xf numFmtId="174" fontId="11" fillId="0" borderId="0" applyFont="0" applyFill="0" applyBorder="0" applyAlignment="0" applyProtection="0"/>
    <xf numFmtId="0" fontId="11" fillId="0" borderId="0"/>
    <xf numFmtId="166" fontId="11" fillId="0" borderId="0"/>
    <xf numFmtId="175" fontId="11" fillId="0" borderId="0"/>
    <xf numFmtId="0" fontId="19" fillId="0" borderId="0" applyNumberFormat="0" applyFill="0" applyBorder="0" applyAlignment="0" applyProtection="0"/>
    <xf numFmtId="0" fontId="24" fillId="0" borderId="0"/>
    <xf numFmtId="0" fontId="26" fillId="0" borderId="0"/>
    <xf numFmtId="0" fontId="25" fillId="0" borderId="0"/>
    <xf numFmtId="0" fontId="11" fillId="0" borderId="0"/>
    <xf numFmtId="0" fontId="24" fillId="0" borderId="0"/>
    <xf numFmtId="0" fontId="11" fillId="0" borderId="0"/>
    <xf numFmtId="166" fontId="11" fillId="0" borderId="0"/>
    <xf numFmtId="0" fontId="25" fillId="0" borderId="0"/>
    <xf numFmtId="0" fontId="25" fillId="0" borderId="0"/>
    <xf numFmtId="0" fontId="27" fillId="0" borderId="0"/>
    <xf numFmtId="0" fontId="11"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0" fontId="13" fillId="0" borderId="0" applyFont="0" applyFill="0" applyBorder="0" applyAlignment="0" applyProtection="0"/>
    <xf numFmtId="17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0" fontId="13" fillId="0" borderId="0" applyFont="0" applyFill="0" applyBorder="0" applyAlignment="0" applyProtection="0"/>
    <xf numFmtId="178" fontId="11" fillId="0" borderId="0" applyFont="0" applyFill="0" applyBorder="0" applyAlignment="0" applyProtection="0"/>
    <xf numFmtId="0" fontId="19" fillId="0" borderId="0" applyNumberFormat="0" applyFill="0" applyBorder="0" applyAlignment="0" applyProtection="0"/>
    <xf numFmtId="0" fontId="11" fillId="0" borderId="0"/>
    <xf numFmtId="166" fontId="11" fillId="0" borderId="0"/>
    <xf numFmtId="166" fontId="22" fillId="0" borderId="0"/>
    <xf numFmtId="0" fontId="22" fillId="0" borderId="0"/>
    <xf numFmtId="166" fontId="22" fillId="0" borderId="0"/>
    <xf numFmtId="0" fontId="22" fillId="0" borderId="0"/>
    <xf numFmtId="0" fontId="22" fillId="0" borderId="0"/>
    <xf numFmtId="0" fontId="26" fillId="0" borderId="0"/>
    <xf numFmtId="0" fontId="26" fillId="0" borderId="0"/>
    <xf numFmtId="0" fontId="11" fillId="0" borderId="0"/>
    <xf numFmtId="166" fontId="11" fillId="0" borderId="0"/>
    <xf numFmtId="166" fontId="25" fillId="0" borderId="0"/>
    <xf numFmtId="0" fontId="11" fillId="0" borderId="0"/>
    <xf numFmtId="0" fontId="11" fillId="0" borderId="0"/>
    <xf numFmtId="166" fontId="11" fillId="0" borderId="0"/>
    <xf numFmtId="0" fontId="24"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11" fillId="0" borderId="0"/>
    <xf numFmtId="166" fontId="11" fillId="0" borderId="0"/>
    <xf numFmtId="166" fontId="11" fillId="0" borderId="0"/>
    <xf numFmtId="0" fontId="11" fillId="0" borderId="0"/>
    <xf numFmtId="0" fontId="20" fillId="0" borderId="0"/>
    <xf numFmtId="0" fontId="11" fillId="0" borderId="0"/>
    <xf numFmtId="166" fontId="11" fillId="0" borderId="0"/>
    <xf numFmtId="166" fontId="22" fillId="0" borderId="0"/>
    <xf numFmtId="0" fontId="25" fillId="0" borderId="0"/>
    <xf numFmtId="0" fontId="25" fillId="0" borderId="0"/>
    <xf numFmtId="179" fontId="13" fillId="0" borderId="0" applyFont="0" applyFill="0" applyBorder="0" applyAlignment="0" applyProtection="0"/>
    <xf numFmtId="0" fontId="11" fillId="0" borderId="0"/>
    <xf numFmtId="166"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166"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0" fillId="0" borderId="0"/>
    <xf numFmtId="0" fontId="20" fillId="0" borderId="0"/>
    <xf numFmtId="0" fontId="20" fillId="0" borderId="0"/>
    <xf numFmtId="0" fontId="20" fillId="0" borderId="0"/>
    <xf numFmtId="0" fontId="20"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0"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25" fillId="0" borderId="0"/>
    <xf numFmtId="0" fontId="26" fillId="0" borderId="0"/>
    <xf numFmtId="3" fontId="13" fillId="0" borderId="0"/>
    <xf numFmtId="3"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5" fillId="0" borderId="0"/>
    <xf numFmtId="166" fontId="11" fillId="0" borderId="0"/>
    <xf numFmtId="0" fontId="11" fillId="0" borderId="0"/>
    <xf numFmtId="166" fontId="11" fillId="0" borderId="0"/>
    <xf numFmtId="0" fontId="11" fillId="0" borderId="0"/>
    <xf numFmtId="166" fontId="25" fillId="0" borderId="0"/>
    <xf numFmtId="0" fontId="11" fillId="0" borderId="0"/>
    <xf numFmtId="166" fontId="11"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2" borderId="0" applyNumberFormat="0" applyFont="0" applyAlignment="0" applyProtection="0"/>
    <xf numFmtId="166" fontId="22" fillId="0" borderId="0"/>
    <xf numFmtId="0" fontId="22" fillId="0" borderId="0"/>
    <xf numFmtId="0" fontId="11" fillId="0" borderId="0"/>
    <xf numFmtId="166" fontId="11" fillId="0" borderId="0"/>
    <xf numFmtId="0" fontId="26" fillId="0" borderId="0"/>
    <xf numFmtId="0" fontId="26"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2" fillId="0" borderId="0"/>
    <xf numFmtId="0" fontId="22" fillId="0" borderId="0"/>
    <xf numFmtId="0" fontId="26" fillId="0" borderId="0"/>
    <xf numFmtId="166" fontId="11" fillId="0" borderId="0"/>
    <xf numFmtId="0" fontId="11" fillId="0" borderId="0"/>
    <xf numFmtId="0" fontId="26" fillId="0" borderId="0"/>
    <xf numFmtId="0" fontId="11" fillId="0" borderId="0"/>
    <xf numFmtId="166" fontId="11" fillId="0" borderId="0"/>
    <xf numFmtId="0" fontId="26" fillId="0" borderId="0"/>
    <xf numFmtId="0" fontId="11" fillId="0" borderId="0"/>
    <xf numFmtId="166" fontId="11" fillId="0" borderId="0"/>
    <xf numFmtId="166" fontId="11" fillId="0" borderId="0"/>
    <xf numFmtId="0" fontId="20" fillId="0" borderId="0"/>
    <xf numFmtId="0" fontId="26"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26" fillId="0" borderId="0"/>
    <xf numFmtId="0" fontId="11" fillId="0" borderId="0"/>
    <xf numFmtId="166" fontId="11" fillId="0" borderId="0"/>
    <xf numFmtId="0" fontId="11" fillId="0" borderId="0"/>
    <xf numFmtId="166"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166"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0" fontId="13"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0" fontId="13" fillId="0" borderId="0" applyFont="0" applyFill="0" applyBorder="0" applyAlignment="0" applyProtection="0"/>
    <xf numFmtId="182" fontId="16" fillId="0" borderId="0" applyFill="0" applyAlignment="0" applyProtection="0"/>
    <xf numFmtId="183" fontId="11" fillId="0" borderId="0" applyFont="0" applyFill="0" applyBorder="0" applyProtection="0">
      <alignment horizontal="right"/>
    </xf>
    <xf numFmtId="166" fontId="29" fillId="0" borderId="0"/>
    <xf numFmtId="166" fontId="22" fillId="0" borderId="0"/>
    <xf numFmtId="0" fontId="22" fillId="0" borderId="0"/>
    <xf numFmtId="0" fontId="26" fillId="0" borderId="0"/>
    <xf numFmtId="166" fontId="22" fillId="0" borderId="0"/>
    <xf numFmtId="0" fontId="22"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6" fillId="0" borderId="0"/>
    <xf numFmtId="0" fontId="26" fillId="0" borderId="0"/>
    <xf numFmtId="166" fontId="22" fillId="0" borderId="0"/>
    <xf numFmtId="0" fontId="22" fillId="0" borderId="0"/>
    <xf numFmtId="166" fontId="22" fillId="0" borderId="0"/>
    <xf numFmtId="0" fontId="25" fillId="0" borderId="0"/>
    <xf numFmtId="0" fontId="11" fillId="0" borderId="0"/>
    <xf numFmtId="166" fontId="11" fillId="0" borderId="0"/>
    <xf numFmtId="0" fontId="11" fillId="0" borderId="0"/>
    <xf numFmtId="0" fontId="22" fillId="0" borderId="0"/>
    <xf numFmtId="0" fontId="25" fillId="0" borderId="0"/>
    <xf numFmtId="0" fontId="25" fillId="0" borderId="0"/>
    <xf numFmtId="0" fontId="11" fillId="0" borderId="0"/>
    <xf numFmtId="166" fontId="11" fillId="0" borderId="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22"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0" fontId="26"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25" fillId="0" borderId="0"/>
    <xf numFmtId="3" fontId="13" fillId="0" borderId="0"/>
    <xf numFmtId="0" fontId="11" fillId="0" borderId="0"/>
    <xf numFmtId="0" fontId="11" fillId="0" borderId="0"/>
    <xf numFmtId="166" fontId="11" fillId="0" borderId="0"/>
    <xf numFmtId="0"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25"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25" fillId="0" borderId="0"/>
    <xf numFmtId="0" fontId="25" fillId="0" borderId="0"/>
    <xf numFmtId="0" fontId="25" fillId="0" borderId="0"/>
    <xf numFmtId="0" fontId="11" fillId="0" borderId="0"/>
    <xf numFmtId="166" fontId="11" fillId="0" borderId="0"/>
    <xf numFmtId="0" fontId="11" fillId="0" borderId="0"/>
    <xf numFmtId="166" fontId="11" fillId="0" borderId="0"/>
    <xf numFmtId="3" fontId="13" fillId="0" borderId="0"/>
    <xf numFmtId="0" fontId="25" fillId="0" borderId="0"/>
    <xf numFmtId="0" fontId="11" fillId="0" borderId="0"/>
    <xf numFmtId="0" fontId="19" fillId="0" borderId="0" applyNumberFormat="0" applyFill="0" applyBorder="0" applyAlignment="0" applyProtection="0"/>
    <xf numFmtId="0" fontId="11" fillId="0" borderId="0"/>
    <xf numFmtId="166" fontId="11" fillId="0" borderId="0"/>
    <xf numFmtId="0" fontId="11" fillId="0" borderId="0"/>
    <xf numFmtId="166" fontId="11" fillId="0" borderId="0"/>
    <xf numFmtId="0" fontId="11" fillId="0" borderId="0"/>
    <xf numFmtId="0" fontId="20" fillId="0" borderId="0"/>
    <xf numFmtId="0" fontId="24" fillId="0" borderId="0"/>
    <xf numFmtId="0" fontId="24"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19" fillId="0" borderId="0" applyNumberFormat="0" applyFill="0" applyBorder="0" applyAlignment="0" applyProtection="0"/>
    <xf numFmtId="0" fontId="25" fillId="0" borderId="0"/>
    <xf numFmtId="166" fontId="20" fillId="0" borderId="0"/>
    <xf numFmtId="0" fontId="20" fillId="0" borderId="0"/>
    <xf numFmtId="166"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22" fillId="0" borderId="0"/>
    <xf numFmtId="0" fontId="11" fillId="0" borderId="0"/>
    <xf numFmtId="166" fontId="11" fillId="0" borderId="0"/>
    <xf numFmtId="0" fontId="11" fillId="0" borderId="0"/>
    <xf numFmtId="166"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22"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20" fillId="0" borderId="0"/>
    <xf numFmtId="0" fontId="20" fillId="0" borderId="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11" fillId="0" borderId="0"/>
    <xf numFmtId="166"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24" fillId="0" borderId="0"/>
    <xf numFmtId="0" fontId="24" fillId="0" borderId="0"/>
    <xf numFmtId="0" fontId="26" fillId="0" borderId="0"/>
    <xf numFmtId="0" fontId="31" fillId="0" borderId="5" applyNumberFormat="0" applyFill="0" applyAlignment="0" applyProtection="0"/>
    <xf numFmtId="0" fontId="11" fillId="0" borderId="0"/>
    <xf numFmtId="166" fontId="11" fillId="0" borderId="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11" fillId="0" borderId="0"/>
    <xf numFmtId="166" fontId="11" fillId="0" borderId="0"/>
    <xf numFmtId="0" fontId="11" fillId="0" borderId="0"/>
    <xf numFmtId="166" fontId="11" fillId="0" borderId="0"/>
    <xf numFmtId="0" fontId="11" fillId="0" borderId="0"/>
    <xf numFmtId="0" fontId="11" fillId="0" borderId="0"/>
    <xf numFmtId="166"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2" fillId="0" borderId="0"/>
    <xf numFmtId="0" fontId="22" fillId="0" borderId="0"/>
    <xf numFmtId="0" fontId="11" fillId="0" borderId="0"/>
    <xf numFmtId="166" fontId="11" fillId="0" borderId="0"/>
    <xf numFmtId="0" fontId="11" fillId="0" borderId="0"/>
    <xf numFmtId="0" fontId="11" fillId="0" borderId="0"/>
    <xf numFmtId="166" fontId="11" fillId="0" borderId="0"/>
    <xf numFmtId="166" fontId="11" fillId="0" borderId="0"/>
    <xf numFmtId="0" fontId="11" fillId="0" borderId="0"/>
    <xf numFmtId="166" fontId="11" fillId="0" borderId="0"/>
    <xf numFmtId="166" fontId="11" fillId="0" borderId="0"/>
    <xf numFmtId="166" fontId="11" fillId="0" borderId="0"/>
    <xf numFmtId="166" fontId="11" fillId="0" borderId="0"/>
    <xf numFmtId="0" fontId="20" fillId="0" borderId="0"/>
    <xf numFmtId="0" fontId="25"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34" fillId="3" borderId="0" applyNumberFormat="0" applyBorder="0" applyAlignment="0" applyProtection="0">
      <alignment vertical="center"/>
    </xf>
    <xf numFmtId="0" fontId="35" fillId="0" borderId="7" applyNumberFormat="0" applyFill="0" applyAlignment="0" applyProtection="0">
      <alignment vertical="center"/>
    </xf>
    <xf numFmtId="0" fontId="36" fillId="2" borderId="8" applyNumberFormat="0" applyAlignment="0" applyProtection="0">
      <alignment vertical="center"/>
    </xf>
    <xf numFmtId="0" fontId="37" fillId="4" borderId="9" applyNumberFormat="0" applyAlignment="0" applyProtection="0">
      <alignment vertical="center"/>
    </xf>
    <xf numFmtId="186" fontId="11" fillId="0" borderId="0" applyFont="0" applyFill="0" applyBorder="0" applyAlignment="0" applyProtection="0"/>
    <xf numFmtId="187" fontId="11" fillId="0" borderId="0" applyFont="0" applyFill="0" applyBorder="0" applyAlignment="0" applyProtection="0"/>
    <xf numFmtId="0" fontId="38" fillId="2" borderId="0" applyNumberFormat="0" applyBorder="0" applyAlignment="0" applyProtection="0">
      <alignment vertical="center"/>
    </xf>
    <xf numFmtId="9" fontId="11" fillId="5" borderId="0"/>
    <xf numFmtId="0" fontId="11" fillId="0" borderId="0"/>
    <xf numFmtId="0" fontId="39" fillId="0" borderId="0" applyNumberFormat="0" applyFill="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42" fillId="0" borderId="0"/>
    <xf numFmtId="0" fontId="43" fillId="0" borderId="0"/>
    <xf numFmtId="188" fontId="44" fillId="0" borderId="0" applyFont="0" applyFill="0" applyBorder="0" applyAlignment="0" applyProtection="0"/>
    <xf numFmtId="189" fontId="45" fillId="0" borderId="0" applyFont="0" applyFill="0" applyBorder="0" applyAlignment="0" applyProtection="0"/>
    <xf numFmtId="0" fontId="22" fillId="0" borderId="0"/>
    <xf numFmtId="0" fontId="22" fillId="0" borderId="0"/>
    <xf numFmtId="175" fontId="11" fillId="0" borderId="0"/>
    <xf numFmtId="0" fontId="11" fillId="0" borderId="0"/>
    <xf numFmtId="190" fontId="44" fillId="0" borderId="0" applyFont="0" applyFill="0" applyBorder="0" applyAlignment="0" applyProtection="0"/>
    <xf numFmtId="10" fontId="44" fillId="0" borderId="0" applyFont="0" applyFill="0" applyBorder="0" applyAlignment="0" applyProtection="0"/>
    <xf numFmtId="5" fontId="46" fillId="12" borderId="0" applyFont="0" applyFill="0" applyBorder="0" applyAlignment="0" applyProtection="0"/>
    <xf numFmtId="191" fontId="20" fillId="0" borderId="0">
      <alignment horizontal="center"/>
    </xf>
    <xf numFmtId="0" fontId="47" fillId="0" borderId="0" applyNumberFormat="0" applyFill="0" applyBorder="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50" fillId="0" borderId="12" applyNumberFormat="0" applyFill="0" applyAlignment="0" applyProtection="0">
      <alignment vertical="center"/>
    </xf>
    <xf numFmtId="0" fontId="50" fillId="0" borderId="0" applyNumberFormat="0" applyFill="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3" borderId="0" applyNumberFormat="0" applyBorder="0" applyAlignment="0" applyProtection="0">
      <alignment vertical="center"/>
    </xf>
    <xf numFmtId="0" fontId="51" fillId="15" borderId="0" applyNumberFormat="0" applyBorder="0" applyAlignment="0" applyProtection="0">
      <alignment vertical="center"/>
    </xf>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3" borderId="0" applyNumberFormat="0" applyBorder="0" applyAlignment="0" applyProtection="0"/>
    <xf numFmtId="0" fontId="52" fillId="21" borderId="0" applyNumberFormat="0" applyBorder="0" applyAlignment="0" applyProtection="0"/>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3" fillId="3" borderId="0" applyNumberFormat="0" applyBorder="0" applyAlignment="0" applyProtection="0">
      <alignment vertical="center"/>
    </xf>
    <xf numFmtId="0" fontId="53" fillId="21" borderId="0" applyNumberFormat="0" applyBorder="0" applyAlignment="0" applyProtection="0">
      <alignment vertical="center"/>
    </xf>
    <xf numFmtId="192" fontId="16" fillId="0" borderId="0">
      <alignment horizontal="center"/>
    </xf>
    <xf numFmtId="0" fontId="14" fillId="15" borderId="13" applyNumberFormat="0" applyFont="0" applyAlignment="0" applyProtection="0">
      <alignment vertical="center"/>
    </xf>
    <xf numFmtId="0" fontId="54" fillId="0" borderId="14" applyNumberFormat="0" applyFill="0" applyAlignment="0" applyProtection="0">
      <alignment vertical="center"/>
    </xf>
    <xf numFmtId="0" fontId="51" fillId="3" borderId="0" applyNumberFormat="0" applyBorder="0" applyAlignment="0" applyProtection="0">
      <alignment vertical="center"/>
    </xf>
    <xf numFmtId="0" fontId="51" fillId="14" borderId="0" applyNumberFormat="0" applyBorder="0" applyAlignment="0" applyProtection="0">
      <alignment vertical="center"/>
    </xf>
    <xf numFmtId="0" fontId="51" fillId="2" borderId="0" applyNumberFormat="0" applyBorder="0" applyAlignment="0" applyProtection="0">
      <alignment vertical="center"/>
    </xf>
    <xf numFmtId="0" fontId="51" fillId="18" borderId="0" applyNumberFormat="0" applyBorder="0" applyAlignment="0" applyProtection="0">
      <alignment vertical="center"/>
    </xf>
    <xf numFmtId="0" fontId="51" fillId="3" borderId="0" applyNumberFormat="0" applyBorder="0" applyAlignment="0" applyProtection="0">
      <alignment vertical="center"/>
    </xf>
    <xf numFmtId="0" fontId="51" fillId="15" borderId="0" applyNumberFormat="0" applyBorder="0" applyAlignment="0" applyProtection="0">
      <alignment vertical="center"/>
    </xf>
    <xf numFmtId="0" fontId="52" fillId="13" borderId="0" applyNumberFormat="0" applyBorder="0" applyAlignment="0" applyProtection="0"/>
    <xf numFmtId="0" fontId="52" fillId="14" borderId="0" applyNumberFormat="0" applyBorder="0" applyAlignment="0" applyProtection="0"/>
    <xf numFmtId="0" fontId="52" fillId="22" borderId="0" applyNumberFormat="0" applyBorder="0" applyAlignment="0" applyProtection="0"/>
    <xf numFmtId="0" fontId="52" fillId="20" borderId="0" applyNumberFormat="0" applyBorder="0" applyAlignment="0" applyProtection="0"/>
    <xf numFmtId="0" fontId="52" fillId="13" borderId="0" applyNumberFormat="0" applyBorder="0" applyAlignment="0" applyProtection="0"/>
    <xf numFmtId="0" fontId="52" fillId="8" borderId="0" applyNumberFormat="0" applyBorder="0" applyAlignment="0" applyProtection="0"/>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22" borderId="0" applyNumberFormat="0" applyBorder="0" applyAlignment="0" applyProtection="0">
      <alignment vertical="center"/>
    </xf>
    <xf numFmtId="0" fontId="53" fillId="20" borderId="0" applyNumberFormat="0" applyBorder="0" applyAlignment="0" applyProtection="0">
      <alignment vertical="center"/>
    </xf>
    <xf numFmtId="0" fontId="53" fillId="13" borderId="0" applyNumberFormat="0" applyBorder="0" applyAlignment="0" applyProtection="0">
      <alignment vertical="center"/>
    </xf>
    <xf numFmtId="0" fontId="53" fillId="8" borderId="0" applyNumberFormat="0" applyBorder="0" applyAlignment="0" applyProtection="0">
      <alignment vertical="center"/>
    </xf>
    <xf numFmtId="193" fontId="55" fillId="0" borderId="0">
      <alignment horizontal="center"/>
    </xf>
    <xf numFmtId="0" fontId="40" fillId="3"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18" borderId="0" applyNumberFormat="0" applyBorder="0" applyAlignment="0" applyProtection="0">
      <alignment vertical="center"/>
    </xf>
    <xf numFmtId="0" fontId="40" fillId="3" borderId="0" applyNumberFormat="0" applyBorder="0" applyAlignment="0" applyProtection="0">
      <alignment vertical="center"/>
    </xf>
    <xf numFmtId="0" fontId="40" fillId="14" borderId="0" applyNumberFormat="0" applyBorder="0" applyAlignment="0" applyProtection="0">
      <alignment vertical="center"/>
    </xf>
    <xf numFmtId="0" fontId="56" fillId="23"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25" borderId="0" applyNumberFormat="0" applyBorder="0" applyAlignment="0" applyProtection="0"/>
    <xf numFmtId="0" fontId="57" fillId="23" borderId="0" applyNumberFormat="0" applyBorder="0" applyAlignment="0" applyProtection="0">
      <alignment vertical="center"/>
    </xf>
    <xf numFmtId="0" fontId="57" fillId="14"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0" borderId="0" applyNumberFormat="0" applyBorder="0" applyAlignment="0" applyProtection="0">
      <alignment vertical="center"/>
    </xf>
    <xf numFmtId="0" fontId="57" fillId="25" borderId="0" applyNumberFormat="0" applyBorder="0" applyAlignment="0" applyProtection="0">
      <alignment vertical="center"/>
    </xf>
    <xf numFmtId="194" fontId="20"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0" fontId="54" fillId="0" borderId="0" applyNumberFormat="0" applyFill="0" applyBorder="0" applyAlignment="0" applyProtection="0">
      <alignment vertical="center"/>
    </xf>
    <xf numFmtId="0" fontId="58" fillId="20" borderId="0" applyNumberFormat="0" applyBorder="0" applyAlignment="0" applyProtection="0">
      <alignment vertical="center"/>
    </xf>
    <xf numFmtId="0" fontId="59" fillId="0" borderId="4" applyBorder="0"/>
    <xf numFmtId="0" fontId="56" fillId="26" borderId="0" applyNumberFormat="0" applyBorder="0" applyAlignment="0" applyProtection="0"/>
    <xf numFmtId="0" fontId="56" fillId="11" borderId="0" applyNumberFormat="0" applyBorder="0" applyAlignment="0" applyProtection="0"/>
    <xf numFmtId="0" fontId="56" fillId="27"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7" borderId="0" applyNumberFormat="0" applyBorder="0" applyAlignment="0" applyProtection="0"/>
    <xf numFmtId="195" fontId="11" fillId="0" borderId="0" applyFont="0" applyFill="0" applyBorder="0" applyAlignment="0" applyProtection="0"/>
    <xf numFmtId="0" fontId="60" fillId="0" borderId="15" applyBorder="0">
      <alignment horizontal="left"/>
    </xf>
    <xf numFmtId="0" fontId="61" fillId="0" borderId="0" applyNumberFormat="0" applyFill="0" applyBorder="0" applyAlignment="0" applyProtection="0"/>
    <xf numFmtId="0" fontId="62" fillId="0" borderId="0" applyNumberFormat="0" applyAlignment="0"/>
    <xf numFmtId="0" fontId="62" fillId="0" borderId="0" applyNumberFormat="0" applyAlignment="0"/>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0" fontId="63" fillId="29" borderId="17" applyNumberFormat="0" applyAlignment="0" applyProtection="0">
      <alignment vertical="center"/>
    </xf>
    <xf numFmtId="6" fontId="11" fillId="0" borderId="0"/>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11" fillId="0" borderId="0" applyNumberFormat="0" applyFill="0" applyBorder="0" applyAlignment="0" applyProtection="0"/>
    <xf numFmtId="0" fontId="16" fillId="0" borderId="0" applyNumberFormat="0" applyFill="0" applyBorder="0" applyAlignment="0" applyProtection="0"/>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8" fontId="11" fillId="16" borderId="0"/>
    <xf numFmtId="38" fontId="24" fillId="16" borderId="18">
      <alignment horizontal="right"/>
    </xf>
    <xf numFmtId="0" fontId="65" fillId="18" borderId="0" applyNumberFormat="0" applyBorder="0" applyAlignment="0" applyProtection="0"/>
    <xf numFmtId="38" fontId="66" fillId="0" borderId="0" applyNumberFormat="0" applyFill="0" applyBorder="0" applyAlignment="0" applyProtection="0"/>
    <xf numFmtId="190" fontId="11" fillId="0" borderId="0" applyNumberFormat="0" applyFont="0" applyAlignment="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38" fontId="69" fillId="0" borderId="18"/>
    <xf numFmtId="198" fontId="70" fillId="0" borderId="2" applyAlignment="0" applyProtection="0"/>
    <xf numFmtId="0" fontId="71" fillId="0" borderId="19" applyNumberFormat="0" applyAlignment="0"/>
    <xf numFmtId="0" fontId="66" fillId="0" borderId="4" applyNumberFormat="0" applyFont="0" applyFill="0" applyAlignment="0" applyProtection="0"/>
    <xf numFmtId="0" fontId="15" fillId="0" borderId="0" applyFont="0" applyFill="0" applyBorder="0" applyAlignment="0" applyProtection="0"/>
    <xf numFmtId="0" fontId="72" fillId="0" borderId="0"/>
    <xf numFmtId="0" fontId="73" fillId="0" borderId="0"/>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9"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201" fontId="20" fillId="0" borderId="0" applyFill="0" applyBorder="0" applyAlignment="0"/>
    <xf numFmtId="202" fontId="75" fillId="0" borderId="0" applyFill="0" applyBorder="0" applyAlignment="0"/>
    <xf numFmtId="202" fontId="75" fillId="0" borderId="0" applyFill="0" applyBorder="0" applyAlignment="0"/>
    <xf numFmtId="0" fontId="11"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3" fontId="11" fillId="0" borderId="0" applyFill="0" applyBorder="0" applyAlignment="0"/>
    <xf numFmtId="204" fontId="75" fillId="0" borderId="0" applyFill="0" applyBorder="0" applyAlignment="0"/>
    <xf numFmtId="204" fontId="75" fillId="0" borderId="0" applyFill="0" applyBorder="0" applyAlignment="0"/>
    <xf numFmtId="0" fontId="11"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5" fontId="77" fillId="0" borderId="0" applyFill="0" applyBorder="0" applyAlignment="0"/>
    <xf numFmtId="206" fontId="75" fillId="0" borderId="0" applyFill="0" applyBorder="0" applyAlignment="0"/>
    <xf numFmtId="206" fontId="75" fillId="0" borderId="0" applyFill="0" applyBorder="0" applyAlignment="0"/>
    <xf numFmtId="0" fontId="11"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78" fillId="16" borderId="8" applyNumberFormat="0" applyAlignment="0" applyProtection="0"/>
    <xf numFmtId="0" fontId="18" fillId="0" borderId="0" applyFill="0" applyBorder="0" applyProtection="0">
      <alignment horizontal="center"/>
      <protection locked="0"/>
    </xf>
    <xf numFmtId="0" fontId="79" fillId="29" borderId="17" applyNumberFormat="0" applyAlignment="0" applyProtection="0"/>
    <xf numFmtId="0" fontId="80" fillId="0" borderId="0"/>
    <xf numFmtId="0" fontId="80" fillId="30" borderId="0"/>
    <xf numFmtId="0" fontId="62" fillId="0" borderId="0" applyNumberFormat="0" applyFill="0" applyBorder="0" applyAlignment="0" applyProtection="0"/>
    <xf numFmtId="166"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2" fillId="0" borderId="4" applyNumberFormat="0" applyFill="0" applyProtection="0">
      <alignment horizontal="center"/>
    </xf>
    <xf numFmtId="0" fontId="82" fillId="0" borderId="4" applyNumberFormat="0" applyFill="0" applyProtection="0">
      <alignment horizontal="center"/>
    </xf>
    <xf numFmtId="0" fontId="83" fillId="0" borderId="20">
      <alignment horizontal="center"/>
    </xf>
    <xf numFmtId="0" fontId="84" fillId="32" borderId="0">
      <alignment horizontal="left"/>
    </xf>
    <xf numFmtId="0" fontId="84" fillId="32" borderId="0">
      <alignment horizontal="left"/>
    </xf>
    <xf numFmtId="0" fontId="85" fillId="32" borderId="0">
      <alignment horizontal="right"/>
    </xf>
    <xf numFmtId="0" fontId="85" fillId="32" borderId="0">
      <alignment horizontal="right"/>
    </xf>
    <xf numFmtId="0" fontId="86" fillId="4" borderId="0">
      <alignment horizontal="center"/>
    </xf>
    <xf numFmtId="0" fontId="86" fillId="4" borderId="0">
      <alignment horizontal="center"/>
    </xf>
    <xf numFmtId="0" fontId="85" fillId="32" borderId="0">
      <alignment horizontal="right"/>
    </xf>
    <xf numFmtId="0" fontId="85" fillId="32" borderId="0">
      <alignment horizontal="right"/>
    </xf>
    <xf numFmtId="0" fontId="87" fillId="4" borderId="0">
      <alignment horizontal="left"/>
    </xf>
    <xf numFmtId="0" fontId="87" fillId="4" borderId="0">
      <alignment horizontal="left"/>
    </xf>
    <xf numFmtId="0" fontId="20" fillId="0" borderId="0"/>
    <xf numFmtId="209" fontId="20" fillId="0" borderId="0"/>
    <xf numFmtId="0" fontId="11" fillId="0" borderId="0" applyNumberFormat="0" applyFont="0" applyFill="0" applyBorder="0" applyAlignment="0" applyProtection="0"/>
    <xf numFmtId="209" fontId="20" fillId="0" borderId="0"/>
    <xf numFmtId="209" fontId="20" fillId="0" borderId="0"/>
    <xf numFmtId="209" fontId="20" fillId="0" borderId="0"/>
    <xf numFmtId="209" fontId="20" fillId="0" borderId="0"/>
    <xf numFmtId="209" fontId="20" fillId="0" borderId="0"/>
    <xf numFmtId="209" fontId="20" fillId="0" borderId="0"/>
    <xf numFmtId="209" fontId="20" fillId="0" borderId="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38" fontId="11" fillId="0" borderId="0" applyFill="0" applyBorder="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173" fontId="11" fillId="0" borderId="0" applyFill="0" applyBorder="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40" fontId="11" fillId="0" borderId="0" applyFill="0" applyBorder="0" applyProtection="0"/>
    <xf numFmtId="212" fontId="11" fillId="0" borderId="0" applyFont="0" applyFill="0" applyBorder="0" applyAlignment="0" applyProtection="0"/>
    <xf numFmtId="212" fontId="11" fillId="0" borderId="0" applyFont="0" applyFill="0" applyBorder="0" applyAlignment="0" applyProtection="0"/>
    <xf numFmtId="213" fontId="20" fillId="0" borderId="4"/>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44" fontId="20"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0" fontId="76"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173" fontId="64" fillId="0" borderId="0"/>
    <xf numFmtId="40" fontId="16" fillId="0" borderId="0" applyFont="0" applyFill="0" applyBorder="0" applyAlignment="0" applyProtection="0"/>
    <xf numFmtId="218" fontId="88" fillId="0" borderId="0" applyFont="0" applyFill="0" applyBorder="0" applyAlignment="0" applyProtection="0">
      <alignment horizontal="right"/>
    </xf>
    <xf numFmtId="219" fontId="8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7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45" fillId="0" borderId="0"/>
    <xf numFmtId="37" fontId="44" fillId="0" borderId="0" applyFont="0" applyFill="0" applyBorder="0" applyAlignment="0" applyProtection="0"/>
    <xf numFmtId="173" fontId="44" fillId="0" borderId="0" applyFont="0" applyFill="0" applyBorder="0" applyAlignment="0" applyProtection="0"/>
    <xf numFmtId="39" fontId="44" fillId="0" borderId="0" applyFont="0" applyFill="0" applyBorder="0" applyAlignment="0" applyProtection="0"/>
    <xf numFmtId="37" fontId="11" fillId="0" borderId="0" applyFill="0" applyBorder="0" applyAlignment="0" applyProtection="0"/>
    <xf numFmtId="166" fontId="89" fillId="0" borderId="0"/>
    <xf numFmtId="166" fontId="20" fillId="0" borderId="0"/>
    <xf numFmtId="0" fontId="20"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7" fontId="11" fillId="0" borderId="0" applyFill="0" applyBorder="0" applyAlignment="0" applyProtection="0"/>
    <xf numFmtId="166" fontId="89" fillId="0" borderId="0"/>
    <xf numFmtId="166" fontId="20" fillId="0" borderId="0"/>
    <xf numFmtId="0" fontId="81" fillId="0" borderId="0" applyFill="0" applyBorder="0" applyAlignment="0" applyProtection="0">
      <protection locked="0"/>
    </xf>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220" fontId="92" fillId="0" borderId="0" applyBorder="0"/>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221" fontId="55" fillId="0" borderId="0">
      <alignment horizontal="center"/>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6" fillId="0" borderId="0">
      <alignment horizontal="left"/>
    </xf>
    <xf numFmtId="0" fontId="97" fillId="0" borderId="0"/>
    <xf numFmtId="0" fontId="98" fillId="0" borderId="0">
      <alignment horizontal="left"/>
    </xf>
    <xf numFmtId="220" fontId="18" fillId="0" borderId="0"/>
    <xf numFmtId="222" fontId="11" fillId="0" borderId="0" applyFont="0" applyFill="0" applyBorder="0" applyAlignment="0" applyProtection="0">
      <alignment horizontal="right"/>
    </xf>
    <xf numFmtId="6" fontId="11" fillId="0" borderId="0" applyFill="0" applyBorder="0" applyProtection="0">
      <alignment horizontal="right"/>
    </xf>
    <xf numFmtId="222" fontId="11" fillId="0" borderId="0" applyFont="0" applyFill="0" applyBorder="0" applyAlignment="0" applyProtection="0">
      <alignment horizontal="right"/>
    </xf>
    <xf numFmtId="222" fontId="11" fillId="0" borderId="0" applyFont="0" applyFill="0" applyBorder="0" applyAlignment="0" applyProtection="0">
      <alignment horizontal="right"/>
    </xf>
    <xf numFmtId="223" fontId="11" fillId="0" borderId="0" applyFont="0" applyFill="0" applyBorder="0" applyAlignment="0" applyProtection="0">
      <alignment horizontal="right"/>
    </xf>
    <xf numFmtId="165" fontId="11" fillId="0" borderId="0" applyFill="0" applyBorder="0" applyProtection="0">
      <alignment horizontal="right"/>
    </xf>
    <xf numFmtId="223" fontId="11" fillId="0" borderId="0" applyFont="0" applyFill="0" applyBorder="0" applyAlignment="0" applyProtection="0">
      <alignment horizontal="right"/>
    </xf>
    <xf numFmtId="223" fontId="11" fillId="0" borderId="0" applyFont="0" applyFill="0" applyBorder="0" applyAlignment="0" applyProtection="0">
      <alignment horizontal="right"/>
    </xf>
    <xf numFmtId="224" fontId="11" fillId="0" borderId="0" applyFont="0" applyFill="0" applyBorder="0" applyAlignment="0" applyProtection="0">
      <alignment horizontal="right"/>
    </xf>
    <xf numFmtId="7" fontId="11" fillId="0" borderId="0" applyFill="0" applyBorder="0" applyProtection="0">
      <alignment horizontal="right"/>
    </xf>
    <xf numFmtId="224" fontId="11" fillId="0" borderId="0" applyFont="0" applyFill="0" applyBorder="0" applyAlignment="0" applyProtection="0">
      <alignment horizontal="right"/>
    </xf>
    <xf numFmtId="224" fontId="11" fillId="0" borderId="0" applyFont="0" applyFill="0" applyBorder="0" applyAlignment="0" applyProtection="0">
      <alignment horizontal="right"/>
    </xf>
    <xf numFmtId="225" fontId="99" fillId="33" borderId="0" applyFont="0" applyFill="0" applyBorder="0" applyAlignment="0" applyProtection="0"/>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6"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42" fontId="11" fillId="0" borderId="0" applyFont="0" applyFill="0" applyBorder="0" applyAlignment="0" applyProtection="0"/>
    <xf numFmtId="173" fontId="20"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0" fontId="76"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230" fontId="16" fillId="0" borderId="0" applyFont="0" applyFill="0" applyBorder="0" applyAlignment="0" applyProtection="0"/>
    <xf numFmtId="8" fontId="11" fillId="0" borderId="0" applyFont="0" applyFill="0" applyBorder="0" applyAlignment="0"/>
    <xf numFmtId="231" fontId="88"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232" fontId="11" fillId="0" borderId="0" applyFont="0" applyFill="0" applyBorder="0" applyAlignment="0" applyProtection="0">
      <alignment vertical="top"/>
      <protection hidden="1"/>
    </xf>
    <xf numFmtId="232" fontId="11" fillId="0" borderId="0" applyFont="0" applyFill="0" applyBorder="0" applyAlignment="0" applyProtection="0">
      <alignment vertical="top"/>
      <protection hidden="1"/>
    </xf>
    <xf numFmtId="5" fontId="44" fillId="0" borderId="0" applyFont="0" applyFill="0" applyBorder="0" applyAlignment="0" applyProtection="0"/>
    <xf numFmtId="7" fontId="44"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4" fontId="11" fillId="0" borderId="0"/>
    <xf numFmtId="235" fontId="11" fillId="0" borderId="0" applyFill="0" applyBorder="0" applyProtection="0">
      <alignment vertical="center"/>
    </xf>
    <xf numFmtId="220" fontId="100" fillId="0" borderId="0">
      <protection locked="0"/>
    </xf>
    <xf numFmtId="15" fontId="42" fillId="0" borderId="0"/>
    <xf numFmtId="236" fontId="101" fillId="0" borderId="0" applyAlignment="0">
      <alignment horizontal="right"/>
    </xf>
    <xf numFmtId="0" fontId="20" fillId="0" borderId="0"/>
    <xf numFmtId="237" fontId="11" fillId="0" borderId="0" applyFill="0" applyBorder="0" applyProtection="0">
      <alignment horizontal="right"/>
    </xf>
    <xf numFmtId="14" fontId="11" fillId="0" borderId="0" applyFont="0" applyFill="0" applyBorder="0" applyProtection="0">
      <alignment horizontal="right"/>
    </xf>
    <xf numFmtId="14" fontId="11" fillId="0" borderId="0" applyFill="0" applyBorder="0" applyProtection="0">
      <alignment horizontal="right"/>
    </xf>
    <xf numFmtId="14" fontId="11" fillId="0" borderId="0" applyFont="0" applyFill="0" applyBorder="0" applyProtection="0">
      <alignment horizontal="right"/>
    </xf>
    <xf numFmtId="14" fontId="11" fillId="0" borderId="0" applyFont="0" applyFill="0" applyBorder="0" applyProtection="0">
      <alignment horizontal="right"/>
    </xf>
    <xf numFmtId="17" fontId="18" fillId="0" borderId="0" applyFill="0" applyBorder="0" applyProtection="0">
      <alignment horizontal="center"/>
    </xf>
    <xf numFmtId="15" fontId="83" fillId="0" borderId="0" applyFill="0" applyBorder="0" applyAlignment="0"/>
    <xf numFmtId="238" fontId="83" fillId="34" borderId="0" applyFont="0" applyFill="0" applyBorder="0" applyAlignment="0" applyProtection="0"/>
    <xf numFmtId="239" fontId="102" fillId="34" borderId="21" applyFont="0" applyFill="0" applyBorder="0" applyAlignment="0" applyProtection="0"/>
    <xf numFmtId="238" fontId="62" fillId="34" borderId="0" applyFont="0" applyFill="0" applyBorder="0" applyAlignment="0" applyProtection="0"/>
    <xf numFmtId="17" fontId="83" fillId="0" borderId="0" applyFill="0" applyBorder="0">
      <alignment horizontal="right"/>
    </xf>
    <xf numFmtId="240" fontId="83" fillId="0" borderId="4" applyFill="0" applyBorder="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235" fontId="88" fillId="0" borderId="0" applyFont="0" applyFill="0" applyBorder="0" applyAlignment="0" applyProtection="0"/>
    <xf numFmtId="14" fontId="14" fillId="0" borderId="0" applyFill="0" applyBorder="0" applyAlignment="0"/>
    <xf numFmtId="14" fontId="55" fillId="0" borderId="0">
      <alignment horizontal="center"/>
    </xf>
    <xf numFmtId="241" fontId="62" fillId="35" borderId="22" applyFill="0" applyBorder="0" applyProtection="0">
      <alignment horizontal="right"/>
      <protection locked="0"/>
    </xf>
    <xf numFmtId="42" fontId="103" fillId="0" borderId="0"/>
    <xf numFmtId="242" fontId="103" fillId="0" borderId="0"/>
    <xf numFmtId="0" fontId="104" fillId="0" borderId="0" applyNumberFormat="0" applyFill="0" applyBorder="0" applyAlignment="0" applyProtection="0"/>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0" fontId="20" fillId="0" borderId="0"/>
    <xf numFmtId="0" fontId="20" fillId="0" borderId="0"/>
    <xf numFmtId="243" fontId="11" fillId="0" borderId="0" applyFont="0" applyFill="0" applyBorder="0" applyAlignment="0" applyProtection="0"/>
    <xf numFmtId="244" fontId="11" fillId="0" borderId="0" applyFont="0" applyFill="0" applyBorder="0" applyAlignment="0" applyProtection="0"/>
    <xf numFmtId="166" fontId="105" fillId="0" borderId="0">
      <protection locked="0"/>
    </xf>
    <xf numFmtId="245" fontId="83" fillId="0" borderId="24">
      <alignment vertical="top"/>
    </xf>
    <xf numFmtId="245" fontId="62" fillId="0" borderId="0"/>
    <xf numFmtId="7" fontId="11" fillId="0" borderId="0" applyFont="0" applyFill="0" applyBorder="0" applyAlignment="0"/>
    <xf numFmtId="246" fontId="11" fillId="0" borderId="0"/>
    <xf numFmtId="42" fontId="45" fillId="0" borderId="0"/>
    <xf numFmtId="7" fontId="62" fillId="0" borderId="0"/>
    <xf numFmtId="0" fontId="88" fillId="0" borderId="25" applyNumberFormat="0" applyFont="0" applyFill="0" applyAlignment="0" applyProtection="0"/>
    <xf numFmtId="42" fontId="106" fillId="0" borderId="0" applyFill="0" applyBorder="0" applyAlignment="0" applyProtection="0"/>
    <xf numFmtId="220" fontId="92" fillId="0" borderId="2"/>
    <xf numFmtId="173" fontId="102" fillId="0" borderId="0" applyBorder="0"/>
    <xf numFmtId="186" fontId="102" fillId="0" borderId="0" applyBorder="0"/>
    <xf numFmtId="49" fontId="107" fillId="0" borderId="0" applyBorder="0">
      <alignment horizontal="center"/>
    </xf>
    <xf numFmtId="0" fontId="107" fillId="0" borderId="0" applyBorder="0">
      <alignment horizontal="center"/>
    </xf>
    <xf numFmtId="0" fontId="108" fillId="28" borderId="26" applyBorder="0">
      <alignment horizontal="center" vertical="center" wrapText="1"/>
    </xf>
    <xf numFmtId="0" fontId="109" fillId="0" borderId="0" applyBorder="0">
      <alignment horizontal="center"/>
    </xf>
    <xf numFmtId="0" fontId="110" fillId="28" borderId="26" applyBorder="0">
      <alignment horizontal="center" vertical="center" wrapText="1"/>
    </xf>
    <xf numFmtId="0" fontId="111" fillId="28" borderId="26" applyFill="0" applyBorder="0">
      <alignment horizontal="left" vertical="center"/>
    </xf>
    <xf numFmtId="0" fontId="45" fillId="0" borderId="1" applyBorder="0">
      <alignment horizontal="center" vertical="center" wrapText="1"/>
    </xf>
    <xf numFmtId="15" fontId="45" fillId="0" borderId="1" applyBorder="0">
      <alignment wrapText="1"/>
    </xf>
    <xf numFmtId="15" fontId="45" fillId="0" borderId="1" applyNumberFormat="0" applyBorder="0">
      <alignment vertical="center" wrapText="1"/>
    </xf>
    <xf numFmtId="0" fontId="18" fillId="36" borderId="1" applyBorder="0">
      <alignment horizontal="center" wrapText="1"/>
    </xf>
    <xf numFmtId="0" fontId="112" fillId="28" borderId="26" applyBorder="0">
      <alignment horizontal="centerContinuous"/>
    </xf>
    <xf numFmtId="166" fontId="113" fillId="0" borderId="0">
      <protection locked="0"/>
    </xf>
    <xf numFmtId="166" fontId="113" fillId="0" borderId="0">
      <protection locked="0"/>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247" fontId="62" fillId="37" borderId="18" applyFill="0" applyBorder="0" applyProtection="0">
      <alignment horizontal="left"/>
    </xf>
    <xf numFmtId="0" fontId="115" fillId="0" borderId="0" applyNumberFormat="0" applyFill="0" applyBorder="0" applyAlignment="0" applyProtection="0"/>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2" fontId="16" fillId="0" borderId="0" applyProtection="0"/>
    <xf numFmtId="248" fontId="11" fillId="0" borderId="0" applyFill="0" applyBorder="0" applyProtection="0">
      <alignment horizontal="left"/>
    </xf>
    <xf numFmtId="249" fontId="11" fillId="34" borderId="0" applyFont="0" applyFill="0" applyBorder="0" applyAlignment="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0" fontId="11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7" fillId="0" borderId="0">
      <alignment horizontal="left"/>
    </xf>
    <xf numFmtId="0" fontId="118" fillId="0" borderId="0">
      <alignment horizontal="left"/>
    </xf>
    <xf numFmtId="0" fontId="119" fillId="0" borderId="0" applyFill="0" applyBorder="0" applyProtection="0">
      <alignment horizontal="left"/>
    </xf>
    <xf numFmtId="0" fontId="119" fillId="0" borderId="0" applyNumberFormat="0" applyFill="0" applyBorder="0" applyProtection="0">
      <alignment horizontal="left"/>
    </xf>
    <xf numFmtId="0" fontId="119" fillId="0" borderId="0" applyFill="0" applyBorder="0" applyProtection="0">
      <alignment vertical="center"/>
    </xf>
    <xf numFmtId="0" fontId="120" fillId="19" borderId="0" applyNumberFormat="0" applyBorder="0" applyAlignment="0" applyProtection="0"/>
    <xf numFmtId="38" fontId="11" fillId="0" borderId="0" applyProtection="0"/>
    <xf numFmtId="38" fontId="62" fillId="33" borderId="0" applyNumberFormat="0" applyBorder="0" applyAlignment="0" applyProtection="0"/>
    <xf numFmtId="38" fontId="24" fillId="0" borderId="18"/>
    <xf numFmtId="250" fontId="88" fillId="0" borderId="0" applyFont="0" applyFill="0" applyBorder="0" applyAlignment="0" applyProtection="0">
      <alignment horizontal="right"/>
    </xf>
    <xf numFmtId="0" fontId="121" fillId="0" borderId="0">
      <alignment horizontal="left"/>
    </xf>
    <xf numFmtId="0" fontId="122" fillId="0" borderId="0" applyNumberFormat="0" applyFill="0" applyBorder="0" applyAlignment="0" applyProtection="0"/>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3" fillId="0" borderId="0">
      <alignment horizontal="left"/>
    </xf>
    <xf numFmtId="251" fontId="83" fillId="34" borderId="27"/>
    <xf numFmtId="251" fontId="83" fillId="0" borderId="4"/>
    <xf numFmtId="0" fontId="124" fillId="0" borderId="0">
      <alignment horizontal="right"/>
    </xf>
    <xf numFmtId="0" fontId="81" fillId="0" borderId="28" applyNumberFormat="0" applyAlignment="0" applyProtection="0">
      <alignment horizontal="left" vertical="center"/>
    </xf>
    <xf numFmtId="0" fontId="81" fillId="0" borderId="28" applyNumberFormat="0" applyAlignment="0" applyProtection="0">
      <alignment horizontal="left" vertical="center"/>
    </xf>
    <xf numFmtId="0" fontId="81" fillId="0" borderId="27">
      <alignment horizontal="left" vertical="center"/>
    </xf>
    <xf numFmtId="0" fontId="81" fillId="0" borderId="27">
      <alignment horizontal="left" vertical="center"/>
    </xf>
    <xf numFmtId="14" fontId="18" fillId="38" borderId="15">
      <alignment horizontal="center" vertical="center" wrapText="1"/>
    </xf>
    <xf numFmtId="0" fontId="125" fillId="0" borderId="29"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lignment horizontal="left"/>
    </xf>
    <xf numFmtId="0" fontId="128" fillId="0" borderId="30">
      <alignment horizontal="left" vertical="top"/>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30" fillId="0" borderId="31"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lignment horizontal="left"/>
    </xf>
    <xf numFmtId="0" fontId="133" fillId="0" borderId="30">
      <alignment horizontal="left" vertical="top"/>
    </xf>
    <xf numFmtId="0" fontId="134" fillId="0" borderId="32" applyNumberFormat="0" applyFill="0" applyAlignment="0" applyProtection="0"/>
    <xf numFmtId="0" fontId="135" fillId="0" borderId="0">
      <alignment horizontal="left"/>
    </xf>
    <xf numFmtId="0" fontId="134" fillId="0" borderId="0" applyNumberFormat="0" applyFill="0" applyBorder="0" applyAlignment="0" applyProtection="0"/>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173" fontId="62" fillId="0" borderId="4">
      <alignment horizontal="right" vertical="center"/>
    </xf>
    <xf numFmtId="0" fontId="18" fillId="0" borderId="0" applyFill="0" applyAlignment="0" applyProtection="0">
      <protection locked="0"/>
    </xf>
    <xf numFmtId="0" fontId="136" fillId="0" borderId="4" applyFill="0" applyAlignment="0" applyProtection="0">
      <protection locked="0"/>
    </xf>
    <xf numFmtId="0" fontId="137" fillId="0" borderId="0" applyProtection="0"/>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0" fontId="81" fillId="0" borderId="0" applyProtection="0"/>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38" fontId="139" fillId="0" borderId="0" applyNumberFormat="0" applyFill="0" applyBorder="0" applyProtection="0">
      <alignment horizontal="center"/>
    </xf>
    <xf numFmtId="0" fontId="138" fillId="0" borderId="15">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40" fillId="37" borderId="33" applyBorder="0">
      <alignment horizontal="center"/>
    </xf>
    <xf numFmtId="0" fontId="141" fillId="0" borderId="34" applyNumberFormat="0" applyFill="0" applyAlignment="0" applyProtection="0"/>
    <xf numFmtId="0" fontId="141" fillId="0" borderId="34" applyNumberFormat="0" applyFill="0" applyAlignment="0" applyProtection="0"/>
    <xf numFmtId="0" fontId="75" fillId="0" borderId="0"/>
    <xf numFmtId="166"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6" fontId="144" fillId="0" borderId="0" applyNumberFormat="0" applyAlignment="0">
      <alignment horizontal="left"/>
    </xf>
    <xf numFmtId="0" fontId="144" fillId="0" borderId="0" applyNumberFormat="0" applyAlignment="0">
      <alignment horizontal="left"/>
    </xf>
    <xf numFmtId="10" fontId="62" fillId="34" borderId="1" applyNumberFormat="0" applyBorder="0" applyAlignment="0" applyProtection="0"/>
    <xf numFmtId="218" fontId="145" fillId="0" borderId="0" applyFill="0" applyBorder="0" applyProtection="0">
      <alignment horizontal="right"/>
    </xf>
    <xf numFmtId="0" fontId="146" fillId="21" borderId="8" applyNumberFormat="0" applyAlignment="0" applyProtection="0"/>
    <xf numFmtId="40" fontId="141" fillId="0" borderId="0" applyNumberFormat="0" applyFill="0" applyBorder="0" applyAlignment="0" applyProtection="0"/>
    <xf numFmtId="173" fontId="59" fillId="30" borderId="0"/>
    <xf numFmtId="173" fontId="147" fillId="30" borderId="0"/>
    <xf numFmtId="173" fontId="147" fillId="30" borderId="0"/>
    <xf numFmtId="173" fontId="59" fillId="30" borderId="0"/>
    <xf numFmtId="173" fontId="147" fillId="30" borderId="0"/>
    <xf numFmtId="173" fontId="147" fillId="30" borderId="0"/>
    <xf numFmtId="173" fontId="147" fillId="30" borderId="0"/>
    <xf numFmtId="173" fontId="147" fillId="30" borderId="0"/>
    <xf numFmtId="173" fontId="147" fillId="30" borderId="0"/>
    <xf numFmtId="173" fontId="147" fillId="30" borderId="0"/>
    <xf numFmtId="173" fontId="147" fillId="30" borderId="0"/>
    <xf numFmtId="253" fontId="145" fillId="0" borderId="0" applyFill="0" applyBorder="0" applyProtection="0">
      <alignment horizontal="right"/>
    </xf>
    <xf numFmtId="254" fontId="145" fillId="0" borderId="0" applyFill="0" applyBorder="0" applyProtection="0">
      <alignment horizontal="right"/>
    </xf>
    <xf numFmtId="255" fontId="145" fillId="0" borderId="0" applyFill="0" applyBorder="0" applyProtection="0">
      <alignment horizontal="right"/>
    </xf>
    <xf numFmtId="8" fontId="62" fillId="34" borderId="0" applyFont="0" applyBorder="0" applyAlignment="0" applyProtection="0">
      <protection locked="0"/>
    </xf>
    <xf numFmtId="239" fontId="62" fillId="34" borderId="0" applyFont="0" applyBorder="0" applyAlignment="0" applyProtection="0">
      <protection locked="0"/>
    </xf>
    <xf numFmtId="249" fontId="62" fillId="34" borderId="0" applyFont="0" applyBorder="0" applyAlignment="0">
      <protection locked="0"/>
    </xf>
    <xf numFmtId="256" fontId="145" fillId="0" borderId="0" applyFill="0" applyBorder="0" applyProtection="0">
      <alignment horizontal="right"/>
    </xf>
    <xf numFmtId="257" fontId="145" fillId="0" borderId="0" applyFill="0" applyBorder="0" applyProtection="0"/>
    <xf numFmtId="38" fontId="102" fillId="34" borderId="0">
      <protection locked="0"/>
    </xf>
    <xf numFmtId="251" fontId="62" fillId="34" borderId="0" applyBorder="0"/>
    <xf numFmtId="251" fontId="102" fillId="34" borderId="0">
      <protection locked="0"/>
    </xf>
    <xf numFmtId="258" fontId="145" fillId="0" borderId="0" applyFill="0" applyBorder="0" applyProtection="0">
      <alignment horizontal="right"/>
    </xf>
    <xf numFmtId="10" fontId="62" fillId="34" borderId="0">
      <protection locked="0"/>
    </xf>
    <xf numFmtId="259" fontId="62" fillId="34" borderId="0" applyBorder="0"/>
    <xf numFmtId="259" fontId="102" fillId="34" borderId="0" applyBorder="0" applyAlignment="0">
      <protection locked="0"/>
    </xf>
    <xf numFmtId="251" fontId="148" fillId="34" borderId="0" applyNumberFormat="0" applyBorder="0" applyAlignment="0">
      <protection locked="0"/>
    </xf>
    <xf numFmtId="251" fontId="62" fillId="34" borderId="0" applyNumberFormat="0" applyBorder="0" applyAlignment="0"/>
    <xf numFmtId="260" fontId="145" fillId="0" borderId="0" applyFill="0" applyBorder="0" applyProtection="0">
      <alignment horizontal="right"/>
    </xf>
    <xf numFmtId="260" fontId="11" fillId="0" borderId="0" applyFill="0" applyBorder="0" applyProtection="0">
      <alignment vertical="center"/>
    </xf>
    <xf numFmtId="235" fontId="11" fillId="0" borderId="0" applyFill="0" applyBorder="0" applyProtection="0">
      <alignment vertical="center"/>
    </xf>
    <xf numFmtId="261" fontId="149" fillId="0" borderId="0" applyFont="0" applyFill="0" applyBorder="0" applyAlignment="0">
      <protection locked="0"/>
    </xf>
    <xf numFmtId="262" fontId="11" fillId="0" borderId="0" applyFont="0" applyFill="0" applyBorder="0" applyAlignment="0">
      <protection locked="0"/>
    </xf>
    <xf numFmtId="263" fontId="11" fillId="0" borderId="0" applyFill="0" applyBorder="0" applyProtection="0">
      <alignment vertical="center"/>
    </xf>
    <xf numFmtId="264" fontId="11" fillId="0" borderId="0" applyFill="0" applyBorder="0" applyProtection="0">
      <alignment vertical="center"/>
    </xf>
    <xf numFmtId="265" fontId="11" fillId="0" borderId="4" applyFill="0"/>
    <xf numFmtId="266" fontId="11" fillId="0" borderId="0" applyFont="0" applyFill="0" applyBorder="0" applyProtection="0">
      <alignment horizontal="right"/>
    </xf>
    <xf numFmtId="3" fontId="11" fillId="0" borderId="0" applyFont="0" applyFill="0" applyBorder="0" applyProtection="0">
      <alignment horizontal="right"/>
    </xf>
    <xf numFmtId="38" fontId="150" fillId="40" borderId="0" applyNumberFormat="0" applyBorder="0" applyAlignment="0" applyProtection="0">
      <alignment horizontal="center"/>
    </xf>
    <xf numFmtId="38" fontId="84" fillId="40" borderId="0" applyBorder="0" applyProtection="0">
      <alignment horizontal="center"/>
    </xf>
    <xf numFmtId="173" fontId="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9" fillId="0" borderId="0"/>
    <xf numFmtId="0" fontId="151" fillId="0" borderId="0" applyNumberFormat="0" applyFill="0" applyBorder="0" applyAlignment="0" applyProtection="0">
      <alignment horizontal="centerContinuous"/>
    </xf>
    <xf numFmtId="267" fontId="11" fillId="0" borderId="0" applyFont="0" applyFill="0" applyBorder="0" applyAlignment="0" applyProtection="0"/>
    <xf numFmtId="0" fontId="42" fillId="0" borderId="0"/>
    <xf numFmtId="0" fontId="84" fillId="32" borderId="0">
      <alignment horizontal="left"/>
    </xf>
    <xf numFmtId="0" fontId="84" fillId="32" borderId="0">
      <alignment horizontal="left"/>
    </xf>
    <xf numFmtId="0" fontId="152" fillId="4" borderId="0">
      <alignment horizontal="left"/>
    </xf>
    <xf numFmtId="0" fontId="152" fillId="4" borderId="0">
      <alignment horizontal="left"/>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153" fillId="0" borderId="35" applyNumberFormat="0" applyFill="0" applyAlignment="0" applyProtection="0"/>
    <xf numFmtId="173" fontId="154" fillId="32" borderId="0"/>
    <xf numFmtId="173" fontId="155" fillId="32" borderId="0"/>
    <xf numFmtId="173" fontId="155" fillId="32" borderId="0"/>
    <xf numFmtId="173" fontId="154" fillId="32" borderId="0"/>
    <xf numFmtId="173" fontId="155" fillId="32" borderId="0"/>
    <xf numFmtId="173" fontId="155" fillId="32" borderId="0"/>
    <xf numFmtId="173" fontId="155" fillId="32" borderId="0"/>
    <xf numFmtId="173" fontId="155" fillId="32" borderId="0"/>
    <xf numFmtId="173" fontId="155" fillId="32" borderId="0"/>
    <xf numFmtId="173" fontId="155" fillId="32" borderId="0"/>
    <xf numFmtId="173" fontId="155" fillId="32" borderId="0"/>
    <xf numFmtId="0" fontId="156" fillId="0" borderId="0" applyNumberFormat="0" applyFont="0" applyBorder="0" applyAlignment="0" applyProtection="0"/>
    <xf numFmtId="0" fontId="62" fillId="41" borderId="36" applyBorder="0">
      <alignment horizontal="left"/>
    </xf>
    <xf numFmtId="209" fontId="11" fillId="0" borderId="0" applyFont="0" applyFill="0" applyBorder="0" applyAlignment="0" applyProtection="0"/>
    <xf numFmtId="43" fontId="11" fillId="0" borderId="0" applyFont="0" applyFill="0" applyBorder="0" applyAlignment="0" applyProtection="0"/>
    <xf numFmtId="268" fontId="11" fillId="0" borderId="0" applyFont="0" applyFill="0" applyBorder="0" applyAlignment="0" applyProtection="0"/>
    <xf numFmtId="269" fontId="77" fillId="0" borderId="0" applyFont="0" applyFill="0" applyBorder="0" applyAlignment="0" applyProtection="0"/>
    <xf numFmtId="270" fontId="11" fillId="0" borderId="0" applyFill="0" applyBorder="0" applyProtection="0"/>
    <xf numFmtId="271" fontId="11" fillId="0" borderId="0" applyFill="0" applyBorder="0" applyProtection="0"/>
    <xf numFmtId="0" fontId="157" fillId="0" borderId="15"/>
    <xf numFmtId="42" fontId="11" fillId="0" borderId="0" applyFont="0" applyFill="0" applyBorder="0" applyAlignment="0" applyProtection="0"/>
    <xf numFmtId="44" fontId="11" fillId="0" borderId="0" applyFont="0" applyFill="0" applyBorder="0" applyAlignment="0" applyProtection="0"/>
    <xf numFmtId="272" fontId="11" fillId="0" borderId="0" applyFont="0" applyFill="0" applyBorder="0" applyAlignment="0" applyProtection="0"/>
    <xf numFmtId="273" fontId="77" fillId="0" borderId="0" applyFont="0" applyFill="0" applyBorder="0" applyAlignment="0" applyProtection="0"/>
    <xf numFmtId="17" fontId="11" fillId="38" borderId="37" applyFill="0" applyBorder="0" applyProtection="0">
      <alignment horizontal="center"/>
    </xf>
    <xf numFmtId="274" fontId="62" fillId="37" borderId="0" applyFill="0" applyBorder="0" applyProtection="0">
      <alignment horizontal="center"/>
    </xf>
    <xf numFmtId="0" fontId="158" fillId="0" borderId="0" applyNumberFormat="0">
      <alignment horizontal="left"/>
    </xf>
    <xf numFmtId="275" fontId="13" fillId="0" borderId="0"/>
    <xf numFmtId="263" fontId="11" fillId="0" borderId="0" applyFill="0" applyBorder="0" applyProtection="0">
      <alignment vertical="center"/>
    </xf>
    <xf numFmtId="276" fontId="62" fillId="33" borderId="0" applyFont="0" applyBorder="0" applyAlignment="0" applyProtection="0">
      <alignment horizontal="right"/>
      <protection hidden="1"/>
    </xf>
    <xf numFmtId="0" fontId="159" fillId="2" borderId="0" applyNumberFormat="0" applyBorder="0" applyAlignment="0" applyProtection="0"/>
    <xf numFmtId="0" fontId="13" fillId="0" borderId="1">
      <alignment horizontal="left"/>
    </xf>
    <xf numFmtId="0" fontId="45" fillId="0" borderId="0"/>
    <xf numFmtId="0" fontId="13" fillId="0" borderId="1">
      <alignment horizontal="left"/>
    </xf>
    <xf numFmtId="0" fontId="160" fillId="0" borderId="0" applyNumberFormat="0" applyFill="0" applyBorder="0" applyAlignment="0" applyProtection="0"/>
    <xf numFmtId="37" fontId="91" fillId="0" borderId="0"/>
    <xf numFmtId="37" fontId="91" fillId="0" borderId="0"/>
    <xf numFmtId="37" fontId="91" fillId="0" borderId="0"/>
    <xf numFmtId="37" fontId="91" fillId="0" borderId="0"/>
    <xf numFmtId="37" fontId="91" fillId="0" borderId="0"/>
    <xf numFmtId="37" fontId="91" fillId="0" borderId="0"/>
    <xf numFmtId="37" fontId="91" fillId="0" borderId="0"/>
    <xf numFmtId="37" fontId="91" fillId="0" borderId="0"/>
    <xf numFmtId="277" fontId="95" fillId="0" borderId="0"/>
    <xf numFmtId="278" fontId="45" fillId="0" borderId="0"/>
    <xf numFmtId="38" fontId="62" fillId="0" borderId="0" applyFont="0" applyFill="0" applyBorder="0" applyAlignment="0"/>
    <xf numFmtId="251" fontId="11" fillId="0" borderId="0" applyFont="0" applyFill="0" applyBorder="0" applyAlignment="0"/>
    <xf numFmtId="40" fontId="62" fillId="0" borderId="0" applyFont="0" applyFill="0" applyBorder="0" applyAlignment="0"/>
    <xf numFmtId="279" fontId="62" fillId="0" borderId="0" applyFont="0" applyFill="0" applyBorder="0" applyAlignment="0"/>
    <xf numFmtId="0" fontId="11" fillId="0" borderId="0"/>
    <xf numFmtId="0" fontId="11" fillId="0" borderId="0"/>
    <xf numFmtId="0" fontId="11" fillId="0" borderId="0"/>
    <xf numFmtId="166" fontId="11" fillId="0" borderId="0"/>
    <xf numFmtId="0"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1" fillId="0" borderId="0"/>
    <xf numFmtId="0" fontId="11" fillId="0" borderId="0"/>
    <xf numFmtId="0" fontId="9" fillId="0" borderId="0"/>
    <xf numFmtId="0" fontId="9" fillId="0" borderId="0"/>
    <xf numFmtId="0" fontId="9" fillId="0" borderId="0"/>
    <xf numFmtId="0" fontId="11" fillId="0" borderId="0"/>
    <xf numFmtId="0" fontId="16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1" fillId="0" borderId="0"/>
    <xf numFmtId="166" fontId="11" fillId="0" borderId="0"/>
    <xf numFmtId="0" fontId="9" fillId="0" borderId="0"/>
    <xf numFmtId="0" fontId="9" fillId="0" borderId="0"/>
    <xf numFmtId="166" fontId="11" fillId="0" borderId="0"/>
    <xf numFmtId="0" fontId="11" fillId="0" borderId="0"/>
    <xf numFmtId="0" fontId="11" fillId="0" borderId="0"/>
    <xf numFmtId="0" fontId="162" fillId="0" borderId="0"/>
    <xf numFmtId="166" fontId="11" fillId="0" borderId="0"/>
    <xf numFmtId="0" fontId="11" fillId="0" borderId="0"/>
    <xf numFmtId="0" fontId="11" fillId="0" borderId="0"/>
    <xf numFmtId="0" fontId="11" fillId="0" borderId="0"/>
    <xf numFmtId="166" fontId="9" fillId="0" borderId="0"/>
    <xf numFmtId="166" fontId="9" fillId="0" borderId="0"/>
    <xf numFmtId="166" fontId="9" fillId="0" borderId="0"/>
    <xf numFmtId="0" fontId="11" fillId="0" borderId="0"/>
    <xf numFmtId="0" fontId="11" fillId="0" borderId="0"/>
    <xf numFmtId="166" fontId="9" fillId="0" borderId="0"/>
    <xf numFmtId="0" fontId="52" fillId="0" borderId="0"/>
    <xf numFmtId="0" fontId="11" fillId="0" borderId="0"/>
    <xf numFmtId="166" fontId="9" fillId="0" borderId="0"/>
    <xf numFmtId="166" fontId="9" fillId="0" borderId="0"/>
    <xf numFmtId="166" fontId="9" fillId="0" borderId="0"/>
    <xf numFmtId="0" fontId="11" fillId="0" borderId="0"/>
    <xf numFmtId="0" fontId="11" fillId="0" borderId="0"/>
    <xf numFmtId="0" fontId="11" fillId="0" borderId="0"/>
    <xf numFmtId="0" fontId="9" fillId="0" borderId="0"/>
    <xf numFmtId="251" fontId="83" fillId="0" borderId="0" applyNumberForma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280" fontId="62" fillId="0" borderId="0" applyFont="0" applyFill="0" applyBorder="0" applyAlignment="0" applyProtection="0"/>
    <xf numFmtId="281" fontId="11" fillId="0" borderId="0" applyFont="0" applyFill="0" applyBorder="0" applyAlignment="0" applyProtection="0"/>
    <xf numFmtId="282" fontId="24"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54" fontId="11" fillId="0" borderId="0" applyFill="0" applyBorder="0" applyProtection="0">
      <alignment vertical="center"/>
    </xf>
    <xf numFmtId="0" fontId="132" fillId="0" borderId="0"/>
    <xf numFmtId="0" fontId="163" fillId="0" borderId="0" applyNumberFormat="0" applyFill="0" applyBorder="0" applyAlignment="0" applyProtection="0"/>
    <xf numFmtId="0" fontId="164" fillId="0" borderId="0" applyNumberFormat="0" applyFill="0" applyBorder="0" applyAlignment="0" applyProtection="0"/>
    <xf numFmtId="0" fontId="25" fillId="0" borderId="0" applyNumberFormat="0" applyFill="0" applyBorder="0" applyAlignment="0" applyProtection="0"/>
    <xf numFmtId="0" fontId="11" fillId="15" borderId="13" applyNumberFormat="0" applyFont="0" applyAlignment="0" applyProtection="0"/>
    <xf numFmtId="283" fontId="165" fillId="0" borderId="0">
      <alignment horizontal="right"/>
    </xf>
    <xf numFmtId="284" fontId="165" fillId="0" borderId="0">
      <alignment horizontal="right"/>
    </xf>
    <xf numFmtId="3" fontId="13" fillId="0" borderId="2" applyBorder="0"/>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85" fontId="11" fillId="0" borderId="0" applyFont="0" applyFill="0" applyBorder="0" applyProtection="0">
      <alignment horizontal="center"/>
    </xf>
    <xf numFmtId="285" fontId="11" fillId="0" borderId="0" applyFont="0" applyFill="0" applyBorder="0" applyProtection="0">
      <alignment horizontal="center"/>
    </xf>
    <xf numFmtId="285" fontId="11" fillId="0" borderId="0" applyFont="0" applyFill="0" applyBorder="0" applyProtection="0">
      <alignment horizontal="center"/>
    </xf>
    <xf numFmtId="285"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40" fontId="166" fillId="0" borderId="0">
      <alignment horizontal="right"/>
    </xf>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5" fontId="46" fillId="0" borderId="0" applyNumberFormat="0" applyFill="0" applyBorder="0" applyAlignment="0" applyProtection="0"/>
    <xf numFmtId="0" fontId="83" fillId="0" borderId="0" applyNumberFormat="0" applyFill="0" applyBorder="0" applyAlignment="0" applyProtection="0"/>
    <xf numFmtId="167" fontId="62" fillId="0" borderId="0" applyNumberFormat="0" applyFill="0" applyBorder="0" applyAlignment="0" applyProtection="0"/>
    <xf numFmtId="40" fontId="167" fillId="0" borderId="0" applyFont="0" applyFill="0" applyBorder="0" applyAlignment="0" applyProtection="0"/>
    <xf numFmtId="38" fontId="167" fillId="0" borderId="0" applyFont="0" applyFill="0" applyBorder="0" applyAlignment="0" applyProtection="0"/>
    <xf numFmtId="166" fontId="168" fillId="0" borderId="0" applyNumberFormat="0" applyFill="0" applyBorder="0" applyAlignment="0" applyProtection="0"/>
    <xf numFmtId="166" fontId="168" fillId="0" borderId="0" applyNumberFormat="0" applyFill="0" applyBorder="0" applyAlignment="0" applyProtection="0"/>
    <xf numFmtId="0" fontId="169" fillId="16" borderId="9" applyNumberFormat="0" applyAlignment="0" applyProtection="0"/>
    <xf numFmtId="40" fontId="170" fillId="12" borderId="0">
      <alignment horizontal="right"/>
    </xf>
    <xf numFmtId="0" fontId="171" fillId="12" borderId="0">
      <alignment horizontal="right"/>
    </xf>
    <xf numFmtId="0" fontId="172" fillId="33" borderId="0">
      <alignment horizontal="right"/>
    </xf>
    <xf numFmtId="0" fontId="173" fillId="12" borderId="38"/>
    <xf numFmtId="0" fontId="84" fillId="42" borderId="38"/>
    <xf numFmtId="0" fontId="173" fillId="0" borderId="0" applyBorder="0">
      <alignment horizontal="centerContinuous"/>
    </xf>
    <xf numFmtId="0" fontId="32" fillId="0" borderId="0" applyBorder="0">
      <alignment horizontal="centerContinuous"/>
    </xf>
    <xf numFmtId="0" fontId="174" fillId="0" borderId="0" applyBorder="0">
      <alignment horizontal="centerContinuous"/>
    </xf>
    <xf numFmtId="0" fontId="175" fillId="0" borderId="0" applyBorder="0">
      <alignment horizontal="centerContinuous"/>
    </xf>
    <xf numFmtId="0" fontId="176" fillId="33" borderId="18" applyNumberFormat="0" applyFont="0" applyBorder="0" applyAlignment="0">
      <alignment horizontal="center"/>
      <protection locked="0"/>
    </xf>
    <xf numFmtId="1" fontId="177" fillId="0" borderId="0" applyProtection="0">
      <alignment horizontal="right" vertical="center"/>
    </xf>
    <xf numFmtId="0" fontId="178" fillId="0" borderId="0" applyNumberFormat="0" applyFill="0" applyBorder="0" applyAlignment="0" applyProtection="0"/>
    <xf numFmtId="0" fontId="179" fillId="32" borderId="0" applyNumberFormat="0">
      <alignment vertical="center"/>
    </xf>
    <xf numFmtId="0" fontId="11" fillId="43" borderId="36" applyNumberFormat="0" applyFont="0" applyBorder="0" applyAlignment="0">
      <alignment horizontal="centerContinuous"/>
      <protection locked="0"/>
    </xf>
    <xf numFmtId="0" fontId="83" fillId="44" borderId="0" applyNumberFormat="0" applyFont="0" applyBorder="0" applyAlignment="0">
      <alignment horizontal="centerContinuous"/>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0" fontId="20" fillId="0" borderId="0"/>
    <xf numFmtId="287" fontId="11" fillId="0" borderId="0" applyFont="0" applyFill="0" applyBorder="0" applyAlignment="0" applyProtection="0"/>
    <xf numFmtId="9" fontId="11" fillId="0" borderId="0" applyFill="0" applyBorder="0" applyProtection="0"/>
    <xf numFmtId="288" fontId="11" fillId="0" borderId="0" applyFont="0" applyFill="0" applyBorder="0" applyAlignment="0" applyProtection="0"/>
    <xf numFmtId="288" fontId="11" fillId="0" borderId="0" applyFont="0" applyFill="0" applyBorder="0" applyAlignment="0" applyProtection="0"/>
    <xf numFmtId="289" fontId="62" fillId="38" borderId="0" applyFill="0" applyBorder="0" applyProtection="0">
      <alignment horizontal="right"/>
    </xf>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190" fontId="11" fillId="0" borderId="0" applyFill="0" applyBorder="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1" fontId="11" fillId="0" borderId="0"/>
    <xf numFmtId="291" fontId="11" fillId="0" borderId="0"/>
    <xf numFmtId="291" fontId="11" fillId="0" borderId="0"/>
    <xf numFmtId="291" fontId="11" fillId="0" borderId="0"/>
    <xf numFmtId="292" fontId="11" fillId="0" borderId="0" applyFont="0" applyFill="0" applyBorder="0" applyAlignment="0" applyProtection="0"/>
    <xf numFmtId="293" fontId="11" fillId="0" borderId="0" applyFill="0" applyBorder="0" applyProtection="0"/>
    <xf numFmtId="292" fontId="11" fillId="0" borderId="0" applyFont="0" applyFill="0" applyBorder="0" applyAlignment="0" applyProtection="0"/>
    <xf numFmtId="292" fontId="11" fillId="0" borderId="0" applyFont="0" applyFill="0" applyBorder="0" applyAlignment="0" applyProtection="0"/>
    <xf numFmtId="205" fontId="77"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0" fontId="11"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94" fontId="180" fillId="0" borderId="0" applyFill="0" applyBorder="0">
      <alignment horizontal="right"/>
    </xf>
    <xf numFmtId="295" fontId="11" fillId="0" borderId="0" applyFont="0" applyFill="0" applyBorder="0" applyAlignment="0" applyProtection="0"/>
    <xf numFmtId="296" fontId="11"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8" fontId="11"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190" fontId="18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299" fontId="11" fillId="0" borderId="0" applyFont="0" applyFill="0" applyBorder="0" applyAlignment="0" applyProtection="0"/>
    <xf numFmtId="300" fontId="24"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64" fontId="11" fillId="0" borderId="0" applyFill="0" applyBorder="0" applyProtection="0">
      <alignment vertical="center"/>
    </xf>
    <xf numFmtId="5" fontId="46" fillId="0" borderId="0"/>
    <xf numFmtId="301" fontId="62" fillId="0" borderId="0" applyFont="0" applyFill="0" applyBorder="0" applyAlignment="0" applyProtection="0"/>
    <xf numFmtId="0" fontId="182" fillId="4" borderId="8" applyNumberFormat="0" applyAlignment="0" applyProtection="0">
      <alignment vertical="center"/>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5" fontId="20" fillId="0" borderId="0">
      <alignment horizontal="right"/>
    </xf>
    <xf numFmtId="5" fontId="20" fillId="0" borderId="0">
      <alignment horizontal="right"/>
    </xf>
    <xf numFmtId="302" fontId="11" fillId="0" borderId="0"/>
    <xf numFmtId="198" fontId="183" fillId="0" borderId="0"/>
    <xf numFmtId="198" fontId="183" fillId="0" borderId="0"/>
    <xf numFmtId="198" fontId="184" fillId="0" borderId="0"/>
    <xf numFmtId="198" fontId="183" fillId="0" borderId="0"/>
    <xf numFmtId="198" fontId="183" fillId="0" borderId="0"/>
    <xf numFmtId="198" fontId="183" fillId="0" borderId="0"/>
    <xf numFmtId="198" fontId="183" fillId="0" borderId="0"/>
    <xf numFmtId="198" fontId="183" fillId="0" borderId="0"/>
    <xf numFmtId="198" fontId="183" fillId="0" borderId="0"/>
    <xf numFmtId="198" fontId="183" fillId="0" borderId="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303" fontId="62" fillId="38" borderId="18" applyFill="0" applyBorder="0" applyProtection="0">
      <alignment horizontal="left"/>
    </xf>
    <xf numFmtId="251" fontId="185" fillId="0" borderId="0" applyNumberFormat="0" applyFill="0" applyBorder="0" applyAlignment="0" applyProtection="0">
      <alignment horizontal="left"/>
    </xf>
    <xf numFmtId="49" fontId="13" fillId="0" borderId="0">
      <alignment horizontal="right"/>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52" fillId="2" borderId="0">
      <alignment horizontal="center"/>
    </xf>
    <xf numFmtId="0" fontId="152" fillId="2" borderId="0">
      <alignment horizontal="center"/>
    </xf>
    <xf numFmtId="49" fontId="187" fillId="4" borderId="0">
      <alignment horizontal="center"/>
    </xf>
    <xf numFmtId="268" fontId="188"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0" fontId="18" fillId="0" borderId="0" applyNumberFormat="0" applyFill="0" applyBorder="0" applyProtection="0">
      <alignment horizontal="center" vertical="top" wrapText="1"/>
    </xf>
    <xf numFmtId="0" fontId="18" fillId="0" borderId="0" applyFill="0" applyBorder="0" applyProtection="0">
      <alignment horizontal="center" vertical="top" wrapText="1"/>
    </xf>
    <xf numFmtId="0" fontId="85" fillId="32" borderId="0">
      <alignment horizontal="center"/>
    </xf>
    <xf numFmtId="0" fontId="85" fillId="32" borderId="0">
      <alignment horizontal="center"/>
    </xf>
    <xf numFmtId="0" fontId="85" fillId="32" borderId="0">
      <alignment horizontal="centerContinuous"/>
    </xf>
    <xf numFmtId="0" fontId="85" fillId="32" borderId="0">
      <alignment horizontal="centerContinuous"/>
    </xf>
    <xf numFmtId="0" fontId="162" fillId="4" borderId="0">
      <alignment horizontal="left"/>
    </xf>
    <xf numFmtId="0" fontId="162" fillId="4" borderId="0">
      <alignment horizontal="left"/>
    </xf>
    <xf numFmtId="49" fontId="162" fillId="4" borderId="0">
      <alignment horizontal="center"/>
    </xf>
    <xf numFmtId="0" fontId="84" fillId="32" borderId="0">
      <alignment horizontal="left"/>
    </xf>
    <xf numFmtId="0" fontId="84" fillId="32" borderId="0">
      <alignment horizontal="left"/>
    </xf>
    <xf numFmtId="49" fontId="162" fillId="4" borderId="0">
      <alignment horizontal="left"/>
    </xf>
    <xf numFmtId="0" fontId="84" fillId="32" borderId="0">
      <alignment horizontal="centerContinuous"/>
    </xf>
    <xf numFmtId="0" fontId="84" fillId="32" borderId="0">
      <alignment horizontal="centerContinuous"/>
    </xf>
    <xf numFmtId="0" fontId="84" fillId="32" borderId="0">
      <alignment horizontal="right"/>
    </xf>
    <xf numFmtId="0" fontId="84" fillId="32" borderId="0">
      <alignment horizontal="right"/>
    </xf>
    <xf numFmtId="49" fontId="152" fillId="4" borderId="0">
      <alignment horizontal="left"/>
    </xf>
    <xf numFmtId="0" fontId="85" fillId="32" borderId="0">
      <alignment horizontal="right"/>
    </xf>
    <xf numFmtId="0" fontId="85" fillId="32" borderId="0">
      <alignment horizontal="right"/>
    </xf>
    <xf numFmtId="166" fontId="168" fillId="0" borderId="0" applyNumberFormat="0" applyFill="0" applyBorder="0" applyAlignment="0" applyProtection="0"/>
    <xf numFmtId="0" fontId="11" fillId="0" borderId="0"/>
    <xf numFmtId="166" fontId="168" fillId="0" borderId="0" applyNumberFormat="0" applyFill="0" applyBorder="0" applyAlignment="0" applyProtection="0"/>
    <xf numFmtId="0" fontId="118" fillId="0" borderId="39">
      <alignment vertical="center"/>
    </xf>
    <xf numFmtId="0" fontId="162" fillId="21" borderId="0">
      <alignment horizontal="center"/>
    </xf>
    <xf numFmtId="0" fontId="162" fillId="21" borderId="0">
      <alignment horizontal="center"/>
    </xf>
    <xf numFmtId="0" fontId="102" fillId="21" borderId="0">
      <alignment horizontal="center"/>
    </xf>
    <xf numFmtId="0" fontId="102" fillId="21" borderId="0">
      <alignment horizontal="center"/>
    </xf>
    <xf numFmtId="4" fontId="20" fillId="0" borderId="0" applyFont="0" applyFill="0" applyBorder="0" applyAlignment="0" applyProtection="0"/>
    <xf numFmtId="38" fontId="24" fillId="16" borderId="0"/>
    <xf numFmtId="38" fontId="69" fillId="16" borderId="18"/>
    <xf numFmtId="38" fontId="24" fillId="16" borderId="18"/>
    <xf numFmtId="38" fontId="24" fillId="16" borderId="40"/>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5" fontId="61" fillId="47" borderId="0" applyNumberFormat="0" applyFont="0" applyBorder="0" applyAlignment="0" applyProtection="0"/>
    <xf numFmtId="305" fontId="62" fillId="38" borderId="41" applyFill="0" applyBorder="0" applyProtection="0">
      <alignment horizontal="center"/>
    </xf>
    <xf numFmtId="42" fontId="189" fillId="0" borderId="0" applyFill="0" applyBorder="0" applyAlignment="0" applyProtection="0"/>
    <xf numFmtId="41" fontId="190" fillId="0" borderId="0"/>
    <xf numFmtId="242" fontId="190" fillId="0" borderId="0"/>
    <xf numFmtId="3" fontId="62" fillId="0" borderId="0"/>
    <xf numFmtId="38" fontId="24" fillId="47" borderId="0"/>
    <xf numFmtId="38" fontId="24" fillId="47" borderId="18"/>
    <xf numFmtId="38" fontId="24" fillId="47" borderId="40"/>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1" fontId="45" fillId="0" borderId="0" applyBorder="0">
      <alignment horizontal="left" vertical="top" wrapText="1"/>
    </xf>
    <xf numFmtId="0" fontId="24" fillId="0" borderId="0"/>
    <xf numFmtId="0" fontId="11" fillId="0" borderId="0"/>
    <xf numFmtId="3" fontId="13" fillId="0" borderId="0"/>
    <xf numFmtId="1" fontId="9" fillId="48" borderId="1"/>
    <xf numFmtId="1" fontId="9" fillId="48" borderId="1"/>
    <xf numFmtId="0" fontId="11" fillId="0" borderId="0"/>
    <xf numFmtId="0" fontId="11" fillId="0" borderId="0"/>
    <xf numFmtId="0" fontId="11" fillId="0" borderId="0"/>
    <xf numFmtId="1" fontId="9" fillId="48" borderId="1"/>
    <xf numFmtId="1" fontId="9" fillId="48" borderId="1"/>
    <xf numFmtId="0" fontId="11" fillId="0" borderId="0"/>
    <xf numFmtId="0" fontId="11" fillId="0" borderId="0"/>
    <xf numFmtId="0" fontId="11" fillId="0" borderId="0"/>
    <xf numFmtId="1" fontId="9" fillId="48" borderId="1"/>
    <xf numFmtId="1" fontId="9" fillId="48" borderId="1"/>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34" borderId="27" applyNumberFormat="0" applyProtection="0">
      <alignment horizontal="center" vertical="center"/>
    </xf>
    <xf numFmtId="0" fontId="192" fillId="0" borderId="0" applyNumberFormat="0" applyFill="0" applyBorder="0" applyAlignment="0" applyProtection="0"/>
    <xf numFmtId="0" fontId="18" fillId="34" borderId="27" applyNumberFormat="0" applyProtection="0">
      <alignment horizontal="center" vertical="center"/>
    </xf>
    <xf numFmtId="0" fontId="18" fillId="49" borderId="0" applyNumberFormat="0" applyBorder="0" applyAlignment="0"/>
    <xf numFmtId="0" fontId="18" fillId="50" borderId="0" applyNumberFormat="0" applyBorder="0" applyAlignment="0"/>
    <xf numFmtId="0" fontId="11" fillId="0" borderId="0" applyNumberFormat="0" applyFont="0" applyFill="0" applyBorder="0" applyProtection="0">
      <alignment horizontal="left"/>
    </xf>
    <xf numFmtId="0" fontId="11" fillId="0" borderId="0" applyNumberFormat="0" applyFont="0" applyFill="0" applyBorder="0" applyProtection="0">
      <alignment horizontal="right"/>
    </xf>
    <xf numFmtId="0" fontId="11" fillId="0" borderId="0" applyNumberFormat="0" applyFont="0" applyFill="0" applyBorder="0" applyProtection="0">
      <alignment horizontal="right"/>
    </xf>
    <xf numFmtId="0" fontId="11" fillId="0" borderId="0" applyNumberFormat="0" applyFont="0" applyFill="0" applyBorder="0" applyProtection="0">
      <alignment horizontal="center"/>
    </xf>
    <xf numFmtId="0" fontId="11" fillId="0" borderId="0"/>
    <xf numFmtId="0" fontId="62" fillId="0" borderId="0" applyNumberFormat="0" applyFill="0" applyBorder="0" applyProtection="0">
      <alignment horizontal="left" vertical="top" wrapText="1"/>
    </xf>
    <xf numFmtId="0" fontId="83" fillId="0" borderId="0" applyNumberFormat="0" applyFill="0" applyBorder="0" applyProtection="0">
      <alignment horizontal="left" vertical="top" wrapText="1"/>
    </xf>
    <xf numFmtId="306" fontId="148" fillId="0" borderId="0" applyFill="0" applyBorder="0" applyProtection="0">
      <alignment horizontal="center" wrapText="1"/>
    </xf>
    <xf numFmtId="307" fontId="148" fillId="0" borderId="0" applyFill="0" applyBorder="0" applyProtection="0">
      <alignment horizontal="right" wrapText="1"/>
    </xf>
    <xf numFmtId="308" fontId="148" fillId="0" borderId="0" applyFill="0" applyBorder="0" applyProtection="0">
      <alignment horizontal="right" wrapText="1"/>
    </xf>
    <xf numFmtId="309" fontId="148" fillId="0" borderId="0" applyFill="0" applyBorder="0" applyProtection="0">
      <alignment horizontal="right" wrapText="1"/>
    </xf>
    <xf numFmtId="37" fontId="148" fillId="0" borderId="0" applyFill="0" applyBorder="0" applyProtection="0">
      <alignment horizontal="center" wrapText="1"/>
    </xf>
    <xf numFmtId="310" fontId="148" fillId="0" borderId="0" applyFill="0" applyBorder="0" applyProtection="0">
      <alignment horizontal="right"/>
    </xf>
    <xf numFmtId="311" fontId="148" fillId="0" borderId="0" applyFill="0" applyBorder="0" applyProtection="0">
      <alignment horizontal="right"/>
    </xf>
    <xf numFmtId="14" fontId="148" fillId="0" borderId="0" applyFill="0" applyBorder="0" applyProtection="0">
      <alignment horizontal="right"/>
    </xf>
    <xf numFmtId="166" fontId="11" fillId="0" borderId="0"/>
    <xf numFmtId="4" fontId="148" fillId="0" borderId="0" applyFill="0" applyBorder="0" applyProtection="0">
      <alignment wrapText="1"/>
    </xf>
    <xf numFmtId="0" fontId="83" fillId="0" borderId="42" applyNumberFormat="0" applyFill="0" applyProtection="0">
      <alignment wrapText="1"/>
    </xf>
    <xf numFmtId="0" fontId="18" fillId="0" borderId="0" applyNumberFormat="0" applyFill="0" applyBorder="0" applyProtection="0">
      <alignment wrapText="1"/>
    </xf>
    <xf numFmtId="0" fontId="83" fillId="0" borderId="42" applyNumberFormat="0" applyFill="0" applyProtection="0">
      <alignment horizontal="center" wrapText="1"/>
    </xf>
    <xf numFmtId="312" fontId="83" fillId="0" borderId="0" applyFill="0" applyBorder="0" applyProtection="0">
      <alignment horizontal="center" wrapText="1"/>
    </xf>
    <xf numFmtId="0" fontId="81" fillId="0" borderId="0" applyNumberFormat="0" applyFill="0" applyBorder="0" applyProtection="0">
      <alignment horizontal="justify" wrapText="1"/>
    </xf>
    <xf numFmtId="0" fontId="83" fillId="0" borderId="0" applyNumberFormat="0" applyFill="0" applyBorder="0" applyProtection="0">
      <alignment horizontal="centerContinuous" wrapText="1"/>
    </xf>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4" fontId="11" fillId="0" borderId="0" applyProtection="0">
      <protection locked="0"/>
    </xf>
    <xf numFmtId="0" fontId="14" fillId="0" borderId="0" applyNumberFormat="0" applyBorder="0" applyAlignment="0"/>
    <xf numFmtId="0" fontId="14" fillId="0" borderId="0" applyNumberFormat="0" applyBorder="0" applyAlignment="0"/>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52" fillId="0" borderId="0" applyNumberFormat="0" applyBorder="0" applyAlignment="0"/>
    <xf numFmtId="0" fontId="193" fillId="0" borderId="0" applyNumberFormat="0" applyBorder="0" applyAlignment="0"/>
    <xf numFmtId="0" fontId="172" fillId="0" borderId="0" applyNumberFormat="0" applyBorder="0" applyAlignment="0"/>
    <xf numFmtId="0" fontId="193" fillId="0" borderId="0" applyNumberFormat="0" applyBorder="0" applyAlignment="0"/>
    <xf numFmtId="0" fontId="157" fillId="0" borderId="0"/>
    <xf numFmtId="0" fontId="194" fillId="0" borderId="0"/>
    <xf numFmtId="0" fontId="194" fillId="0" borderId="0"/>
    <xf numFmtId="6" fontId="18" fillId="0" borderId="27" applyFill="0" applyProtection="0"/>
    <xf numFmtId="38" fontId="18" fillId="0" borderId="27" applyFill="0" applyProtection="0"/>
    <xf numFmtId="40" fontId="195"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0" fontId="196" fillId="0" borderId="0" applyBorder="0" applyProtection="0">
      <alignment vertical="center"/>
    </xf>
    <xf numFmtId="0" fontId="196" fillId="0" borderId="4" applyBorder="0" applyProtection="0">
      <alignment horizontal="right" vertical="center"/>
    </xf>
    <xf numFmtId="0" fontId="197" fillId="51" borderId="0" applyBorder="0" applyProtection="0">
      <alignment horizontal="centerContinuous" vertical="center"/>
    </xf>
    <xf numFmtId="0" fontId="197" fillId="40" borderId="4" applyBorder="0" applyProtection="0">
      <alignment horizontal="centerContinuous" vertical="center"/>
    </xf>
    <xf numFmtId="0" fontId="198" fillId="0" borderId="0" applyFill="0" applyBorder="0" applyProtection="0">
      <alignment horizontal="center" vertical="center"/>
    </xf>
    <xf numFmtId="3" fontId="136" fillId="0" borderId="0" applyNumberFormat="0"/>
    <xf numFmtId="0" fontId="119" fillId="0" borderId="0" applyNumberFormat="0" applyFill="0" applyBorder="0" applyProtection="0">
      <alignment horizontal="left"/>
    </xf>
    <xf numFmtId="0" fontId="132" fillId="0" borderId="0"/>
    <xf numFmtId="0" fontId="199" fillId="0" borderId="0" applyFill="0" applyBorder="0" applyProtection="0">
      <alignment horizontal="left"/>
    </xf>
    <xf numFmtId="0" fontId="119" fillId="0" borderId="30" applyFill="0" applyBorder="0" applyProtection="0">
      <alignment horizontal="left" vertical="top"/>
    </xf>
    <xf numFmtId="0" fontId="166" fillId="0" borderId="0">
      <alignment horizontal="centerContinuous"/>
    </xf>
    <xf numFmtId="0" fontId="200" fillId="0" borderId="0" applyNumberFormat="0" applyFill="0" applyBorder="0">
      <alignment horizontal="left"/>
    </xf>
    <xf numFmtId="173" fontId="200" fillId="0" borderId="0" applyNumberFormat="0" applyFill="0" applyBorder="0">
      <alignment horizontal="right"/>
    </xf>
    <xf numFmtId="0" fontId="201" fillId="0" borderId="0" applyNumberFormat="0" applyFill="0" applyBorder="0">
      <alignment horizontal="right"/>
    </xf>
    <xf numFmtId="0" fontId="62" fillId="0" borderId="0" applyFill="0" applyBorder="0" applyProtection="0">
      <alignment horizontal="left"/>
    </xf>
    <xf numFmtId="0" fontId="202" fillId="0" borderId="0"/>
    <xf numFmtId="0" fontId="203" fillId="0" borderId="0" applyNumberFormat="0" applyFill="0" applyBorder="0" applyProtection="0"/>
    <xf numFmtId="0" fontId="204" fillId="0" borderId="0" applyFill="0" applyBorder="0" applyProtection="0"/>
    <xf numFmtId="0" fontId="205" fillId="0" borderId="0"/>
    <xf numFmtId="0" fontId="204" fillId="0" borderId="0" applyNumberFormat="0" applyFill="0" applyBorder="0" applyProtection="0"/>
    <xf numFmtId="0" fontId="203" fillId="0" borderId="0" applyNumberFormat="0" applyFill="0" applyBorder="0" applyProtection="0"/>
    <xf numFmtId="0" fontId="203" fillId="0" borderId="0"/>
    <xf numFmtId="49" fontId="14" fillId="0" borderId="0" applyFill="0" applyBorder="0" applyAlignment="0"/>
    <xf numFmtId="313" fontId="77" fillId="0" borderId="0" applyFill="0" applyBorder="0" applyAlignment="0"/>
    <xf numFmtId="314" fontId="75" fillId="0" borderId="0" applyFill="0" applyBorder="0" applyAlignment="0"/>
    <xf numFmtId="314" fontId="75" fillId="0" borderId="0" applyFill="0" applyBorder="0" applyAlignment="0"/>
    <xf numFmtId="0" fontId="9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5" fontId="77" fillId="0" borderId="0" applyFill="0" applyBorder="0" applyAlignment="0"/>
    <xf numFmtId="316" fontId="75" fillId="0" borderId="0" applyFill="0" applyBorder="0" applyAlignment="0"/>
    <xf numFmtId="316" fontId="75" fillId="0" borderId="0" applyFill="0" applyBorder="0" applyAlignment="0"/>
    <xf numFmtId="0" fontId="11"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0" fontId="42" fillId="0" borderId="0"/>
    <xf numFmtId="166" fontId="168" fillId="0" borderId="0" applyNumberFormat="0" applyFill="0" applyBorder="0" applyAlignment="0" applyProtection="0"/>
    <xf numFmtId="166" fontId="168" fillId="0" borderId="0" applyNumberFormat="0" applyFill="0" applyBorder="0" applyAlignment="0" applyProtection="0"/>
    <xf numFmtId="0" fontId="206" fillId="0" borderId="0" applyFill="0" applyBorder="0" applyProtection="0">
      <alignment horizontal="left" vertical="top"/>
    </xf>
    <xf numFmtId="0" fontId="45" fillId="0" borderId="0" applyNumberFormat="0" applyFill="0" applyBorder="0" applyAlignment="0" applyProtection="0"/>
    <xf numFmtId="0" fontId="22" fillId="0" borderId="0" applyNumberFormat="0" applyFill="0" applyBorder="0" applyAlignment="0" applyProtection="0"/>
    <xf numFmtId="197" fontId="207" fillId="0" borderId="0"/>
    <xf numFmtId="0" fontId="208" fillId="0" borderId="0" applyNumberFormat="0" applyFill="0" applyBorder="0" applyAlignment="0" applyProtection="0"/>
    <xf numFmtId="0" fontId="209" fillId="0" borderId="0" applyNumberFormat="0" applyFill="0" applyBorder="0" applyAlignment="0" applyProtection="0"/>
    <xf numFmtId="251" fontId="136" fillId="0" borderId="0"/>
    <xf numFmtId="3" fontId="210" fillId="0" borderId="0"/>
    <xf numFmtId="251" fontId="211" fillId="0" borderId="15" applyNumberFormat="0" applyBorder="0">
      <alignment vertical="center"/>
    </xf>
    <xf numFmtId="251" fontId="212" fillId="0" borderId="43" applyNumberFormat="0" applyBorder="0"/>
    <xf numFmtId="0" fontId="136" fillId="0" borderId="0" applyNumberFormat="0" applyFill="0" applyBorder="0" applyAlignment="0" applyProtection="0"/>
    <xf numFmtId="0" fontId="204" fillId="0" borderId="0"/>
    <xf numFmtId="0" fontId="203" fillId="0" borderId="0"/>
    <xf numFmtId="0" fontId="136" fillId="0" borderId="27">
      <alignment horizontal="center" wrapText="1"/>
    </xf>
    <xf numFmtId="6" fontId="66" fillId="0" borderId="44" applyNumberFormat="0" applyFont="0" applyFill="0" applyAlignment="0" applyProtection="0"/>
    <xf numFmtId="37" fontId="141" fillId="0" borderId="2" applyNumberFormat="0" applyFont="0" applyFill="0" applyAlignment="0"/>
    <xf numFmtId="0" fontId="213" fillId="0" borderId="45" applyNumberForma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253" fontId="215" fillId="0" borderId="0" applyFill="0" applyBorder="0" applyProtection="0"/>
    <xf numFmtId="251" fontId="83" fillId="0" borderId="2"/>
    <xf numFmtId="251" fontId="83" fillId="0" borderId="0"/>
    <xf numFmtId="251" fontId="62" fillId="0" borderId="2"/>
    <xf numFmtId="317" fontId="215" fillId="0" borderId="0" applyFill="0" applyBorder="0" applyProtection="0"/>
    <xf numFmtId="38" fontId="11" fillId="0" borderId="44"/>
    <xf numFmtId="3" fontId="136" fillId="0" borderId="4" applyNumberFormat="0"/>
    <xf numFmtId="0" fontId="59" fillId="0" borderId="47"/>
    <xf numFmtId="260" fontId="11" fillId="0" borderId="25" applyFill="0" applyBorder="0" applyProtection="0">
      <alignment vertical="center"/>
    </xf>
    <xf numFmtId="0" fontId="45" fillId="43" borderId="0" applyNumberFormat="0" applyFont="0" applyBorder="0" applyAlignment="0"/>
    <xf numFmtId="197" fontId="216" fillId="0" borderId="0">
      <alignment horizontal="left"/>
      <protection locked="0"/>
    </xf>
    <xf numFmtId="0" fontId="217" fillId="0" borderId="0"/>
    <xf numFmtId="0" fontId="218" fillId="0" borderId="0">
      <alignment horizontal="fill"/>
    </xf>
    <xf numFmtId="37" fontId="219" fillId="52" borderId="0"/>
    <xf numFmtId="37" fontId="220" fillId="33" borderId="0"/>
    <xf numFmtId="0" fontId="221" fillId="4" borderId="0">
      <alignment horizontal="center"/>
    </xf>
    <xf numFmtId="0" fontId="221" fillId="4" borderId="0">
      <alignment horizontal="center"/>
    </xf>
    <xf numFmtId="318" fontId="62" fillId="35" borderId="48" applyFill="0" applyBorder="0" applyAlignment="0" applyProtection="0">
      <alignment horizontal="right"/>
      <protection locked="0"/>
    </xf>
    <xf numFmtId="319" fontId="11" fillId="0" borderId="0" applyFont="0" applyFill="0" applyBorder="0" applyAlignment="0" applyProtection="0"/>
    <xf numFmtId="320" fontId="11" fillId="0" borderId="0" applyFont="0" applyFill="0" applyBorder="0" applyAlignment="0" applyProtection="0"/>
    <xf numFmtId="0" fontId="222" fillId="0" borderId="0" applyNumberFormat="0" applyFill="0" applyBorder="0" applyAlignment="0" applyProtection="0"/>
    <xf numFmtId="321" fontId="11" fillId="0" borderId="0"/>
    <xf numFmtId="37" fontId="151" fillId="0" borderId="0"/>
    <xf numFmtId="0" fontId="11" fillId="0" borderId="0">
      <alignment wrapText="1"/>
    </xf>
    <xf numFmtId="322" fontId="13" fillId="0" borderId="0"/>
    <xf numFmtId="323" fontId="45" fillId="0" borderId="0"/>
    <xf numFmtId="324" fontId="194" fillId="0" borderId="4" applyBorder="0" applyProtection="0">
      <alignment horizontal="right"/>
    </xf>
    <xf numFmtId="325" fontId="15" fillId="0" borderId="0" applyFont="0" applyFill="0" applyBorder="0" applyAlignment="0" applyProtection="0"/>
    <xf numFmtId="0" fontId="223" fillId="0" borderId="0" applyNumberFormat="0" applyFill="0" applyBorder="0" applyAlignment="0" applyProtection="0">
      <alignment vertical="top"/>
      <protection locked="0"/>
    </xf>
    <xf numFmtId="0" fontId="224" fillId="0" borderId="0"/>
    <xf numFmtId="0" fontId="225" fillId="0" borderId="0" applyNumberFormat="0" applyFill="0" applyBorder="0" applyAlignment="0" applyProtection="0">
      <alignment vertical="top"/>
      <protection locked="0"/>
    </xf>
    <xf numFmtId="0" fontId="11" fillId="0" borderId="0"/>
    <xf numFmtId="0" fontId="226" fillId="0" borderId="0"/>
    <xf numFmtId="0" fontId="227" fillId="2" borderId="0" applyNumberFormat="0" applyBorder="0" applyAlignment="0" applyProtection="0">
      <alignment vertical="center"/>
    </xf>
    <xf numFmtId="0" fontId="53" fillId="15" borderId="13" applyNumberFormat="0" applyFont="0" applyAlignment="0" applyProtection="0">
      <alignment vertical="center"/>
    </xf>
    <xf numFmtId="187" fontId="228" fillId="0" borderId="0" applyFont="0" applyFill="0" applyBorder="0" applyAlignment="0" applyProtection="0"/>
    <xf numFmtId="326" fontId="229" fillId="0" borderId="0" applyFont="0" applyFill="0" applyBorder="0" applyAlignment="0" applyProtection="0"/>
    <xf numFmtId="267" fontId="229" fillId="0" borderId="0" applyFont="0" applyFill="0" applyBorder="0" applyAlignment="0" applyProtection="0"/>
    <xf numFmtId="0" fontId="230" fillId="0" borderId="45" applyNumberFormat="0" applyFill="0" applyAlignment="0" applyProtection="0">
      <alignment vertical="center"/>
    </xf>
    <xf numFmtId="0" fontId="231" fillId="18" borderId="0" applyNumberFormat="0" applyBorder="0" applyAlignment="0" applyProtection="0">
      <alignment vertical="center"/>
    </xf>
    <xf numFmtId="0" fontId="232" fillId="19" borderId="0" applyNumberFormat="0" applyBorder="0" applyAlignment="0" applyProtection="0">
      <alignment vertical="center"/>
    </xf>
    <xf numFmtId="166" fontId="11" fillId="0" borderId="0"/>
    <xf numFmtId="43" fontId="11" fillId="0" borderId="0" applyFont="0" applyFill="0" applyBorder="0" applyAlignment="0" applyProtection="0"/>
    <xf numFmtId="326" fontId="233" fillId="0" borderId="0" applyFont="0" applyFill="0" applyBorder="0" applyAlignment="0" applyProtection="0"/>
    <xf numFmtId="0" fontId="11" fillId="0" borderId="0"/>
    <xf numFmtId="0" fontId="234" fillId="0" borderId="0" applyNumberFormat="0" applyFill="0" applyBorder="0" applyAlignment="0" applyProtection="0">
      <alignment vertical="center"/>
    </xf>
    <xf numFmtId="0" fontId="235" fillId="0" borderId="29" applyNumberFormat="0" applyFill="0" applyAlignment="0" applyProtection="0">
      <alignment vertical="center"/>
    </xf>
    <xf numFmtId="0" fontId="236" fillId="0" borderId="31" applyNumberFormat="0" applyFill="0" applyAlignment="0" applyProtection="0">
      <alignment vertical="center"/>
    </xf>
    <xf numFmtId="0" fontId="237" fillId="0" borderId="32" applyNumberFormat="0" applyFill="0" applyAlignment="0" applyProtection="0">
      <alignment vertical="center"/>
    </xf>
    <xf numFmtId="0" fontId="237" fillId="0" borderId="0" applyNumberFormat="0" applyFill="0" applyBorder="0" applyAlignment="0" applyProtection="0">
      <alignment vertical="center"/>
    </xf>
    <xf numFmtId="0" fontId="238" fillId="29" borderId="17" applyNumberFormat="0" applyAlignment="0" applyProtection="0">
      <alignment vertical="center"/>
    </xf>
    <xf numFmtId="0" fontId="239" fillId="0" borderId="0" applyNumberFormat="0" applyFill="0" applyBorder="0" applyAlignment="0" applyProtection="0">
      <alignment vertical="top"/>
      <protection locked="0"/>
    </xf>
    <xf numFmtId="0" fontId="240" fillId="16" borderId="8" applyNumberFormat="0" applyAlignment="0" applyProtection="0">
      <alignment vertical="center"/>
    </xf>
    <xf numFmtId="0" fontId="241" fillId="0" borderId="0" applyNumberFormat="0" applyFill="0" applyBorder="0" applyAlignment="0" applyProtection="0">
      <alignment vertical="center"/>
    </xf>
    <xf numFmtId="0" fontId="242" fillId="0" borderId="0" applyNumberFormat="0" applyFill="0" applyBorder="0" applyAlignment="0" applyProtection="0">
      <alignment vertical="center"/>
    </xf>
    <xf numFmtId="327" fontId="229" fillId="0" borderId="0" applyFont="0" applyFill="0" applyBorder="0" applyAlignment="0" applyProtection="0"/>
    <xf numFmtId="275" fontId="229" fillId="0" borderId="0" applyFont="0" applyFill="0" applyBorder="0" applyAlignment="0" applyProtection="0"/>
    <xf numFmtId="0" fontId="57" fillId="26" borderId="0" applyNumberFormat="0" applyBorder="0" applyAlignment="0" applyProtection="0">
      <alignment vertical="center"/>
    </xf>
    <xf numFmtId="0" fontId="57" fillId="11" borderId="0" applyNumberFormat="0" applyBorder="0" applyAlignment="0" applyProtection="0">
      <alignment vertical="center"/>
    </xf>
    <xf numFmtId="0" fontId="57" fillId="27" borderId="0" applyNumberFormat="0" applyBorder="0" applyAlignment="0" applyProtection="0">
      <alignment vertical="center"/>
    </xf>
    <xf numFmtId="0" fontId="57" fillId="24" borderId="0" applyNumberFormat="0" applyBorder="0" applyAlignment="0" applyProtection="0">
      <alignment vertical="center"/>
    </xf>
    <xf numFmtId="0" fontId="57" fillId="10" borderId="0" applyNumberFormat="0" applyBorder="0" applyAlignment="0" applyProtection="0">
      <alignment vertical="center"/>
    </xf>
    <xf numFmtId="0" fontId="57" fillId="7" borderId="0" applyNumberFormat="0" applyBorder="0" applyAlignment="0" applyProtection="0">
      <alignment vertical="center"/>
    </xf>
    <xf numFmtId="0" fontId="243" fillId="21" borderId="8" applyNumberFormat="0" applyAlignment="0" applyProtection="0">
      <alignment vertical="center"/>
    </xf>
    <xf numFmtId="0" fontId="244" fillId="16" borderId="9" applyNumberFormat="0" applyAlignment="0" applyProtection="0">
      <alignment vertical="center"/>
    </xf>
    <xf numFmtId="328" fontId="233" fillId="0" borderId="0" applyFont="0" applyFill="0" applyBorder="0" applyAlignment="0" applyProtection="0"/>
    <xf numFmtId="329" fontId="233" fillId="0" borderId="0" applyFont="0" applyFill="0" applyBorder="0" applyAlignment="0" applyProtection="0"/>
    <xf numFmtId="0" fontId="245" fillId="0" borderId="35" applyNumberFormat="0" applyFill="0" applyAlignment="0" applyProtection="0">
      <alignment vertical="center"/>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250" fillId="0" borderId="0" applyNumberForma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4"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cellStyleXfs>
  <cellXfs count="2240">
    <xf numFmtId="0" fontId="0" fillId="0" borderId="0" xfId="0"/>
    <xf numFmtId="0" fontId="18"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9" fillId="0" borderId="0" xfId="11"/>
    <xf numFmtId="0" fontId="0" fillId="0" borderId="38" xfId="0" applyBorder="1"/>
    <xf numFmtId="0" fontId="9" fillId="0" borderId="38" xfId="11" applyBorder="1"/>
    <xf numFmtId="0" fontId="0" fillId="0" borderId="3" xfId="0" applyBorder="1"/>
    <xf numFmtId="0" fontId="0" fillId="0" borderId="4" xfId="0" applyBorder="1" applyAlignment="1">
      <alignment horizontal="right"/>
    </xf>
    <xf numFmtId="190" fontId="0" fillId="0" borderId="0" xfId="0" applyNumberFormat="1"/>
    <xf numFmtId="164" fontId="247" fillId="0" borderId="0" xfId="1" applyNumberFormat="1" applyFont="1"/>
    <xf numFmtId="0" fontId="247" fillId="0" borderId="0" xfId="0" applyFont="1"/>
    <xf numFmtId="0" fontId="248" fillId="0" borderId="0" xfId="11" applyFont="1"/>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7"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251" fillId="0" borderId="0" xfId="0" applyFont="1"/>
    <xf numFmtId="190" fontId="0" fillId="0" borderId="0" xfId="2" applyNumberFormat="1" applyFont="1"/>
    <xf numFmtId="330" fontId="0" fillId="0" borderId="0" xfId="1" applyNumberFormat="1" applyFont="1"/>
    <xf numFmtId="0" fontId="0" fillId="54" borderId="0" xfId="0" applyFill="1"/>
    <xf numFmtId="0" fontId="253" fillId="0" borderId="0" xfId="0" applyFont="1"/>
    <xf numFmtId="0" fontId="255" fillId="0" borderId="0" xfId="0" applyFont="1"/>
    <xf numFmtId="0" fontId="0" fillId="0" borderId="0" xfId="0" applyAlignment="1">
      <alignment horizontal="left"/>
    </xf>
    <xf numFmtId="0" fontId="256" fillId="0" borderId="0" xfId="0" applyFont="1"/>
    <xf numFmtId="0" fontId="17" fillId="0" borderId="0" xfId="0" applyFont="1"/>
    <xf numFmtId="0" fontId="255" fillId="0" borderId="0" xfId="0" applyFont="1" applyAlignment="1">
      <alignment horizontal="left" indent="1"/>
    </xf>
    <xf numFmtId="0" fontId="246" fillId="54" borderId="0" xfId="0" applyFont="1" applyFill="1"/>
    <xf numFmtId="0" fontId="0" fillId="54" borderId="38" xfId="0" applyFill="1" applyBorder="1"/>
    <xf numFmtId="164" fontId="257" fillId="0" borderId="0" xfId="1" applyNumberFormat="1" applyFont="1" applyFill="1"/>
    <xf numFmtId="0" fontId="0" fillId="0" borderId="2" xfId="0" applyBorder="1"/>
    <xf numFmtId="0" fontId="0" fillId="0" borderId="30" xfId="0"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5" fontId="0" fillId="0" borderId="0" xfId="0" applyNumberFormat="1"/>
    <xf numFmtId="190" fontId="248" fillId="0" borderId="0" xfId="2" applyNumberFormat="1" applyFont="1"/>
    <xf numFmtId="164" fontId="247" fillId="0" borderId="0" xfId="0" applyNumberFormat="1" applyFont="1"/>
    <xf numFmtId="0" fontId="18" fillId="54" borderId="0" xfId="0" applyFont="1" applyFill="1" applyAlignment="1">
      <alignment horizontal="left" vertical="center"/>
    </xf>
    <xf numFmtId="164" fontId="0" fillId="0" borderId="0" xfId="4340" applyNumberFormat="1" applyFont="1"/>
    <xf numFmtId="0" fontId="258" fillId="0" borderId="0" xfId="0" applyFont="1" applyAlignment="1">
      <alignment horizontal="right"/>
    </xf>
    <xf numFmtId="0" fontId="0" fillId="12" borderId="0" xfId="0" applyFill="1"/>
    <xf numFmtId="0" fontId="81" fillId="12" borderId="0" xfId="0" applyFont="1" applyFill="1"/>
    <xf numFmtId="0" fontId="251" fillId="12" borderId="0" xfId="0" applyFont="1" applyFill="1"/>
    <xf numFmtId="0" fontId="247" fillId="12" borderId="0" xfId="0" applyFont="1" applyFill="1"/>
    <xf numFmtId="0" fontId="0" fillId="12" borderId="59" xfId="0" applyFill="1" applyBorder="1" applyAlignment="1">
      <alignment horizontal="center"/>
    </xf>
    <xf numFmtId="9" fontId="0" fillId="12" borderId="59" xfId="0" applyNumberFormat="1" applyFill="1" applyBorder="1" applyAlignment="1">
      <alignment horizontal="center"/>
    </xf>
    <xf numFmtId="0" fontId="0" fillId="12" borderId="59" xfId="0" applyFill="1" applyBorder="1" applyAlignment="1">
      <alignment horizontal="left"/>
    </xf>
    <xf numFmtId="1" fontId="0" fillId="0" borderId="59" xfId="0" applyNumberFormat="1" applyBorder="1" applyAlignment="1">
      <alignment horizontal="left"/>
    </xf>
    <xf numFmtId="1" fontId="11" fillId="0" borderId="59" xfId="0" applyNumberFormat="1" applyFont="1" applyBorder="1" applyAlignment="1">
      <alignment horizontal="left"/>
    </xf>
    <xf numFmtId="0" fontId="11" fillId="12" borderId="59" xfId="0" applyFont="1" applyFill="1" applyBorder="1" applyAlignment="1">
      <alignment horizontal="left"/>
    </xf>
    <xf numFmtId="0" fontId="0" fillId="0" borderId="59" xfId="0" applyBorder="1"/>
    <xf numFmtId="0" fontId="14" fillId="0" borderId="0" xfId="4341" applyAlignment="1">
      <alignment wrapText="1"/>
    </xf>
    <xf numFmtId="0" fontId="11" fillId="0" borderId="59" xfId="0" applyFont="1" applyBorder="1"/>
    <xf numFmtId="1" fontId="11" fillId="0" borderId="0" xfId="0" applyNumberFormat="1" applyFont="1" applyAlignment="1">
      <alignment horizontal="left"/>
    </xf>
    <xf numFmtId="0" fontId="0" fillId="0" borderId="0" xfId="0" applyAlignment="1" applyProtection="1">
      <alignment readingOrder="1"/>
      <protection locked="0"/>
    </xf>
    <xf numFmtId="0" fontId="0" fillId="57" borderId="59" xfId="0" applyFill="1" applyBorder="1" applyAlignment="1">
      <alignment horizontal="center" vertical="center"/>
    </xf>
    <xf numFmtId="0" fontId="0" fillId="57" borderId="63" xfId="0" applyFill="1" applyBorder="1" applyAlignment="1">
      <alignment horizontal="center" vertical="center"/>
    </xf>
    <xf numFmtId="331" fontId="0" fillId="0" borderId="59" xfId="4339" applyNumberFormat="1" applyFont="1" applyFill="1" applyBorder="1" applyAlignment="1"/>
    <xf numFmtId="9" fontId="0" fillId="0" borderId="0" xfId="4342" applyFont="1"/>
    <xf numFmtId="9" fontId="0" fillId="0" borderId="59" xfId="3458" applyFont="1" applyFill="1" applyBorder="1" applyAlignment="1"/>
    <xf numFmtId="0" fontId="81" fillId="0" borderId="0" xfId="0" applyFont="1" applyAlignment="1" applyProtection="1">
      <alignment readingOrder="1"/>
      <protection locked="0"/>
    </xf>
    <xf numFmtId="0" fontId="0" fillId="12" borderId="0" xfId="0" applyFill="1" applyAlignment="1" applyProtection="1">
      <alignment horizontal="left" readingOrder="1"/>
      <protection locked="0"/>
    </xf>
    <xf numFmtId="190" fontId="0" fillId="12" borderId="0" xfId="3458" applyNumberFormat="1" applyFont="1" applyFill="1" applyBorder="1" applyAlignment="1">
      <alignment horizontal="right"/>
    </xf>
    <xf numFmtId="0" fontId="18" fillId="60" borderId="67" xfId="0" applyFont="1" applyFill="1" applyBorder="1" applyAlignment="1" applyProtection="1">
      <alignment horizontal="center"/>
      <protection locked="0"/>
    </xf>
    <xf numFmtId="0" fontId="18" fillId="60" borderId="68" xfId="0" applyFont="1" applyFill="1" applyBorder="1" applyAlignment="1" applyProtection="1">
      <alignment horizontal="center"/>
      <protection locked="0"/>
    </xf>
    <xf numFmtId="37" fontId="0" fillId="12" borderId="30" xfId="0" applyNumberFormat="1" applyFill="1" applyBorder="1"/>
    <xf numFmtId="37" fontId="0" fillId="12" borderId="61" xfId="0" applyNumberFormat="1" applyFill="1" applyBorder="1" applyAlignment="1">
      <alignment horizontal="right"/>
    </xf>
    <xf numFmtId="0" fontId="18" fillId="60" borderId="69" xfId="0" applyFont="1" applyFill="1" applyBorder="1" applyAlignment="1" applyProtection="1">
      <alignment horizontal="center"/>
      <protection locked="0"/>
    </xf>
    <xf numFmtId="330" fontId="0" fillId="12" borderId="54" xfId="4" applyNumberFormat="1" applyFont="1" applyFill="1" applyBorder="1"/>
    <xf numFmtId="330" fontId="0" fillId="12" borderId="30" xfId="4" applyNumberFormat="1" applyFont="1" applyFill="1" applyBorder="1"/>
    <xf numFmtId="43" fontId="0" fillId="0" borderId="0" xfId="4339" applyFont="1"/>
    <xf numFmtId="9" fontId="0" fillId="0" borderId="0" xfId="3458" applyFont="1" applyBorder="1"/>
    <xf numFmtId="331" fontId="0" fillId="12" borderId="54" xfId="0" applyNumberFormat="1" applyFill="1" applyBorder="1"/>
    <xf numFmtId="331" fontId="0" fillId="0" borderId="54" xfId="0" applyNumberFormat="1" applyBorder="1"/>
    <xf numFmtId="37" fontId="0" fillId="0" borderId="63" xfId="0" applyNumberFormat="1" applyBorder="1" applyAlignment="1">
      <alignment horizontal="right"/>
    </xf>
    <xf numFmtId="9" fontId="0" fillId="0" borderId="0" xfId="3458" applyFont="1" applyFill="1"/>
    <xf numFmtId="3" fontId="0" fillId="0" borderId="54" xfId="0" applyNumberFormat="1" applyBorder="1"/>
    <xf numFmtId="3" fontId="0" fillId="0" borderId="59" xfId="0" applyNumberFormat="1" applyBorder="1"/>
    <xf numFmtId="331" fontId="11" fillId="0" borderId="61" xfId="4339" applyNumberFormat="1" applyFont="1" applyFill="1" applyBorder="1" applyAlignment="1">
      <alignment horizontal="right" vertical="center"/>
    </xf>
    <xf numFmtId="37" fontId="0" fillId="12" borderId="61" xfId="0" applyNumberFormat="1" applyFill="1" applyBorder="1"/>
    <xf numFmtId="37" fontId="11" fillId="0" borderId="61" xfId="0" applyNumberFormat="1" applyFont="1" applyBorder="1" applyAlignment="1">
      <alignment horizontal="right" vertical="center"/>
    </xf>
    <xf numFmtId="332" fontId="11" fillId="0" borderId="59" xfId="0" applyNumberFormat="1" applyFont="1" applyBorder="1" applyAlignment="1">
      <alignment horizontal="center" vertical="center"/>
    </xf>
    <xf numFmtId="37" fontId="0" fillId="12" borderId="59" xfId="0" applyNumberFormat="1" applyFill="1" applyBorder="1"/>
    <xf numFmtId="330" fontId="0" fillId="0" borderId="59" xfId="4" applyNumberFormat="1" applyFont="1" applyFill="1" applyBorder="1"/>
    <xf numFmtId="0" fontId="18" fillId="60" borderId="77" xfId="0" applyFont="1" applyFill="1" applyBorder="1" applyAlignment="1" applyProtection="1">
      <alignment horizontal="center"/>
      <protection locked="0"/>
    </xf>
    <xf numFmtId="0" fontId="257" fillId="0" borderId="30" xfId="0" applyFont="1" applyBorder="1" applyAlignment="1" applyProtection="1">
      <alignment horizontal="center"/>
      <protection locked="0"/>
    </xf>
    <xf numFmtId="331" fontId="11" fillId="0" borderId="59" xfId="0" applyNumberFormat="1" applyFont="1" applyBorder="1" applyAlignment="1">
      <alignment horizontal="right"/>
    </xf>
    <xf numFmtId="331" fontId="0" fillId="0" borderId="59" xfId="4339" applyNumberFormat="1" applyFont="1" applyFill="1" applyBorder="1"/>
    <xf numFmtId="164" fontId="0" fillId="0" borderId="59" xfId="4" applyNumberFormat="1" applyFont="1" applyFill="1" applyBorder="1"/>
    <xf numFmtId="331" fontId="0" fillId="0" borderId="68" xfId="4339" applyNumberFormat="1" applyFont="1" applyFill="1" applyBorder="1"/>
    <xf numFmtId="331" fontId="0" fillId="0" borderId="75" xfId="4339" applyNumberFormat="1" applyFont="1" applyFill="1" applyBorder="1"/>
    <xf numFmtId="164" fontId="0" fillId="0" borderId="68" xfId="4" applyNumberFormat="1" applyFont="1" applyFill="1" applyBorder="1"/>
    <xf numFmtId="164" fontId="0" fillId="0" borderId="67" xfId="4" applyNumberFormat="1" applyFont="1" applyFill="1" applyBorder="1"/>
    <xf numFmtId="164" fontId="0" fillId="0" borderId="69" xfId="4" applyNumberFormat="1" applyFont="1" applyFill="1" applyBorder="1"/>
    <xf numFmtId="331" fontId="11" fillId="0" borderId="21" xfId="0" applyNumberFormat="1" applyFont="1" applyBorder="1" applyAlignment="1">
      <alignment horizontal="right"/>
    </xf>
    <xf numFmtId="331" fontId="0" fillId="0" borderId="21" xfId="4339" applyNumberFormat="1" applyFont="1" applyFill="1" applyBorder="1"/>
    <xf numFmtId="331" fontId="0" fillId="0" borderId="64" xfId="4339" applyNumberFormat="1" applyFont="1" applyFill="1" applyBorder="1"/>
    <xf numFmtId="331" fontId="11" fillId="0" borderId="88" xfId="4339" applyNumberFormat="1" applyFont="1" applyFill="1" applyBorder="1"/>
    <xf numFmtId="0" fontId="0" fillId="0" borderId="94" xfId="0" applyBorder="1" applyAlignment="1" applyProtection="1">
      <alignment horizontal="center"/>
      <protection locked="0"/>
    </xf>
    <xf numFmtId="0" fontId="0" fillId="0" borderId="63" xfId="0"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0" fillId="0" borderId="30" xfId="0" applyBorder="1" applyAlignment="1" applyProtection="1">
      <alignment horizontal="center"/>
      <protection locked="0"/>
    </xf>
    <xf numFmtId="0" fontId="11" fillId="0" borderId="93" xfId="0" applyFont="1" applyBorder="1" applyAlignment="1">
      <alignment horizontal="center" vertical="center" wrapText="1"/>
    </xf>
    <xf numFmtId="0" fontId="11" fillId="0" borderId="64" xfId="0" applyFont="1" applyBorder="1" applyAlignment="1">
      <alignment horizontal="center" vertical="center"/>
    </xf>
    <xf numFmtId="331" fontId="11" fillId="0" borderId="54" xfId="0" applyNumberFormat="1" applyFont="1" applyBorder="1" applyAlignment="1">
      <alignment horizontal="right"/>
    </xf>
    <xf numFmtId="0" fontId="0" fillId="0" borderId="74" xfId="0" applyBorder="1"/>
    <xf numFmtId="331" fontId="0" fillId="0" borderId="68" xfId="4339" applyNumberFormat="1" applyFont="1" applyBorder="1"/>
    <xf numFmtId="0" fontId="0" fillId="0" borderId="95" xfId="0" applyBorder="1" applyAlignment="1">
      <alignment horizontal="center" vertical="center"/>
    </xf>
    <xf numFmtId="331" fontId="0" fillId="0" borderId="63" xfId="0" applyNumberFormat="1" applyBorder="1" applyAlignment="1">
      <alignment horizontal="right"/>
    </xf>
    <xf numFmtId="331" fontId="0" fillId="0" borderId="59" xfId="0" applyNumberFormat="1" applyBorder="1" applyAlignment="1">
      <alignment horizontal="right"/>
    </xf>
    <xf numFmtId="331" fontId="0" fillId="0" borderId="90" xfId="0" applyNumberFormat="1" applyBorder="1" applyAlignment="1">
      <alignment horizontal="right"/>
    </xf>
    <xf numFmtId="164" fontId="0" fillId="0" borderId="63" xfId="4" applyNumberFormat="1" applyFont="1" applyFill="1" applyBorder="1" applyAlignment="1">
      <alignment horizontal="right"/>
    </xf>
    <xf numFmtId="164" fontId="0" fillId="0" borderId="59" xfId="4" applyNumberFormat="1" applyFont="1" applyFill="1" applyBorder="1" applyAlignment="1">
      <alignment horizontal="right"/>
    </xf>
    <xf numFmtId="164" fontId="11" fillId="0" borderId="59" xfId="4" applyNumberFormat="1" applyFont="1" applyFill="1" applyBorder="1" applyAlignment="1">
      <alignment horizontal="right"/>
    </xf>
    <xf numFmtId="164" fontId="11" fillId="0" borderId="90" xfId="4" applyNumberFormat="1" applyFont="1" applyFill="1" applyBorder="1" applyAlignment="1">
      <alignment horizontal="right"/>
    </xf>
    <xf numFmtId="0" fontId="0" fillId="0" borderId="59" xfId="0" applyBorder="1" applyAlignment="1">
      <alignment horizontal="center" vertical="center"/>
    </xf>
    <xf numFmtId="0" fontId="0" fillId="0" borderId="90" xfId="0" applyBorder="1" applyAlignment="1">
      <alignment horizontal="center" vertical="center"/>
    </xf>
    <xf numFmtId="331" fontId="0" fillId="0" borderId="63" xfId="0" applyNumberFormat="1" applyBorder="1" applyAlignment="1">
      <alignment horizontal="right" vertical="center"/>
    </xf>
    <xf numFmtId="331" fontId="0" fillId="0" borderId="59" xfId="0" applyNumberFormat="1" applyBorder="1" applyAlignment="1">
      <alignment horizontal="right" vertical="center"/>
    </xf>
    <xf numFmtId="164" fontId="0" fillId="0" borderId="63" xfId="4" applyNumberFormat="1" applyFont="1" applyFill="1" applyBorder="1" applyAlignment="1">
      <alignment horizontal="right" vertical="center"/>
    </xf>
    <xf numFmtId="164" fontId="0" fillId="0" borderId="59" xfId="4" applyNumberFormat="1" applyFont="1" applyFill="1" applyBorder="1" applyAlignment="1">
      <alignment horizontal="right" vertical="center"/>
    </xf>
    <xf numFmtId="0" fontId="0" fillId="0" borderId="21" xfId="0" applyBorder="1" applyAlignment="1">
      <alignment horizontal="center" vertical="center"/>
    </xf>
    <xf numFmtId="0" fontId="0" fillId="0" borderId="55" xfId="0" applyBorder="1" applyAlignment="1">
      <alignment horizontal="center" vertical="center" wrapText="1"/>
    </xf>
    <xf numFmtId="331" fontId="11" fillId="0" borderId="59" xfId="4339" applyNumberFormat="1" applyFont="1" applyFill="1" applyBorder="1"/>
    <xf numFmtId="331" fontId="0" fillId="0" borderId="90" xfId="0" applyNumberFormat="1" applyBorder="1" applyAlignment="1">
      <alignment horizontal="right" vertical="center"/>
    </xf>
    <xf numFmtId="164" fontId="11" fillId="0" borderId="59" xfId="4" applyNumberFormat="1" applyFont="1" applyFill="1" applyBorder="1" applyAlignment="1">
      <alignment horizontal="right" vertical="center"/>
    </xf>
    <xf numFmtId="164" fontId="11" fillId="0" borderId="90" xfId="4" applyNumberFormat="1" applyFont="1" applyFill="1" applyBorder="1" applyAlignment="1">
      <alignment horizontal="right" vertical="center"/>
    </xf>
    <xf numFmtId="0" fontId="11" fillId="0" borderId="90" xfId="0" applyFont="1" applyBorder="1" applyAlignment="1">
      <alignment horizontal="center" vertical="center" wrapText="1"/>
    </xf>
    <xf numFmtId="331" fontId="0" fillId="0" borderId="86" xfId="0" applyNumberFormat="1" applyBorder="1" applyAlignment="1">
      <alignment horizontal="right" vertical="center"/>
    </xf>
    <xf numFmtId="164" fontId="0" fillId="0" borderId="86" xfId="4" applyNumberFormat="1" applyFont="1" applyFill="1" applyBorder="1" applyAlignment="1">
      <alignment horizontal="right" vertical="center"/>
    </xf>
    <xf numFmtId="331" fontId="0" fillId="0" borderId="21" xfId="0" applyNumberFormat="1" applyBorder="1" applyAlignment="1">
      <alignment horizontal="right"/>
    </xf>
    <xf numFmtId="331" fontId="0" fillId="0" borderId="58" xfId="0" applyNumberFormat="1" applyBorder="1" applyAlignment="1">
      <alignment horizontal="right"/>
    </xf>
    <xf numFmtId="164" fontId="0" fillId="0" borderId="21" xfId="4" applyNumberFormat="1" applyFont="1" applyFill="1" applyBorder="1" applyAlignment="1">
      <alignment horizontal="right"/>
    </xf>
    <xf numFmtId="0" fontId="11" fillId="0" borderId="60" xfId="0" applyFont="1" applyBorder="1" applyAlignment="1" applyProtection="1">
      <alignment horizontal="center"/>
      <protection locked="0"/>
    </xf>
    <xf numFmtId="3" fontId="0" fillId="0" borderId="89" xfId="0" applyNumberFormat="1" applyBorder="1"/>
    <xf numFmtId="3" fontId="0" fillId="0" borderId="98" xfId="0" applyNumberFormat="1" applyBorder="1"/>
    <xf numFmtId="3" fontId="0" fillId="0" borderId="97" xfId="0" applyNumberFormat="1" applyBorder="1"/>
    <xf numFmtId="164" fontId="0" fillId="0" borderId="96" xfId="4" applyNumberFormat="1" applyFont="1" applyBorder="1" applyAlignment="1"/>
    <xf numFmtId="164" fontId="0" fillId="0" borderId="98" xfId="4" applyNumberFormat="1" applyFont="1" applyBorder="1" applyAlignment="1"/>
    <xf numFmtId="164" fontId="0" fillId="0" borderId="59" xfId="4" applyNumberFormat="1" applyFont="1" applyBorder="1" applyAlignment="1"/>
    <xf numFmtId="164" fontId="0" fillId="0" borderId="90" xfId="4" applyNumberFormat="1" applyFont="1" applyBorder="1" applyAlignment="1"/>
    <xf numFmtId="164" fontId="0" fillId="0" borderId="80" xfId="0" applyNumberFormat="1" applyBorder="1"/>
    <xf numFmtId="164" fontId="0" fillId="0" borderId="71" xfId="0" applyNumberFormat="1" applyBorder="1"/>
    <xf numFmtId="3" fontId="0" fillId="0" borderId="63" xfId="0" applyNumberFormat="1" applyBorder="1"/>
    <xf numFmtId="3" fontId="0" fillId="0" borderId="53" xfId="0" applyNumberFormat="1" applyBorder="1"/>
    <xf numFmtId="164" fontId="0" fillId="0" borderId="3" xfId="4" applyNumberFormat="1" applyFont="1" applyBorder="1" applyAlignment="1"/>
    <xf numFmtId="164" fontId="0" fillId="0" borderId="58" xfId="4" applyNumberFormat="1" applyFont="1" applyBorder="1" applyAlignment="1"/>
    <xf numFmtId="164" fontId="0" fillId="0" borderId="94" xfId="0" applyNumberFormat="1" applyBorder="1"/>
    <xf numFmtId="164" fontId="0" fillId="0" borderId="64" xfId="0" applyNumberFormat="1" applyBorder="1"/>
    <xf numFmtId="0" fontId="11" fillId="0" borderId="30" xfId="0" applyFont="1" applyBorder="1" applyAlignment="1" applyProtection="1">
      <alignment horizontal="center"/>
      <protection locked="0"/>
    </xf>
    <xf numFmtId="3" fontId="0" fillId="0" borderId="95" xfId="0" applyNumberFormat="1" applyBorder="1"/>
    <xf numFmtId="3" fontId="0" fillId="0" borderId="94" xfId="0" applyNumberFormat="1" applyBorder="1"/>
    <xf numFmtId="164" fontId="0" fillId="0" borderId="61" xfId="4" applyNumberFormat="1" applyFont="1" applyBorder="1" applyAlignment="1"/>
    <xf numFmtId="331" fontId="11" fillId="0" borderId="59" xfId="0" applyNumberFormat="1" applyFont="1" applyBorder="1" applyAlignment="1" applyProtection="1">
      <alignment horizontal="center"/>
      <protection locked="0"/>
    </xf>
    <xf numFmtId="331" fontId="11" fillId="0" borderId="86" xfId="0" applyNumberFormat="1" applyFont="1" applyBorder="1" applyAlignment="1" applyProtection="1">
      <alignment horizontal="center"/>
      <protection locked="0"/>
    </xf>
    <xf numFmtId="164" fontId="0" fillId="0" borderId="67" xfId="0" applyNumberFormat="1" applyBorder="1"/>
    <xf numFmtId="331" fontId="0" fillId="0" borderId="57" xfId="0" applyNumberFormat="1" applyBorder="1" applyAlignment="1">
      <alignment horizontal="right"/>
    </xf>
    <xf numFmtId="331" fontId="0" fillId="0" borderId="89" xfId="0" applyNumberFormat="1" applyBorder="1" applyAlignment="1">
      <alignment horizontal="right"/>
    </xf>
    <xf numFmtId="164" fontId="0" fillId="0" borderId="21" xfId="0" applyNumberFormat="1" applyBorder="1"/>
    <xf numFmtId="331" fontId="0" fillId="0" borderId="87" xfId="0" applyNumberFormat="1" applyBorder="1" applyAlignment="1">
      <alignment horizontal="right"/>
    </xf>
    <xf numFmtId="164" fontId="0" fillId="0" borderId="59" xfId="0" applyNumberFormat="1" applyBorder="1"/>
    <xf numFmtId="164" fontId="0" fillId="0" borderId="61" xfId="4" applyNumberFormat="1" applyFont="1" applyFill="1" applyBorder="1" applyAlignment="1">
      <alignment horizontal="right"/>
    </xf>
    <xf numFmtId="331" fontId="0" fillId="0" borderId="67" xfId="0" applyNumberFormat="1" applyBorder="1" applyAlignment="1">
      <alignment horizontal="right"/>
    </xf>
    <xf numFmtId="331" fontId="0" fillId="0" borderId="68" xfId="0" applyNumberFormat="1" applyBorder="1" applyAlignment="1">
      <alignment horizontal="right"/>
    </xf>
    <xf numFmtId="164" fontId="0" fillId="0" borderId="67" xfId="4" applyNumberFormat="1" applyFont="1" applyFill="1" applyBorder="1" applyAlignment="1">
      <alignment horizontal="right"/>
    </xf>
    <xf numFmtId="164" fontId="0" fillId="0" borderId="68" xfId="4" applyNumberFormat="1" applyFont="1" applyFill="1" applyBorder="1" applyAlignment="1">
      <alignment horizontal="right"/>
    </xf>
    <xf numFmtId="164" fontId="0" fillId="0" borderId="69" xfId="4" applyNumberFormat="1" applyFont="1" applyFill="1" applyBorder="1" applyAlignment="1">
      <alignment horizontal="right"/>
    </xf>
    <xf numFmtId="331" fontId="0" fillId="0" borderId="59" xfId="0" applyNumberFormat="1" applyBorder="1" applyAlignment="1">
      <alignment horizontal="center" vertical="center"/>
    </xf>
    <xf numFmtId="164" fontId="0" fillId="0" borderId="59" xfId="4" applyNumberFormat="1" applyFont="1" applyFill="1" applyBorder="1" applyAlignment="1">
      <alignment horizontal="center" vertical="center"/>
    </xf>
    <xf numFmtId="164" fontId="0" fillId="0" borderId="95" xfId="0" applyNumberFormat="1" applyBorder="1"/>
    <xf numFmtId="0" fontId="0" fillId="0" borderId="59" xfId="0" applyBorder="1" applyAlignment="1">
      <alignment horizontal="center"/>
    </xf>
    <xf numFmtId="331" fontId="162" fillId="0" borderId="0" xfId="4339" applyNumberFormat="1" applyFont="1" applyFill="1" applyBorder="1" applyAlignment="1">
      <alignment horizontal="center"/>
    </xf>
    <xf numFmtId="0" fontId="257" fillId="0" borderId="64" xfId="0" applyFont="1" applyBorder="1" applyAlignment="1">
      <alignment horizontal="center" vertical="center"/>
    </xf>
    <xf numFmtId="0" fontId="257" fillId="0" borderId="84" xfId="0" applyFont="1" applyBorder="1" applyAlignment="1">
      <alignment horizontal="center" vertical="center"/>
    </xf>
    <xf numFmtId="37" fontId="0" fillId="61" borderId="89" xfId="4" applyNumberFormat="1" applyFont="1" applyFill="1" applyBorder="1"/>
    <xf numFmtId="164" fontId="0" fillId="61" borderId="89" xfId="4" applyNumberFormat="1" applyFont="1" applyFill="1" applyBorder="1"/>
    <xf numFmtId="164" fontId="0" fillId="0" borderId="87" xfId="0" applyNumberFormat="1" applyBorder="1"/>
    <xf numFmtId="0" fontId="257" fillId="0" borderId="54" xfId="0" applyFont="1" applyBorder="1" applyAlignment="1">
      <alignment horizontal="center" vertical="center"/>
    </xf>
    <xf numFmtId="0" fontId="257" fillId="0" borderId="0" xfId="0" applyFont="1" applyAlignment="1">
      <alignment horizontal="center" vertical="center"/>
    </xf>
    <xf numFmtId="37" fontId="0" fillId="61" borderId="59" xfId="4" applyNumberFormat="1" applyFont="1" applyFill="1" applyBorder="1"/>
    <xf numFmtId="164" fontId="0" fillId="61" borderId="59" xfId="4" applyNumberFormat="1" applyFont="1" applyFill="1" applyBorder="1"/>
    <xf numFmtId="164" fontId="0" fillId="61" borderId="90" xfId="4" applyNumberFormat="1" applyFont="1" applyFill="1" applyBorder="1"/>
    <xf numFmtId="164" fontId="0" fillId="0" borderId="104" xfId="0" applyNumberFormat="1" applyBorder="1"/>
    <xf numFmtId="331" fontId="0" fillId="61" borderId="64" xfId="4339" applyNumberFormat="1" applyFont="1" applyFill="1" applyBorder="1"/>
    <xf numFmtId="0" fontId="257" fillId="0" borderId="71" xfId="0" applyFont="1" applyBorder="1" applyAlignment="1">
      <alignment horizontal="center" vertical="center"/>
    </xf>
    <xf numFmtId="0" fontId="257" fillId="0" borderId="78" xfId="0" applyFont="1" applyBorder="1" applyAlignment="1">
      <alignment horizontal="center" vertical="center"/>
    </xf>
    <xf numFmtId="331" fontId="0" fillId="61" borderId="89" xfId="4339" applyNumberFormat="1" applyFont="1" applyFill="1" applyBorder="1"/>
    <xf numFmtId="164" fontId="0" fillId="61" borderId="21" xfId="4" applyNumberFormat="1" applyFont="1" applyFill="1" applyBorder="1"/>
    <xf numFmtId="164" fontId="0" fillId="61" borderId="58" xfId="4" applyNumberFormat="1" applyFont="1" applyFill="1" applyBorder="1"/>
    <xf numFmtId="164" fontId="0" fillId="0" borderId="79" xfId="0" applyNumberFormat="1" applyBorder="1"/>
    <xf numFmtId="0" fontId="257" fillId="0" borderId="30" xfId="0" applyFont="1" applyBorder="1" applyAlignment="1">
      <alignment horizontal="center" vertical="center"/>
    </xf>
    <xf numFmtId="331" fontId="0" fillId="61" borderId="59" xfId="4339" applyNumberFormat="1" applyFont="1" applyFill="1" applyBorder="1"/>
    <xf numFmtId="0" fontId="257" fillId="0" borderId="105" xfId="0" applyFont="1" applyBorder="1" applyAlignment="1">
      <alignment horizontal="center" vertical="center"/>
    </xf>
    <xf numFmtId="0" fontId="257" fillId="0" borderId="106" xfId="0" applyFont="1" applyBorder="1" applyAlignment="1">
      <alignment horizontal="center" vertical="center"/>
    </xf>
    <xf numFmtId="164" fontId="0" fillId="0" borderId="86" xfId="0" applyNumberFormat="1" applyBorder="1"/>
    <xf numFmtId="164" fontId="0" fillId="0" borderId="91" xfId="0" applyNumberFormat="1" applyBorder="1"/>
    <xf numFmtId="331" fontId="0" fillId="61" borderId="21" xfId="4339" applyNumberFormat="1" applyFont="1" applyFill="1" applyBorder="1"/>
    <xf numFmtId="164" fontId="0" fillId="61" borderId="53" xfId="4" applyNumberFormat="1" applyFont="1" applyFill="1" applyBorder="1"/>
    <xf numFmtId="164" fontId="0" fillId="0" borderId="38" xfId="0" applyNumberFormat="1" applyBorder="1"/>
    <xf numFmtId="164" fontId="0" fillId="0" borderId="19" xfId="0" applyNumberFormat="1" applyBorder="1"/>
    <xf numFmtId="164" fontId="0" fillId="61" borderId="63" xfId="4" applyNumberFormat="1" applyFont="1" applyFill="1" applyBorder="1"/>
    <xf numFmtId="164" fontId="0" fillId="61" borderId="86" xfId="4" applyNumberFormat="1" applyFont="1" applyFill="1" applyBorder="1"/>
    <xf numFmtId="164" fontId="0" fillId="0" borderId="63" xfId="0" applyNumberFormat="1" applyBorder="1"/>
    <xf numFmtId="164" fontId="0" fillId="0" borderId="88" xfId="0" applyNumberFormat="1" applyBorder="1"/>
    <xf numFmtId="0" fontId="257" fillId="0" borderId="69" xfId="0" applyFont="1" applyBorder="1" applyAlignment="1">
      <alignment horizontal="center" vertical="center"/>
    </xf>
    <xf numFmtId="37" fontId="0" fillId="0" borderId="103" xfId="0" applyNumberFormat="1" applyBorder="1"/>
    <xf numFmtId="164" fontId="0" fillId="61" borderId="68" xfId="4" applyNumberFormat="1" applyFont="1" applyFill="1" applyBorder="1"/>
    <xf numFmtId="164" fontId="0" fillId="61" borderId="69" xfId="4" applyNumberFormat="1" applyFont="1" applyFill="1" applyBorder="1"/>
    <xf numFmtId="164" fontId="0" fillId="61" borderId="76" xfId="4" applyNumberFormat="1" applyFont="1" applyFill="1" applyBorder="1"/>
    <xf numFmtId="0" fontId="16" fillId="0" borderId="0" xfId="0" applyFont="1" applyAlignment="1" applyProtection="1">
      <alignment readingOrder="1"/>
      <protection locked="0"/>
    </xf>
    <xf numFmtId="9" fontId="247" fillId="0" borderId="0" xfId="2" applyFont="1"/>
    <xf numFmtId="9" fontId="0" fillId="0" borderId="0" xfId="2" applyFont="1" applyAlignment="1">
      <alignment horizontal="left"/>
    </xf>
    <xf numFmtId="9" fontId="0" fillId="0" borderId="0" xfId="2" applyFont="1" applyAlignment="1">
      <alignment horizontal="center"/>
    </xf>
    <xf numFmtId="42" fontId="0" fillId="12" borderId="54" xfId="0" applyNumberFormat="1" applyFill="1" applyBorder="1"/>
    <xf numFmtId="190" fontId="247" fillId="0" borderId="0" xfId="2" applyNumberFormat="1" applyFont="1"/>
    <xf numFmtId="0" fontId="0" fillId="0" borderId="0" xfId="0" applyAlignment="1">
      <alignment horizontal="left" indent="1"/>
    </xf>
    <xf numFmtId="0" fontId="259" fillId="12" borderId="0" xfId="0" applyFont="1" applyFill="1"/>
    <xf numFmtId="3" fontId="0" fillId="0" borderId="58" xfId="0" applyNumberFormat="1" applyBorder="1"/>
    <xf numFmtId="3" fontId="0" fillId="0" borderId="69" xfId="0" applyNumberFormat="1" applyBorder="1" applyAlignment="1">
      <alignment horizontal="right" vertical="center"/>
    </xf>
    <xf numFmtId="331" fontId="0" fillId="0" borderId="69" xfId="0" applyNumberFormat="1" applyBorder="1" applyAlignment="1">
      <alignment horizontal="right"/>
    </xf>
    <xf numFmtId="3" fontId="0" fillId="0" borderId="21" xfId="0" applyNumberFormat="1" applyBorder="1" applyAlignment="1">
      <alignment horizontal="right"/>
    </xf>
    <xf numFmtId="3" fontId="0" fillId="0" borderId="59" xfId="0" applyNumberFormat="1" applyBorder="1" applyAlignment="1">
      <alignment horizontal="right"/>
    </xf>
    <xf numFmtId="3" fontId="0" fillId="0" borderId="107" xfId="0" applyNumberFormat="1" applyBorder="1" applyAlignment="1">
      <alignment horizontal="right"/>
    </xf>
    <xf numFmtId="3" fontId="0" fillId="0" borderId="92" xfId="0" applyNumberFormat="1" applyBorder="1" applyAlignment="1">
      <alignment horizontal="right"/>
    </xf>
    <xf numFmtId="164" fontId="0" fillId="0" borderId="38" xfId="4" applyNumberFormat="1" applyFont="1" applyFill="1" applyBorder="1" applyAlignment="1"/>
    <xf numFmtId="164" fontId="0" fillId="0" borderId="63" xfId="4" applyNumberFormat="1" applyFont="1" applyFill="1" applyBorder="1" applyAlignment="1"/>
    <xf numFmtId="37" fontId="0" fillId="0" borderId="82" xfId="0" applyNumberFormat="1" applyBorder="1"/>
    <xf numFmtId="164" fontId="0" fillId="0" borderId="53" xfId="0" applyNumberFormat="1" applyBorder="1"/>
    <xf numFmtId="164" fontId="0" fillId="0" borderId="76" xfId="0" applyNumberFormat="1" applyBorder="1"/>
    <xf numFmtId="164" fontId="0" fillId="0" borderId="68" xfId="0" applyNumberFormat="1" applyBorder="1"/>
    <xf numFmtId="164" fontId="0" fillId="0" borderId="69" xfId="0" applyNumberFormat="1" applyBorder="1"/>
    <xf numFmtId="3" fontId="0" fillId="0" borderId="68" xfId="0" applyNumberFormat="1" applyBorder="1" applyAlignment="1">
      <alignment horizontal="right" vertical="center"/>
    </xf>
    <xf numFmtId="0" fontId="0" fillId="0" borderId="3" xfId="0" applyBorder="1" applyAlignment="1" applyProtection="1">
      <alignment horizontal="center"/>
      <protection locked="0"/>
    </xf>
    <xf numFmtId="37" fontId="0" fillId="12" borderId="59" xfId="0" applyNumberFormat="1" applyFill="1" applyBorder="1" applyAlignment="1">
      <alignment horizontal="right"/>
    </xf>
    <xf numFmtId="164" fontId="0" fillId="12" borderId="59" xfId="4" applyNumberFormat="1" applyFont="1" applyFill="1" applyBorder="1" applyAlignment="1">
      <alignment horizontal="right"/>
    </xf>
    <xf numFmtId="9" fontId="0" fillId="0" borderId="0" xfId="0" applyNumberFormat="1" applyAlignment="1">
      <alignment horizontal="right"/>
    </xf>
    <xf numFmtId="0" fontId="18" fillId="60" borderId="105" xfId="0" applyFont="1" applyFill="1" applyBorder="1" applyAlignment="1" applyProtection="1">
      <alignment horizontal="center"/>
      <protection locked="0"/>
    </xf>
    <xf numFmtId="330" fontId="257" fillId="0" borderId="0" xfId="1" applyNumberFormat="1" applyFont="1" applyFill="1"/>
    <xf numFmtId="331" fontId="11" fillId="0" borderId="86" xfId="4339" applyNumberFormat="1" applyFont="1" applyFill="1" applyBorder="1"/>
    <xf numFmtId="9" fontId="0" fillId="0" borderId="0" xfId="2" applyFont="1" applyFill="1" applyBorder="1"/>
    <xf numFmtId="0" fontId="262" fillId="0" borderId="0" xfId="0" applyFont="1" applyAlignment="1" applyProtection="1">
      <alignment readingOrder="1"/>
      <protection locked="0"/>
    </xf>
    <xf numFmtId="331" fontId="0" fillId="0" borderId="53" xfId="0" applyNumberFormat="1" applyBorder="1" applyAlignment="1">
      <alignment horizontal="right"/>
    </xf>
    <xf numFmtId="38" fontId="18" fillId="55" borderId="76" xfId="0" applyNumberFormat="1" applyFont="1" applyFill="1" applyBorder="1" applyAlignment="1" applyProtection="1">
      <alignment horizontal="center"/>
      <protection locked="0"/>
    </xf>
    <xf numFmtId="331" fontId="0" fillId="0" borderId="63" xfId="0" applyNumberFormat="1" applyBorder="1" applyAlignment="1">
      <alignment horizontal="left"/>
    </xf>
    <xf numFmtId="164" fontId="263" fillId="0" borderId="0" xfId="0" applyNumberFormat="1" applyFont="1"/>
    <xf numFmtId="0" fontId="251" fillId="0" borderId="0" xfId="0" applyFont="1" applyAlignment="1">
      <alignment horizontal="center"/>
    </xf>
    <xf numFmtId="9" fontId="0" fillId="0" borderId="109" xfId="2" applyFont="1" applyBorder="1"/>
    <xf numFmtId="9" fontId="0" fillId="0" borderId="108" xfId="2" applyFont="1" applyBorder="1"/>
    <xf numFmtId="331" fontId="11" fillId="0" borderId="68" xfId="0" applyNumberFormat="1" applyFont="1" applyBorder="1" applyAlignment="1">
      <alignment horizontal="right"/>
    </xf>
    <xf numFmtId="0" fontId="0" fillId="0" borderId="60" xfId="0" applyBorder="1" applyAlignment="1">
      <alignment horizontal="center"/>
    </xf>
    <xf numFmtId="0" fontId="0" fillId="0" borderId="64" xfId="0" applyBorder="1" applyAlignment="1">
      <alignment horizontal="center" vertical="center"/>
    </xf>
    <xf numFmtId="0" fontId="0" fillId="0" borderId="21" xfId="0" applyBorder="1" applyAlignment="1" applyProtection="1">
      <alignment horizontal="center" vertical="center"/>
      <protection locked="0"/>
    </xf>
    <xf numFmtId="0" fontId="0" fillId="0" borderId="21" xfId="0" applyBorder="1" applyAlignment="1">
      <alignment horizontal="center"/>
    </xf>
    <xf numFmtId="0" fontId="0" fillId="0" borderId="6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1" xfId="0" applyBorder="1" applyAlignment="1" applyProtection="1">
      <alignment horizontal="center"/>
      <protection locked="0"/>
    </xf>
    <xf numFmtId="0" fontId="0" fillId="0" borderId="53" xfId="0" applyBorder="1" applyAlignment="1" applyProtection="1">
      <alignment horizontal="center" vertical="center" wrapText="1"/>
      <protection locked="0"/>
    </xf>
    <xf numFmtId="0" fontId="0" fillId="0" borderId="59" xfId="0" applyBorder="1" applyAlignment="1" applyProtection="1">
      <alignment horizontal="center" vertical="center"/>
      <protection locked="0"/>
    </xf>
    <xf numFmtId="0" fontId="0" fillId="0" borderId="61" xfId="0" applyBorder="1" applyAlignment="1" applyProtection="1">
      <alignment horizontal="center"/>
      <protection locked="0"/>
    </xf>
    <xf numFmtId="0" fontId="0" fillId="0" borderId="64" xfId="0" applyBorder="1" applyAlignment="1" applyProtection="1">
      <alignment horizontal="center" vertical="center" wrapText="1"/>
      <protection locked="0"/>
    </xf>
    <xf numFmtId="0" fontId="0" fillId="0" borderId="84" xfId="0" applyBorder="1" applyAlignment="1">
      <alignment horizontal="center" vertical="center"/>
    </xf>
    <xf numFmtId="0" fontId="0" fillId="0" borderId="106" xfId="0" applyBorder="1" applyAlignment="1" applyProtection="1">
      <alignment horizontal="center"/>
      <protection locked="0"/>
    </xf>
    <xf numFmtId="331" fontId="11" fillId="0" borderId="59" xfId="4339" applyNumberFormat="1" applyFont="1" applyFill="1" applyBorder="1" applyAlignment="1">
      <alignment horizontal="right"/>
    </xf>
    <xf numFmtId="0" fontId="18" fillId="60" borderId="113" xfId="0" applyFont="1" applyFill="1" applyBorder="1" applyAlignment="1" applyProtection="1">
      <alignment horizontal="center"/>
      <protection locked="0"/>
    </xf>
    <xf numFmtId="164" fontId="0" fillId="0" borderId="110" xfId="4" applyNumberFormat="1" applyFont="1" applyFill="1" applyBorder="1"/>
    <xf numFmtId="331" fontId="0" fillId="0" borderId="54" xfId="4339" applyNumberFormat="1" applyFont="1" applyFill="1" applyBorder="1"/>
    <xf numFmtId="164" fontId="0" fillId="0" borderId="72" xfId="0" applyNumberFormat="1" applyBorder="1"/>
    <xf numFmtId="0" fontId="18" fillId="60" borderId="112" xfId="0" applyFont="1" applyFill="1" applyBorder="1" applyAlignment="1" applyProtection="1">
      <alignment horizontal="center"/>
      <protection locked="0"/>
    </xf>
    <xf numFmtId="0" fontId="18" fillId="60" borderId="115" xfId="0" applyFont="1" applyFill="1" applyBorder="1" applyAlignment="1" applyProtection="1">
      <alignment horizontal="center"/>
      <protection locked="0"/>
    </xf>
    <xf numFmtId="164" fontId="0" fillId="0" borderId="116" xfId="4" applyNumberFormat="1" applyFont="1" applyFill="1" applyBorder="1" applyAlignment="1">
      <alignment horizontal="right"/>
    </xf>
    <xf numFmtId="164" fontId="0" fillId="0" borderId="110" xfId="4" applyNumberFormat="1" applyFont="1" applyFill="1" applyBorder="1" applyAlignment="1">
      <alignment horizontal="right"/>
    </xf>
    <xf numFmtId="331" fontId="0" fillId="0" borderId="114" xfId="0" applyNumberFormat="1" applyBorder="1" applyAlignment="1">
      <alignment horizontal="right"/>
    </xf>
    <xf numFmtId="331" fontId="0" fillId="0" borderId="116" xfId="0" applyNumberFormat="1" applyBorder="1" applyAlignment="1">
      <alignment horizontal="right"/>
    </xf>
    <xf numFmtId="331" fontId="0" fillId="0" borderId="59" xfId="0" applyNumberFormat="1" applyBorder="1" applyAlignment="1">
      <alignment horizontal="left" vertical="center"/>
    </xf>
    <xf numFmtId="37" fontId="11" fillId="0" borderId="89" xfId="4" applyNumberFormat="1" applyFont="1" applyFill="1" applyBorder="1"/>
    <xf numFmtId="37" fontId="11" fillId="0" borderId="98" xfId="4" applyNumberFormat="1" applyFont="1" applyFill="1" applyBorder="1"/>
    <xf numFmtId="331" fontId="11" fillId="0" borderId="64" xfId="4339" applyNumberFormat="1" applyFont="1" applyFill="1" applyBorder="1"/>
    <xf numFmtId="331" fontId="11" fillId="0" borderId="95" xfId="4339" applyNumberFormat="1" applyFont="1" applyFill="1" applyBorder="1"/>
    <xf numFmtId="331" fontId="11" fillId="0" borderId="89" xfId="4339" applyNumberFormat="1" applyFont="1" applyFill="1" applyBorder="1"/>
    <xf numFmtId="331" fontId="11" fillId="0" borderId="98" xfId="4339" applyNumberFormat="1" applyFont="1" applyFill="1" applyBorder="1"/>
    <xf numFmtId="331" fontId="11" fillId="0" borderId="90" xfId="4339" applyNumberFormat="1" applyFont="1" applyFill="1" applyBorder="1"/>
    <xf numFmtId="331" fontId="11" fillId="0" borderId="21" xfId="4339" applyNumberFormat="1" applyFont="1" applyFill="1" applyBorder="1"/>
    <xf numFmtId="3" fontId="0" fillId="0" borderId="88" xfId="0" applyNumberFormat="1" applyBorder="1" applyAlignment="1">
      <alignment horizontal="right"/>
    </xf>
    <xf numFmtId="3" fontId="0" fillId="0" borderId="63" xfId="0" applyNumberFormat="1" applyBorder="1" applyAlignment="1">
      <alignment horizontal="right"/>
    </xf>
    <xf numFmtId="0" fontId="0" fillId="57" borderId="119" xfId="0" applyFill="1" applyBorder="1" applyAlignment="1">
      <alignment horizontal="center" vertical="center"/>
    </xf>
    <xf numFmtId="0" fontId="0" fillId="57" borderId="110" xfId="0" applyFill="1" applyBorder="1" applyAlignment="1">
      <alignment horizontal="center" vertical="center"/>
    </xf>
    <xf numFmtId="9" fontId="0" fillId="0" borderId="110" xfId="3458" applyFont="1" applyFill="1" applyBorder="1" applyAlignment="1"/>
    <xf numFmtId="331" fontId="0" fillId="0" borderId="110" xfId="4339" applyNumberFormat="1" applyFont="1" applyFill="1" applyBorder="1" applyAlignment="1"/>
    <xf numFmtId="164" fontId="0" fillId="12" borderId="110" xfId="4" applyNumberFormat="1" applyFont="1" applyFill="1" applyBorder="1" applyAlignment="1">
      <alignment horizontal="right"/>
    </xf>
    <xf numFmtId="37" fontId="0" fillId="12" borderId="94" xfId="0" applyNumberFormat="1" applyFill="1" applyBorder="1"/>
    <xf numFmtId="37" fontId="0" fillId="12" borderId="111" xfId="0" applyNumberFormat="1" applyFill="1" applyBorder="1"/>
    <xf numFmtId="37" fontId="0" fillId="12" borderId="110" xfId="0" applyNumberFormat="1" applyFill="1" applyBorder="1" applyAlignment="1">
      <alignment horizontal="right"/>
    </xf>
    <xf numFmtId="330" fontId="0" fillId="0" borderId="59" xfId="0" applyNumberFormat="1" applyBorder="1"/>
    <xf numFmtId="331" fontId="0" fillId="0" borderId="54" xfId="4339" applyNumberFormat="1" applyFont="1" applyFill="1" applyBorder="1" applyAlignment="1">
      <alignment vertical="center"/>
    </xf>
    <xf numFmtId="330" fontId="0" fillId="0" borderId="54" xfId="0" applyNumberFormat="1" applyBorder="1"/>
    <xf numFmtId="330" fontId="0" fillId="0" borderId="59" xfId="0" applyNumberFormat="1" applyBorder="1" applyAlignment="1">
      <alignment horizontal="right"/>
    </xf>
    <xf numFmtId="37" fontId="0" fillId="0" borderId="64" xfId="0" applyNumberFormat="1" applyBorder="1"/>
    <xf numFmtId="330" fontId="0" fillId="0" borderId="38" xfId="0" applyNumberFormat="1" applyBorder="1"/>
    <xf numFmtId="331" fontId="0" fillId="0" borderId="21" xfId="0" applyNumberFormat="1" applyBorder="1"/>
    <xf numFmtId="331" fontId="11" fillId="0" borderId="59" xfId="4339" applyNumberFormat="1" applyFont="1" applyFill="1" applyBorder="1" applyAlignment="1">
      <alignment horizontal="center" vertical="center"/>
    </xf>
    <xf numFmtId="37" fontId="0" fillId="0" borderId="61" xfId="0" applyNumberFormat="1" applyBorder="1"/>
    <xf numFmtId="332" fontId="0" fillId="0" borderId="59" xfId="4" applyNumberFormat="1" applyFont="1" applyFill="1" applyBorder="1"/>
    <xf numFmtId="332" fontId="0" fillId="0" borderId="59" xfId="0" applyNumberFormat="1" applyBorder="1"/>
    <xf numFmtId="37" fontId="0" fillId="0" borderId="59" xfId="0" applyNumberFormat="1" applyBorder="1"/>
    <xf numFmtId="37" fontId="0" fillId="12" borderId="116" xfId="0" applyNumberFormat="1" applyFill="1" applyBorder="1"/>
    <xf numFmtId="37" fontId="0" fillId="0" borderId="110" xfId="0" applyNumberFormat="1" applyBorder="1" applyAlignment="1">
      <alignment horizontal="right"/>
    </xf>
    <xf numFmtId="331" fontId="0" fillId="0" borderId="38" xfId="0" applyNumberFormat="1" applyBorder="1"/>
    <xf numFmtId="330" fontId="0" fillId="0" borderId="63" xfId="0" applyNumberFormat="1" applyBorder="1" applyAlignment="1">
      <alignment horizontal="right"/>
    </xf>
    <xf numFmtId="331" fontId="0" fillId="0" borderId="111" xfId="4339" applyNumberFormat="1" applyFont="1" applyFill="1" applyBorder="1" applyAlignment="1">
      <alignment vertical="center"/>
    </xf>
    <xf numFmtId="3" fontId="0" fillId="0" borderId="111" xfId="0" applyNumberFormat="1" applyBorder="1"/>
    <xf numFmtId="3" fontId="0" fillId="0" borderId="110" xfId="0" applyNumberFormat="1" applyBorder="1"/>
    <xf numFmtId="330" fontId="0" fillId="0" borderId="110" xfId="0" applyNumberFormat="1" applyBorder="1"/>
    <xf numFmtId="332" fontId="11" fillId="0" borderId="110" xfId="0" applyNumberFormat="1" applyFont="1" applyBorder="1" applyAlignment="1">
      <alignment horizontal="center" vertical="center"/>
    </xf>
    <xf numFmtId="332" fontId="0" fillId="0" borderId="110" xfId="4" applyNumberFormat="1" applyFont="1" applyFill="1" applyBorder="1"/>
    <xf numFmtId="331" fontId="11" fillId="0" borderId="110" xfId="4339" applyNumberFormat="1" applyFont="1" applyFill="1" applyBorder="1" applyAlignment="1">
      <alignment horizontal="center" vertical="center"/>
    </xf>
    <xf numFmtId="331" fontId="0" fillId="0" borderId="110" xfId="4339" applyNumberFormat="1" applyFont="1" applyFill="1" applyBorder="1"/>
    <xf numFmtId="331" fontId="11" fillId="0" borderId="62" xfId="4339" applyNumberFormat="1" applyFont="1" applyFill="1" applyBorder="1" applyAlignment="1">
      <alignment horizontal="right" vertical="center"/>
    </xf>
    <xf numFmtId="37" fontId="0" fillId="12" borderId="62" xfId="0" applyNumberFormat="1" applyFill="1" applyBorder="1"/>
    <xf numFmtId="332" fontId="0" fillId="0" borderId="110" xfId="0" applyNumberFormat="1" applyBorder="1"/>
    <xf numFmtId="330" fontId="0" fillId="0" borderId="110" xfId="4" applyNumberFormat="1" applyFont="1" applyFill="1" applyBorder="1"/>
    <xf numFmtId="330" fontId="0" fillId="12" borderId="123" xfId="4" applyNumberFormat="1" applyFont="1" applyFill="1" applyBorder="1"/>
    <xf numFmtId="330" fontId="0" fillId="12" borderId="111" xfId="4" applyNumberFormat="1" applyFont="1" applyFill="1" applyBorder="1"/>
    <xf numFmtId="330" fontId="0" fillId="12" borderId="124" xfId="4" applyNumberFormat="1" applyFont="1" applyFill="1" applyBorder="1"/>
    <xf numFmtId="331" fontId="0" fillId="0" borderId="94" xfId="0" applyNumberFormat="1" applyBorder="1" applyAlignment="1">
      <alignment horizontal="right" vertical="center"/>
    </xf>
    <xf numFmtId="331" fontId="0" fillId="0" borderId="64" xfId="0" applyNumberFormat="1" applyBorder="1" applyAlignment="1">
      <alignment horizontal="right" vertical="center"/>
    </xf>
    <xf numFmtId="331" fontId="0" fillId="0" borderId="95" xfId="0" applyNumberFormat="1" applyBorder="1" applyAlignment="1">
      <alignment horizontal="right" vertical="center"/>
    </xf>
    <xf numFmtId="164" fontId="0" fillId="0" borderId="94" xfId="4" applyNumberFormat="1" applyFont="1" applyFill="1" applyBorder="1" applyAlignment="1">
      <alignment horizontal="right" vertical="center"/>
    </xf>
    <xf numFmtId="164" fontId="11" fillId="0" borderId="64" xfId="4" applyNumberFormat="1" applyFont="1" applyFill="1" applyBorder="1" applyAlignment="1">
      <alignment horizontal="right" vertical="center"/>
    </xf>
    <xf numFmtId="164" fontId="11" fillId="0" borderId="95" xfId="4" applyNumberFormat="1" applyFont="1" applyFill="1" applyBorder="1" applyAlignment="1">
      <alignment horizontal="right" vertical="center"/>
    </xf>
    <xf numFmtId="0" fontId="0" fillId="0" borderId="90" xfId="0" applyBorder="1" applyAlignment="1">
      <alignment horizontal="center" vertical="center" wrapText="1"/>
    </xf>
    <xf numFmtId="0" fontId="0" fillId="0" borderId="75" xfId="0" applyBorder="1"/>
    <xf numFmtId="9" fontId="0" fillId="0" borderId="0" xfId="2" applyFont="1" applyBorder="1" applyAlignment="1">
      <alignment horizontal="center"/>
    </xf>
    <xf numFmtId="0" fontId="0" fillId="0" borderId="60" xfId="0" applyBorder="1"/>
    <xf numFmtId="0" fontId="0" fillId="0" borderId="84" xfId="0" applyBorder="1"/>
    <xf numFmtId="190" fontId="0" fillId="0" borderId="109" xfId="2" applyNumberFormat="1" applyFont="1" applyBorder="1"/>
    <xf numFmtId="331" fontId="0" fillId="0" borderId="117" xfId="4339" applyNumberFormat="1" applyFont="1" applyFill="1" applyBorder="1" applyAlignment="1"/>
    <xf numFmtId="331" fontId="0" fillId="0" borderId="123" xfId="4339" applyNumberFormat="1" applyFont="1" applyFill="1" applyBorder="1" applyAlignment="1"/>
    <xf numFmtId="331" fontId="0" fillId="0" borderId="111" xfId="4339" applyNumberFormat="1" applyFont="1" applyFill="1" applyBorder="1" applyAlignment="1"/>
    <xf numFmtId="331" fontId="0" fillId="0" borderId="126" xfId="4339" applyNumberFormat="1" applyFont="1" applyFill="1" applyBorder="1" applyAlignment="1"/>
    <xf numFmtId="331" fontId="0" fillId="0" borderId="116" xfId="4339" applyNumberFormat="1" applyFont="1" applyFill="1" applyBorder="1" applyAlignment="1"/>
    <xf numFmtId="164" fontId="0" fillId="12" borderId="63" xfId="4" applyNumberFormat="1" applyFont="1" applyFill="1" applyBorder="1" applyAlignment="1">
      <alignment horizontal="right"/>
    </xf>
    <xf numFmtId="331" fontId="0" fillId="0" borderId="122" xfId="4339" applyNumberFormat="1" applyFont="1" applyFill="1" applyBorder="1" applyAlignment="1"/>
    <xf numFmtId="9" fontId="0" fillId="0" borderId="0" xfId="2" applyFont="1" applyFill="1"/>
    <xf numFmtId="0" fontId="265" fillId="0" borderId="0" xfId="0" applyFont="1"/>
    <xf numFmtId="9" fontId="0" fillId="0" borderId="61" xfId="3458" applyFont="1" applyFill="1" applyBorder="1" applyAlignment="1"/>
    <xf numFmtId="0" fontId="0" fillId="57" borderId="128" xfId="0" applyFill="1" applyBorder="1" applyAlignment="1">
      <alignment horizontal="center" vertical="center"/>
    </xf>
    <xf numFmtId="331" fontId="0" fillId="0" borderId="60"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61" xfId="4339" applyNumberFormat="1" applyFont="1" applyFill="1" applyBorder="1" applyAlignment="1"/>
    <xf numFmtId="9" fontId="0" fillId="53" borderId="0" xfId="2" applyFont="1" applyFill="1"/>
    <xf numFmtId="331" fontId="247" fillId="0" borderId="59" xfId="4339" applyNumberFormat="1" applyFont="1" applyFill="1" applyBorder="1"/>
    <xf numFmtId="331" fontId="247" fillId="0" borderId="88" xfId="4339" applyNumberFormat="1" applyFont="1" applyFill="1" applyBorder="1"/>
    <xf numFmtId="331" fontId="247" fillId="0" borderId="91" xfId="4339" applyNumberFormat="1" applyFont="1" applyFill="1" applyBorder="1"/>
    <xf numFmtId="331" fontId="247" fillId="0" borderId="59" xfId="0" applyNumberFormat="1" applyFont="1" applyBorder="1" applyAlignment="1">
      <alignment horizontal="right"/>
    </xf>
    <xf numFmtId="331" fontId="11" fillId="0" borderId="85" xfId="4339" applyNumberFormat="1" applyFont="1" applyFill="1" applyBorder="1"/>
    <xf numFmtId="331" fontId="11" fillId="0" borderId="91" xfId="4339" applyNumberFormat="1" applyFont="1" applyFill="1" applyBorder="1"/>
    <xf numFmtId="164" fontId="11" fillId="0" borderId="63" xfId="4" applyNumberFormat="1" applyFont="1" applyFill="1" applyBorder="1" applyAlignment="1">
      <alignment horizontal="right" vertical="center"/>
    </xf>
    <xf numFmtId="37" fontId="266" fillId="0" borderId="59" xfId="4" applyNumberFormat="1" applyFont="1" applyFill="1" applyBorder="1"/>
    <xf numFmtId="37" fontId="266" fillId="0" borderId="90" xfId="4" applyNumberFormat="1" applyFont="1" applyFill="1" applyBorder="1"/>
    <xf numFmtId="331" fontId="266" fillId="0" borderId="64" xfId="4339" applyNumberFormat="1" applyFont="1" applyFill="1" applyBorder="1"/>
    <xf numFmtId="0" fontId="18" fillId="58" borderId="78" xfId="0" applyFont="1" applyFill="1" applyBorder="1" applyAlignment="1">
      <alignment horizontal="center" wrapText="1"/>
    </xf>
    <xf numFmtId="0" fontId="18" fillId="55" borderId="70" xfId="0" applyFont="1" applyFill="1" applyBorder="1" applyAlignment="1">
      <alignment horizontal="center"/>
    </xf>
    <xf numFmtId="0" fontId="18" fillId="55" borderId="71" xfId="0" applyFont="1" applyFill="1" applyBorder="1" applyAlignment="1">
      <alignment horizontal="center"/>
    </xf>
    <xf numFmtId="0" fontId="18" fillId="55" borderId="72" xfId="0" applyFont="1" applyFill="1" applyBorder="1" applyAlignment="1">
      <alignment horizontal="center"/>
    </xf>
    <xf numFmtId="164" fontId="259" fillId="0" borderId="0" xfId="4340" applyNumberFormat="1" applyFont="1"/>
    <xf numFmtId="164" fontId="259" fillId="0" borderId="0" xfId="1" applyNumberFormat="1" applyFont="1" applyFill="1"/>
    <xf numFmtId="5" fontId="259" fillId="0" borderId="0" xfId="0" applyNumberFormat="1" applyFont="1"/>
    <xf numFmtId="330" fontId="259" fillId="0" borderId="0" xfId="1" applyNumberFormat="1" applyFont="1" applyFill="1"/>
    <xf numFmtId="164" fontId="259" fillId="0" borderId="0" xfId="1" applyNumberFormat="1" applyFont="1"/>
    <xf numFmtId="0" fontId="18" fillId="59" borderId="62" xfId="0" applyFont="1" applyFill="1" applyBorder="1" applyProtection="1">
      <protection locked="0"/>
    </xf>
    <xf numFmtId="330" fontId="0" fillId="0" borderId="122" xfId="4" applyNumberFormat="1" applyFont="1" applyFill="1" applyBorder="1"/>
    <xf numFmtId="330" fontId="11" fillId="0" borderId="129" xfId="4" applyNumberFormat="1" applyFont="1" applyFill="1" applyBorder="1" applyAlignment="1">
      <alignment horizontal="center" vertical="center"/>
    </xf>
    <xf numFmtId="332" fontId="11" fillId="0" borderId="71" xfId="0" applyNumberFormat="1" applyFont="1" applyBorder="1" applyAlignment="1">
      <alignment horizontal="center" vertical="center"/>
    </xf>
    <xf numFmtId="330" fontId="11" fillId="0" borderId="71" xfId="4" applyNumberFormat="1" applyFont="1" applyFill="1" applyBorder="1" applyAlignment="1">
      <alignment horizontal="center" vertical="center"/>
    </xf>
    <xf numFmtId="332" fontId="11" fillId="0" borderId="118" xfId="0" applyNumberFormat="1" applyFont="1" applyBorder="1" applyAlignment="1">
      <alignment horizontal="center" vertical="center"/>
    </xf>
    <xf numFmtId="330" fontId="11" fillId="0" borderId="123" xfId="4" applyNumberFormat="1" applyFont="1" applyFill="1" applyBorder="1" applyAlignment="1">
      <alignment horizontal="center" vertical="center"/>
    </xf>
    <xf numFmtId="332" fontId="11" fillId="0" borderId="54" xfId="0" applyNumberFormat="1" applyFont="1" applyBorder="1" applyAlignment="1">
      <alignment horizontal="center" vertical="center"/>
    </xf>
    <xf numFmtId="330" fontId="11" fillId="0" borderId="54" xfId="4" applyNumberFormat="1" applyFont="1" applyFill="1" applyBorder="1" applyAlignment="1">
      <alignment horizontal="center" vertical="center"/>
    </xf>
    <xf numFmtId="332" fontId="11" fillId="0" borderId="111" xfId="0" applyNumberFormat="1" applyFont="1" applyBorder="1" applyAlignment="1">
      <alignment horizontal="center" vertical="center"/>
    </xf>
    <xf numFmtId="330" fontId="11" fillId="0" borderId="126" xfId="4" applyNumberFormat="1" applyFont="1" applyFill="1" applyBorder="1" applyAlignment="1">
      <alignment horizontal="center" vertical="center"/>
    </xf>
    <xf numFmtId="332" fontId="11" fillId="0" borderId="21" xfId="0" applyNumberFormat="1" applyFont="1" applyBorder="1" applyAlignment="1">
      <alignment horizontal="center" vertical="center"/>
    </xf>
    <xf numFmtId="330" fontId="11" fillId="0" borderId="21" xfId="4" applyNumberFormat="1" applyFont="1" applyFill="1" applyBorder="1" applyAlignment="1">
      <alignment horizontal="center" vertical="center"/>
    </xf>
    <xf numFmtId="332" fontId="11" fillId="0" borderId="116" xfId="0" applyNumberFormat="1" applyFont="1" applyBorder="1" applyAlignment="1">
      <alignment horizontal="center" vertical="center"/>
    </xf>
    <xf numFmtId="0" fontId="0" fillId="57" borderId="130" xfId="0" applyFill="1" applyBorder="1" applyAlignment="1">
      <alignment horizontal="center" vertical="center"/>
    </xf>
    <xf numFmtId="0" fontId="0" fillId="57" borderId="116" xfId="0" applyFill="1" applyBorder="1" applyAlignment="1">
      <alignment horizontal="center" vertical="center"/>
    </xf>
    <xf numFmtId="331" fontId="11" fillId="64" borderId="68" xfId="0" applyNumberFormat="1" applyFont="1" applyFill="1" applyBorder="1" applyAlignment="1">
      <alignment horizontal="right"/>
    </xf>
    <xf numFmtId="331" fontId="11" fillId="64" borderId="68" xfId="4339" applyNumberFormat="1" applyFont="1" applyFill="1" applyBorder="1"/>
    <xf numFmtId="331" fontId="11" fillId="64" borderId="75" xfId="4339" applyNumberFormat="1" applyFont="1" applyFill="1" applyBorder="1"/>
    <xf numFmtId="164" fontId="0" fillId="64" borderId="105" xfId="4" applyNumberFormat="1" applyFont="1" applyFill="1" applyBorder="1"/>
    <xf numFmtId="164" fontId="0" fillId="64" borderId="115" xfId="4" applyNumberFormat="1" applyFont="1" applyFill="1" applyBorder="1"/>
    <xf numFmtId="331" fontId="11" fillId="0" borderId="54" xfId="4339" applyNumberFormat="1" applyFont="1" applyFill="1" applyBorder="1"/>
    <xf numFmtId="331" fontId="11" fillId="0" borderId="69" xfId="4339" applyNumberFormat="1" applyFont="1" applyFill="1" applyBorder="1"/>
    <xf numFmtId="331" fontId="257" fillId="0" borderId="64" xfId="4339" applyNumberFormat="1" applyFont="1" applyFill="1" applyBorder="1"/>
    <xf numFmtId="0" fontId="7" fillId="0" borderId="0" xfId="11" applyFont="1" applyAlignment="1">
      <alignment horizontal="right"/>
    </xf>
    <xf numFmtId="190" fontId="6" fillId="0" borderId="0" xfId="2" applyNumberFormat="1" applyFont="1" applyAlignment="1">
      <alignment horizontal="right"/>
    </xf>
    <xf numFmtId="164" fontId="248" fillId="0" borderId="0" xfId="1" applyNumberFormat="1" applyFont="1"/>
    <xf numFmtId="9" fontId="0" fillId="53" borderId="109" xfId="2" applyFont="1" applyFill="1" applyBorder="1"/>
    <xf numFmtId="331" fontId="257" fillId="0" borderId="53" xfId="0" applyNumberFormat="1" applyFont="1" applyBorder="1" applyAlignment="1">
      <alignment horizontal="right"/>
    </xf>
    <xf numFmtId="331" fontId="257" fillId="0" borderId="21" xfId="0" applyNumberFormat="1" applyFont="1" applyBorder="1" applyAlignment="1">
      <alignment horizontal="right"/>
    </xf>
    <xf numFmtId="331" fontId="257" fillId="0" borderId="63" xfId="0" applyNumberFormat="1" applyFont="1" applyBorder="1" applyAlignment="1">
      <alignment horizontal="left"/>
    </xf>
    <xf numFmtId="331" fontId="257" fillId="0" borderId="59" xfId="0" applyNumberFormat="1" applyFont="1" applyBorder="1" applyAlignment="1">
      <alignment horizontal="right"/>
    </xf>
    <xf numFmtId="331" fontId="257" fillId="0" borderId="63" xfId="0" applyNumberFormat="1" applyFont="1" applyBorder="1" applyAlignment="1">
      <alignment horizontal="right"/>
    </xf>
    <xf numFmtId="331" fontId="257" fillId="0" borderId="63" xfId="0" applyNumberFormat="1" applyFont="1" applyBorder="1" applyAlignment="1">
      <alignment horizontal="right" vertical="center"/>
    </xf>
    <xf numFmtId="331" fontId="257" fillId="0" borderId="59" xfId="0" applyNumberFormat="1" applyFont="1" applyBorder="1" applyAlignment="1">
      <alignment horizontal="right" vertical="center"/>
    </xf>
    <xf numFmtId="331" fontId="257" fillId="0" borderId="94" xfId="0" applyNumberFormat="1" applyFont="1" applyBorder="1" applyAlignment="1">
      <alignment horizontal="right" vertical="center"/>
    </xf>
    <xf numFmtId="331" fontId="257" fillId="0" borderId="86" xfId="0" applyNumberFormat="1" applyFont="1" applyBorder="1" applyAlignment="1">
      <alignment horizontal="right" vertical="center"/>
    </xf>
    <xf numFmtId="164" fontId="257" fillId="0" borderId="59" xfId="4" applyNumberFormat="1" applyFont="1" applyFill="1" applyBorder="1" applyAlignment="1">
      <alignment horizontal="right"/>
    </xf>
    <xf numFmtId="164" fontId="257" fillId="0" borderId="63" xfId="4" applyNumberFormat="1" applyFont="1" applyFill="1" applyBorder="1" applyAlignment="1">
      <alignment horizontal="right" vertical="center"/>
    </xf>
    <xf numFmtId="164" fontId="257" fillId="0" borderId="59" xfId="4" applyNumberFormat="1" applyFont="1" applyFill="1" applyBorder="1" applyAlignment="1">
      <alignment horizontal="right" vertical="center"/>
    </xf>
    <xf numFmtId="0" fontId="0" fillId="0" borderId="59" xfId="0" applyBorder="1" applyAlignment="1" applyProtection="1">
      <alignment horizontal="center"/>
      <protection locked="0"/>
    </xf>
    <xf numFmtId="164" fontId="257" fillId="0" borderId="21" xfId="4" applyNumberFormat="1" applyFont="1" applyFill="1" applyBorder="1" applyAlignment="1">
      <alignment horizontal="right"/>
    </xf>
    <xf numFmtId="164" fontId="257" fillId="0" borderId="59" xfId="4" applyNumberFormat="1" applyFont="1" applyFill="1" applyBorder="1" applyAlignment="1">
      <alignment horizontal="center" vertical="center"/>
    </xf>
    <xf numFmtId="331" fontId="11" fillId="0" borderId="94" xfId="4339" applyNumberFormat="1" applyFont="1" applyFill="1" applyBorder="1"/>
    <xf numFmtId="164" fontId="0" fillId="61" borderId="94" xfId="4" applyNumberFormat="1" applyFont="1" applyFill="1" applyBorder="1"/>
    <xf numFmtId="164" fontId="0" fillId="61" borderId="64" xfId="4" applyNumberFormat="1" applyFont="1" applyFill="1" applyBorder="1"/>
    <xf numFmtId="164" fontId="0" fillId="61" borderId="95" xfId="4" applyNumberFormat="1" applyFont="1" applyFill="1" applyBorder="1"/>
    <xf numFmtId="333" fontId="0" fillId="0" borderId="59" xfId="0" applyNumberFormat="1" applyBorder="1"/>
    <xf numFmtId="333" fontId="0" fillId="0" borderId="110" xfId="0" applyNumberFormat="1" applyBorder="1"/>
    <xf numFmtId="331" fontId="0" fillId="0" borderId="111" xfId="0" applyNumberFormat="1" applyBorder="1"/>
    <xf numFmtId="331" fontId="0" fillId="0" borderId="71" xfId="4339" applyNumberFormat="1" applyFont="1" applyFill="1" applyBorder="1" applyAlignment="1">
      <alignment vertical="center"/>
    </xf>
    <xf numFmtId="331" fontId="0" fillId="12" borderId="118" xfId="0" applyNumberFormat="1" applyFill="1" applyBorder="1"/>
    <xf numFmtId="331" fontId="0" fillId="0" borderId="131" xfId="4339" applyNumberFormat="1" applyFont="1" applyFill="1" applyBorder="1" applyAlignment="1">
      <alignment vertical="center"/>
    </xf>
    <xf numFmtId="3" fontId="0" fillId="0" borderId="118" xfId="0" applyNumberFormat="1" applyBorder="1"/>
    <xf numFmtId="332" fontId="11" fillId="0" borderId="89" xfId="0" applyNumberFormat="1" applyFont="1" applyBorder="1" applyAlignment="1">
      <alignment horizontal="center" vertical="center"/>
    </xf>
    <xf numFmtId="332" fontId="11" fillId="0" borderId="114" xfId="0" applyNumberFormat="1" applyFont="1" applyBorder="1" applyAlignment="1">
      <alignment horizontal="center" vertical="center"/>
    </xf>
    <xf numFmtId="0" fontId="257" fillId="0" borderId="21" xfId="0" applyFont="1" applyBorder="1" applyAlignment="1" applyProtection="1">
      <alignment horizontal="center"/>
      <protection locked="0"/>
    </xf>
    <xf numFmtId="331" fontId="0" fillId="0" borderId="63" xfId="0" applyNumberFormat="1" applyBorder="1" applyAlignment="1">
      <alignment horizontal="left" vertical="center"/>
    </xf>
    <xf numFmtId="331" fontId="0" fillId="0" borderId="86" xfId="0" applyNumberFormat="1" applyBorder="1" applyAlignment="1">
      <alignment horizontal="center" vertical="center"/>
    </xf>
    <xf numFmtId="0" fontId="11" fillId="0" borderId="59" xfId="0" applyFont="1" applyBorder="1" applyAlignment="1" applyProtection="1">
      <alignment vertical="center"/>
      <protection locked="0"/>
    </xf>
    <xf numFmtId="0" fontId="257" fillId="0" borderId="59" xfId="0" applyFont="1" applyBorder="1" applyAlignment="1" applyProtection="1">
      <alignment horizontal="center"/>
      <protection locked="0"/>
    </xf>
    <xf numFmtId="0" fontId="11" fillId="0" borderId="59" xfId="0" applyFont="1" applyBorder="1" applyAlignment="1" applyProtection="1">
      <alignment vertical="center" wrapText="1"/>
      <protection locked="0"/>
    </xf>
    <xf numFmtId="0" fontId="0" fillId="0" borderId="59" xfId="0" applyBorder="1" applyAlignment="1" applyProtection="1">
      <alignment vertical="center" wrapText="1"/>
      <protection locked="0"/>
    </xf>
    <xf numFmtId="0" fontId="11" fillId="0" borderId="59" xfId="0" applyFont="1" applyBorder="1" applyAlignment="1" applyProtection="1">
      <alignment horizontal="center"/>
      <protection locked="0"/>
    </xf>
    <xf numFmtId="0" fontId="11" fillId="0" borderId="59"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1" xfId="0" applyFont="1" applyBorder="1" applyAlignment="1" applyProtection="1">
      <alignment horizontal="center" vertical="center"/>
      <protection locked="0"/>
    </xf>
    <xf numFmtId="331" fontId="0" fillId="0" borderId="105" xfId="0" applyNumberFormat="1" applyBorder="1" applyAlignment="1">
      <alignment horizontal="center" vertical="center"/>
    </xf>
    <xf numFmtId="331" fontId="0" fillId="0" borderId="115" xfId="0" applyNumberFormat="1" applyBorder="1" applyAlignment="1">
      <alignment horizontal="right"/>
    </xf>
    <xf numFmtId="331" fontId="0" fillId="0" borderId="112" xfId="0" applyNumberFormat="1" applyBorder="1" applyAlignment="1">
      <alignment horizontal="center" vertical="center"/>
    </xf>
    <xf numFmtId="331" fontId="0" fillId="0" borderId="59" xfId="0" applyNumberFormat="1" applyBorder="1"/>
    <xf numFmtId="331" fontId="257" fillId="0" borderId="59" xfId="0" applyNumberFormat="1" applyFont="1" applyBorder="1" applyAlignment="1">
      <alignment horizontal="left" vertical="center"/>
    </xf>
    <xf numFmtId="164" fontId="0" fillId="0" borderId="86" xfId="4" applyNumberFormat="1" applyFont="1" applyFill="1" applyBorder="1" applyAlignment="1">
      <alignment horizontal="center" vertical="center"/>
    </xf>
    <xf numFmtId="164" fontId="0" fillId="0" borderId="132" xfId="4" applyNumberFormat="1" applyFont="1" applyFill="1" applyBorder="1" applyAlignment="1">
      <alignment horizontal="center" vertical="center"/>
    </xf>
    <xf numFmtId="164" fontId="257" fillId="0" borderId="86" xfId="4" applyNumberFormat="1" applyFont="1" applyFill="1" applyBorder="1" applyAlignment="1">
      <alignment horizontal="center" vertical="center"/>
    </xf>
    <xf numFmtId="331" fontId="0" fillId="0" borderId="63" xfId="0" applyNumberFormat="1" applyBorder="1"/>
    <xf numFmtId="331" fontId="0" fillId="0" borderId="63" xfId="0" applyNumberFormat="1" applyBorder="1" applyAlignment="1">
      <alignment horizontal="center" vertical="center"/>
    </xf>
    <xf numFmtId="331" fontId="257" fillId="0" borderId="114" xfId="0" applyNumberFormat="1" applyFont="1" applyBorder="1" applyAlignment="1">
      <alignment horizontal="right"/>
    </xf>
    <xf numFmtId="331" fontId="257" fillId="0" borderId="116" xfId="0" applyNumberFormat="1" applyFont="1" applyBorder="1" applyAlignment="1">
      <alignment horizontal="right"/>
    </xf>
    <xf numFmtId="0" fontId="18" fillId="0" borderId="0" xfId="0" applyFont="1" applyProtection="1">
      <protection locked="0"/>
    </xf>
    <xf numFmtId="0" fontId="18" fillId="60" borderId="133" xfId="0" applyFont="1" applyFill="1" applyBorder="1" applyAlignment="1" applyProtection="1">
      <alignment horizontal="center"/>
      <protection locked="0"/>
    </xf>
    <xf numFmtId="0" fontId="18" fillId="60" borderId="134" xfId="0" applyFont="1" applyFill="1" applyBorder="1" applyAlignment="1" applyProtection="1">
      <alignment horizontal="center"/>
      <protection locked="0"/>
    </xf>
    <xf numFmtId="0" fontId="18" fillId="60" borderId="135" xfId="0" applyFont="1" applyFill="1" applyBorder="1" applyAlignment="1" applyProtection="1">
      <alignment horizontal="center"/>
      <protection locked="0"/>
    </xf>
    <xf numFmtId="0" fontId="18" fillId="63" borderId="136" xfId="0" applyFont="1" applyFill="1" applyBorder="1" applyAlignment="1" applyProtection="1">
      <alignment horizontal="center"/>
      <protection locked="0"/>
    </xf>
    <xf numFmtId="0" fontId="7" fillId="0" borderId="21" xfId="0" applyFont="1" applyBorder="1" applyAlignment="1">
      <alignment horizontal="center" vertical="center"/>
    </xf>
    <xf numFmtId="0" fontId="7" fillId="0" borderId="59" xfId="0" applyFont="1" applyBorder="1" applyAlignment="1">
      <alignment horizontal="center" vertical="center"/>
    </xf>
    <xf numFmtId="0" fontId="0" fillId="0" borderId="77" xfId="0" applyBorder="1" applyAlignment="1">
      <alignment horizontal="center"/>
    </xf>
    <xf numFmtId="0" fontId="0" fillId="0" borderId="76" xfId="0" applyBorder="1"/>
    <xf numFmtId="0" fontId="18" fillId="58" borderId="71" xfId="0" applyFont="1" applyFill="1" applyBorder="1" applyAlignment="1">
      <alignment horizontal="center"/>
    </xf>
    <xf numFmtId="0" fontId="0" fillId="0" borderId="21" xfId="0" applyBorder="1" applyAlignment="1">
      <alignment horizontal="center" vertical="center" wrapText="1"/>
    </xf>
    <xf numFmtId="0" fontId="0" fillId="0" borderId="54" xfId="0" applyBorder="1" applyAlignment="1" applyProtection="1">
      <alignment horizontal="center" vertical="center"/>
      <protection locked="0"/>
    </xf>
    <xf numFmtId="0" fontId="0" fillId="0" borderId="54" xfId="0" applyBorder="1" applyAlignment="1">
      <alignment horizontal="center" vertical="center"/>
    </xf>
    <xf numFmtId="0" fontId="18" fillId="58" borderId="72" xfId="0" applyFont="1" applyFill="1" applyBorder="1" applyAlignment="1">
      <alignment horizontal="center" wrapText="1"/>
    </xf>
    <xf numFmtId="0" fontId="0" fillId="0" borderId="7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18" fillId="58" borderId="70" xfId="0" applyFont="1" applyFill="1" applyBorder="1" applyAlignment="1">
      <alignment horizontal="center"/>
    </xf>
    <xf numFmtId="0" fontId="0" fillId="0" borderId="89"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331" fontId="247" fillId="0" borderId="0" xfId="0" applyNumberFormat="1" applyFont="1"/>
    <xf numFmtId="0" fontId="251" fillId="0" borderId="0" xfId="0" applyFont="1" applyAlignment="1" applyProtection="1">
      <alignment readingOrder="1"/>
      <protection locked="0"/>
    </xf>
    <xf numFmtId="0" fontId="18" fillId="60" borderId="137" xfId="0" applyFont="1" applyFill="1" applyBorder="1" applyAlignment="1" applyProtection="1">
      <alignment horizontal="center"/>
      <protection locked="0"/>
    </xf>
    <xf numFmtId="332" fontId="11" fillId="0" borderId="122" xfId="0" applyNumberFormat="1" applyFont="1" applyBorder="1" applyAlignment="1">
      <alignment horizontal="center" vertical="center"/>
    </xf>
    <xf numFmtId="332" fontId="0" fillId="0" borderId="122" xfId="4" applyNumberFormat="1" applyFont="1" applyFill="1" applyBorder="1"/>
    <xf numFmtId="332" fontId="0" fillId="0" borderId="122" xfId="0" applyNumberFormat="1" applyBorder="1"/>
    <xf numFmtId="333" fontId="0" fillId="0" borderId="122" xfId="0" applyNumberFormat="1" applyBorder="1"/>
    <xf numFmtId="0" fontId="18" fillId="60" borderId="138" xfId="0" applyFont="1" applyFill="1" applyBorder="1" applyAlignment="1" applyProtection="1">
      <alignment horizontal="center"/>
      <protection locked="0"/>
    </xf>
    <xf numFmtId="164" fontId="0" fillId="64" borderId="127" xfId="4" applyNumberFormat="1" applyFont="1" applyFill="1" applyBorder="1"/>
    <xf numFmtId="164" fontId="0" fillId="0" borderId="122" xfId="4" applyNumberFormat="1" applyFont="1" applyFill="1" applyBorder="1"/>
    <xf numFmtId="164" fontId="0" fillId="0" borderId="137" xfId="4" applyNumberFormat="1" applyFont="1" applyFill="1" applyBorder="1"/>
    <xf numFmtId="331" fontId="11" fillId="0" borderId="138" xfId="0" applyNumberFormat="1" applyFont="1" applyBorder="1" applyAlignment="1">
      <alignment horizontal="right"/>
    </xf>
    <xf numFmtId="0" fontId="0" fillId="0" borderId="3" xfId="0" applyBorder="1" applyAlignment="1" applyProtection="1">
      <alignment horizontal="center" vertical="center"/>
      <protection locked="0"/>
    </xf>
    <xf numFmtId="0" fontId="0" fillId="0" borderId="96" xfId="0" applyBorder="1" applyAlignment="1" applyProtection="1">
      <alignment horizontal="center"/>
      <protection locked="0"/>
    </xf>
    <xf numFmtId="0" fontId="0" fillId="0" borderId="96"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331" fontId="0" fillId="64" borderId="138" xfId="4339" applyNumberFormat="1" applyFont="1" applyFill="1" applyBorder="1"/>
    <xf numFmtId="331" fontId="0" fillId="0" borderId="126" xfId="4339" applyNumberFormat="1" applyFont="1" applyFill="1" applyBorder="1"/>
    <xf numFmtId="331" fontId="0" fillId="0" borderId="122" xfId="4339" applyNumberFormat="1" applyFont="1" applyFill="1" applyBorder="1"/>
    <xf numFmtId="331" fontId="0" fillId="0" borderId="137" xfId="4339" applyNumberFormat="1" applyFont="1" applyFill="1" applyBorder="1"/>
    <xf numFmtId="331" fontId="11" fillId="0" borderId="122" xfId="4339" applyNumberFormat="1" applyFont="1" applyFill="1" applyBorder="1"/>
    <xf numFmtId="331" fontId="11" fillId="0" borderId="122" xfId="0" applyNumberFormat="1" applyFont="1" applyBorder="1" applyAlignment="1">
      <alignment horizontal="right"/>
    </xf>
    <xf numFmtId="331" fontId="11" fillId="0" borderId="137" xfId="0" applyNumberFormat="1" applyFont="1" applyBorder="1" applyAlignment="1">
      <alignment horizontal="right"/>
    </xf>
    <xf numFmtId="0" fontId="0" fillId="0" borderId="123" xfId="0" applyBorder="1"/>
    <xf numFmtId="331" fontId="0" fillId="0" borderId="138" xfId="4339" applyNumberFormat="1" applyFont="1" applyBorder="1"/>
    <xf numFmtId="0" fontId="246" fillId="0" borderId="0" xfId="0" applyFont="1"/>
    <xf numFmtId="0" fontId="257" fillId="64" borderId="67" xfId="0" applyFont="1" applyFill="1" applyBorder="1" applyAlignment="1">
      <alignment horizontal="center" wrapText="1"/>
    </xf>
    <xf numFmtId="0" fontId="0" fillId="0" borderId="21" xfId="0" applyBorder="1" applyAlignment="1" applyProtection="1">
      <alignment horizontal="center" vertical="center" wrapText="1"/>
      <protection locked="0"/>
    </xf>
    <xf numFmtId="0" fontId="0" fillId="0" borderId="77" xfId="0" applyBorder="1" applyAlignment="1" applyProtection="1">
      <alignment horizontal="left"/>
      <protection locked="0"/>
    </xf>
    <xf numFmtId="0" fontId="0" fillId="0" borderId="73" xfId="0" applyBorder="1" applyAlignment="1">
      <alignment horizontal="left" indent="1"/>
    </xf>
    <xf numFmtId="164" fontId="0" fillId="0" borderId="134" xfId="4" applyNumberFormat="1" applyFont="1" applyFill="1" applyBorder="1"/>
    <xf numFmtId="331" fontId="11" fillId="0" borderId="134" xfId="0" applyNumberFormat="1" applyFont="1" applyBorder="1" applyAlignment="1">
      <alignment horizontal="right"/>
    </xf>
    <xf numFmtId="331" fontId="0" fillId="0" borderId="134" xfId="4339" applyNumberFormat="1" applyFont="1" applyFill="1" applyBorder="1"/>
    <xf numFmtId="331" fontId="11" fillId="0" borderId="134" xfId="4339" applyNumberFormat="1" applyFont="1" applyFill="1" applyBorder="1"/>
    <xf numFmtId="0" fontId="18" fillId="0" borderId="101" xfId="0" applyFont="1" applyBorder="1" applyProtection="1">
      <protection locked="0"/>
    </xf>
    <xf numFmtId="0" fontId="0" fillId="0" borderId="99" xfId="0" applyBorder="1" applyAlignment="1">
      <alignment horizontal="center" wrapText="1"/>
    </xf>
    <xf numFmtId="0" fontId="0" fillId="0" borderId="91" xfId="0" applyBorder="1" applyAlignment="1">
      <alignment horizontal="center" wrapText="1"/>
    </xf>
    <xf numFmtId="0" fontId="0" fillId="0" borderId="61" xfId="0" applyBorder="1" applyAlignment="1">
      <alignment horizontal="center" vertical="center"/>
    </xf>
    <xf numFmtId="0" fontId="0" fillId="0" borderId="61" xfId="0" quotePrefix="1" applyBorder="1" applyAlignment="1">
      <alignment horizontal="center" vertical="center"/>
    </xf>
    <xf numFmtId="0" fontId="0" fillId="0" borderId="81" xfId="0" applyBorder="1" applyAlignment="1">
      <alignment horizontal="center" vertical="center" wrapText="1"/>
    </xf>
    <xf numFmtId="0" fontId="81" fillId="0" borderId="0" xfId="0" applyFont="1"/>
    <xf numFmtId="0" fontId="0" fillId="0" borderId="54" xfId="0" applyBorder="1" applyAlignment="1" applyProtection="1">
      <alignment horizontal="center" vertical="center" wrapText="1"/>
      <protection locked="0"/>
    </xf>
    <xf numFmtId="3" fontId="0" fillId="0" borderId="76" xfId="0" applyNumberFormat="1" applyBorder="1" applyAlignment="1">
      <alignment horizontal="right" vertical="center"/>
    </xf>
    <xf numFmtId="0" fontId="18" fillId="58" borderId="92" xfId="0" applyFont="1" applyFill="1" applyBorder="1" applyAlignment="1">
      <alignment horizontal="center" vertical="center" wrapText="1"/>
    </xf>
    <xf numFmtId="0" fontId="18" fillId="58" borderId="89" xfId="0" applyFont="1" applyFill="1" applyBorder="1" applyAlignment="1">
      <alignment horizontal="center" vertical="center" wrapText="1"/>
    </xf>
    <xf numFmtId="0" fontId="18" fillId="58" borderId="98" xfId="0" applyFont="1" applyFill="1" applyBorder="1" applyAlignment="1">
      <alignment horizontal="center" vertical="center" wrapText="1"/>
    </xf>
    <xf numFmtId="0" fontId="0" fillId="0" borderId="68" xfId="0" applyBorder="1" applyAlignment="1">
      <alignment horizontal="center"/>
    </xf>
    <xf numFmtId="0" fontId="0" fillId="0" borderId="56" xfId="0" applyBorder="1" applyAlignment="1">
      <alignment horizontal="left" vertical="center" indent="1"/>
    </xf>
    <xf numFmtId="0" fontId="0" fillId="0" borderId="112" xfId="0" applyBorder="1" applyAlignment="1">
      <alignment horizontal="left" vertical="center" indent="1"/>
    </xf>
    <xf numFmtId="0" fontId="257" fillId="0" borderId="70" xfId="0" applyFont="1" applyBorder="1" applyAlignment="1">
      <alignment horizontal="left" vertical="center" indent="1"/>
    </xf>
    <xf numFmtId="0" fontId="257" fillId="0" borderId="56" xfId="0" applyFont="1" applyBorder="1" applyAlignment="1">
      <alignment horizontal="left" vertical="center" indent="1"/>
    </xf>
    <xf numFmtId="331" fontId="11" fillId="0" borderId="38" xfId="4339" applyNumberFormat="1" applyFont="1" applyFill="1" applyBorder="1"/>
    <xf numFmtId="331" fontId="11" fillId="0" borderId="55" xfId="4339" applyNumberFormat="1" applyFont="1" applyFill="1" applyBorder="1"/>
    <xf numFmtId="164" fontId="0" fillId="61" borderId="38" xfId="4" applyNumberFormat="1" applyFont="1" applyFill="1" applyBorder="1"/>
    <xf numFmtId="164" fontId="0" fillId="61" borderId="54" xfId="4" applyNumberFormat="1" applyFont="1" applyFill="1" applyBorder="1"/>
    <xf numFmtId="164" fontId="0" fillId="61" borderId="55" xfId="4" applyNumberFormat="1" applyFont="1" applyFill="1" applyBorder="1"/>
    <xf numFmtId="164" fontId="0" fillId="0" borderId="85" xfId="0" applyNumberFormat="1" applyBorder="1"/>
    <xf numFmtId="331" fontId="11" fillId="0" borderId="136" xfId="4339" applyNumberFormat="1" applyFont="1" applyFill="1" applyBorder="1"/>
    <xf numFmtId="164" fontId="0" fillId="61" borderId="134" xfId="4" applyNumberFormat="1" applyFont="1" applyFill="1" applyBorder="1"/>
    <xf numFmtId="164" fontId="0" fillId="61" borderId="136" xfId="4" applyNumberFormat="1" applyFont="1" applyFill="1" applyBorder="1"/>
    <xf numFmtId="0" fontId="0" fillId="0" borderId="67" xfId="0" applyBorder="1" applyAlignment="1">
      <alignment horizontal="left" indent="1"/>
    </xf>
    <xf numFmtId="0" fontId="257" fillId="0" borderId="93" xfId="0" applyFont="1" applyBorder="1" applyAlignment="1">
      <alignment horizontal="left" vertical="center" indent="1"/>
    </xf>
    <xf numFmtId="331" fontId="0" fillId="0" borderId="105" xfId="4339" applyNumberFormat="1" applyFont="1" applyFill="1" applyBorder="1"/>
    <xf numFmtId="331" fontId="11" fillId="0" borderId="103" xfId="4339" applyNumberFormat="1" applyFont="1" applyFill="1" applyBorder="1"/>
    <xf numFmtId="331" fontId="11" fillId="0" borderId="82" xfId="4339" applyNumberFormat="1" applyFont="1" applyFill="1" applyBorder="1"/>
    <xf numFmtId="164" fontId="0" fillId="61" borderId="103" xfId="4" applyNumberFormat="1" applyFont="1" applyFill="1" applyBorder="1"/>
    <xf numFmtId="164" fontId="0" fillId="61" borderId="105" xfId="4" applyNumberFormat="1" applyFont="1" applyFill="1" applyBorder="1"/>
    <xf numFmtId="164" fontId="0" fillId="61" borderId="82" xfId="4" applyNumberFormat="1" applyFont="1" applyFill="1" applyBorder="1"/>
    <xf numFmtId="164" fontId="0" fillId="0" borderId="75" xfId="0" applyNumberFormat="1" applyBorder="1"/>
    <xf numFmtId="164" fontId="247" fillId="61" borderId="59" xfId="4" applyNumberFormat="1" applyFont="1" applyFill="1" applyBorder="1"/>
    <xf numFmtId="164" fontId="247" fillId="61" borderId="90" xfId="4" applyNumberFormat="1" applyFont="1" applyFill="1" applyBorder="1"/>
    <xf numFmtId="164" fontId="247" fillId="61" borderId="21" xfId="4" applyNumberFormat="1" applyFont="1" applyFill="1" applyBorder="1"/>
    <xf numFmtId="164" fontId="247" fillId="61" borderId="58" xfId="4" applyNumberFormat="1" applyFont="1" applyFill="1" applyBorder="1"/>
    <xf numFmtId="164" fontId="247" fillId="61" borderId="134" xfId="4" applyNumberFormat="1" applyFont="1" applyFill="1" applyBorder="1"/>
    <xf numFmtId="164" fontId="247" fillId="61" borderId="136" xfId="4" applyNumberFormat="1" applyFont="1" applyFill="1" applyBorder="1"/>
    <xf numFmtId="164" fontId="247" fillId="61" borderId="64" xfId="4" applyNumberFormat="1" applyFont="1" applyFill="1" applyBorder="1"/>
    <xf numFmtId="164" fontId="247" fillId="61" borderId="95" xfId="4" applyNumberFormat="1" applyFont="1" applyFill="1" applyBorder="1"/>
    <xf numFmtId="164" fontId="257" fillId="0" borderId="94" xfId="0" applyNumberFormat="1" applyFont="1" applyBorder="1"/>
    <xf numFmtId="164" fontId="257" fillId="0" borderId="80" xfId="0" applyNumberFormat="1" applyFont="1" applyBorder="1"/>
    <xf numFmtId="164" fontId="257" fillId="0" borderId="63" xfId="0" applyNumberFormat="1" applyFont="1" applyBorder="1"/>
    <xf numFmtId="164" fontId="257" fillId="0" borderId="86" xfId="0" applyNumberFormat="1" applyFont="1" applyBorder="1"/>
    <xf numFmtId="164" fontId="257" fillId="0" borderId="53" xfId="0" applyNumberFormat="1" applyFont="1" applyBorder="1"/>
    <xf numFmtId="164" fontId="257" fillId="0" borderId="76" xfId="0" applyNumberFormat="1" applyFont="1" applyBorder="1"/>
    <xf numFmtId="164" fontId="257" fillId="0" borderId="85" xfId="0" applyNumberFormat="1" applyFont="1" applyBorder="1"/>
    <xf numFmtId="37" fontId="247" fillId="0" borderId="89" xfId="4" applyNumberFormat="1" applyFont="1" applyFill="1" applyBorder="1"/>
    <xf numFmtId="37" fontId="247" fillId="0" borderId="98" xfId="4" applyNumberFormat="1" applyFont="1" applyFill="1" applyBorder="1"/>
    <xf numFmtId="37" fontId="247" fillId="0" borderId="59" xfId="4" applyNumberFormat="1" applyFont="1" applyFill="1" applyBorder="1"/>
    <xf numFmtId="37" fontId="247" fillId="0" borderId="90" xfId="4" applyNumberFormat="1" applyFont="1" applyFill="1" applyBorder="1"/>
    <xf numFmtId="331" fontId="247" fillId="0" borderId="64" xfId="4339" applyNumberFormat="1" applyFont="1" applyFill="1" applyBorder="1"/>
    <xf numFmtId="331" fontId="247" fillId="0" borderId="95" xfId="4339" applyNumberFormat="1" applyFont="1" applyFill="1" applyBorder="1"/>
    <xf numFmtId="331" fontId="247" fillId="0" borderId="89" xfId="4339" applyNumberFormat="1" applyFont="1" applyFill="1" applyBorder="1"/>
    <xf numFmtId="331" fontId="247" fillId="0" borderId="98" xfId="4339" applyNumberFormat="1" applyFont="1" applyFill="1" applyBorder="1"/>
    <xf numFmtId="331" fontId="247" fillId="0" borderId="90" xfId="4339" applyNumberFormat="1" applyFont="1" applyFill="1" applyBorder="1"/>
    <xf numFmtId="331" fontId="247" fillId="0" borderId="134" xfId="4339" applyNumberFormat="1" applyFont="1" applyFill="1" applyBorder="1"/>
    <xf numFmtId="331" fontId="247" fillId="0" borderId="136" xfId="4339" applyNumberFormat="1" applyFont="1" applyFill="1" applyBorder="1"/>
    <xf numFmtId="331" fontId="247" fillId="0" borderId="94" xfId="4339" applyNumberFormat="1" applyFont="1" applyFill="1" applyBorder="1"/>
    <xf numFmtId="331" fontId="247" fillId="0" borderId="86" xfId="4339" applyNumberFormat="1" applyFont="1" applyFill="1" applyBorder="1"/>
    <xf numFmtId="164" fontId="247" fillId="61" borderId="89" xfId="4" applyNumberFormat="1" applyFont="1" applyFill="1" applyBorder="1"/>
    <xf numFmtId="0" fontId="16" fillId="0" borderId="0" xfId="0" applyFont="1"/>
    <xf numFmtId="0" fontId="16" fillId="0" borderId="0" xfId="0" applyFont="1" applyAlignment="1">
      <alignment horizontal="center"/>
    </xf>
    <xf numFmtId="0" fontId="11" fillId="0" borderId="83" xfId="0" applyFont="1" applyBorder="1" applyAlignment="1">
      <alignment horizontal="left" wrapText="1" indent="1"/>
    </xf>
    <xf numFmtId="0" fontId="11" fillId="0" borderId="100" xfId="0" applyFont="1" applyBorder="1" applyAlignment="1">
      <alignment horizontal="left" indent="1"/>
    </xf>
    <xf numFmtId="331" fontId="0" fillId="0" borderId="0" xfId="0" applyNumberFormat="1" applyAlignment="1">
      <alignment horizontal="center" vertical="center"/>
    </xf>
    <xf numFmtId="0" fontId="257" fillId="0" borderId="77" xfId="0" applyFont="1" applyBorder="1" applyAlignment="1">
      <alignment horizontal="center" vertical="center"/>
    </xf>
    <xf numFmtId="0" fontId="0" fillId="0" borderId="116" xfId="0" applyBorder="1" applyAlignment="1" applyProtection="1">
      <alignment horizontal="center"/>
      <protection locked="0"/>
    </xf>
    <xf numFmtId="0" fontId="267" fillId="55" borderId="49" xfId="0" applyFont="1" applyFill="1" applyBorder="1" applyAlignment="1">
      <alignment horizontal="center" vertical="center" wrapText="1" readingOrder="1"/>
    </xf>
    <xf numFmtId="0" fontId="267" fillId="55" borderId="1" xfId="0" applyFont="1" applyFill="1" applyBorder="1" applyAlignment="1">
      <alignment horizontal="center" vertical="center" wrapText="1" readingOrder="1"/>
    </xf>
    <xf numFmtId="0" fontId="267" fillId="56" borderId="49" xfId="0" applyFont="1" applyFill="1" applyBorder="1" applyAlignment="1">
      <alignment horizontal="center" vertical="center" wrapText="1" readingOrder="1"/>
    </xf>
    <xf numFmtId="0" fontId="267" fillId="56" borderId="1" xfId="0" applyFont="1" applyFill="1" applyBorder="1" applyAlignment="1">
      <alignment horizontal="center" vertical="center" wrapText="1" readingOrder="1"/>
    </xf>
    <xf numFmtId="190" fontId="268" fillId="54" borderId="1" xfId="0" applyNumberFormat="1" applyFont="1" applyFill="1" applyBorder="1" applyAlignment="1">
      <alignment horizontal="center" wrapText="1" readingOrder="1"/>
    </xf>
    <xf numFmtId="190" fontId="268" fillId="54" borderId="1" xfId="0" applyNumberFormat="1" applyFont="1" applyFill="1" applyBorder="1" applyAlignment="1">
      <alignment horizontal="center"/>
    </xf>
    <xf numFmtId="9" fontId="268" fillId="54" borderId="1" xfId="0" applyNumberFormat="1" applyFont="1" applyFill="1" applyBorder="1" applyAlignment="1">
      <alignment horizontal="center" wrapText="1" readingOrder="1"/>
    </xf>
    <xf numFmtId="9" fontId="268" fillId="54" borderId="1" xfId="0" applyNumberFormat="1" applyFont="1" applyFill="1" applyBorder="1" applyAlignment="1">
      <alignment horizontal="center"/>
    </xf>
    <xf numFmtId="9" fontId="268" fillId="54" borderId="1" xfId="2" applyFont="1" applyFill="1" applyBorder="1" applyAlignment="1">
      <alignment horizontal="center" wrapText="1" readingOrder="1"/>
    </xf>
    <xf numFmtId="9" fontId="269" fillId="54" borderId="1" xfId="0" applyNumberFormat="1" applyFont="1" applyFill="1" applyBorder="1" applyAlignment="1">
      <alignment horizontal="center" wrapText="1" readingOrder="1"/>
    </xf>
    <xf numFmtId="331" fontId="257" fillId="64" borderId="68" xfId="4339" applyNumberFormat="1" applyFont="1" applyFill="1" applyBorder="1"/>
    <xf numFmtId="331" fontId="257" fillId="0" borderId="59" xfId="4339" applyNumberFormat="1" applyFont="1" applyFill="1" applyBorder="1"/>
    <xf numFmtId="331" fontId="257" fillId="0" borderId="134" xfId="4339" applyNumberFormat="1" applyFont="1" applyFill="1" applyBorder="1"/>
    <xf numFmtId="331" fontId="257" fillId="0" borderId="21" xfId="4339" applyNumberFormat="1" applyFont="1" applyFill="1" applyBorder="1"/>
    <xf numFmtId="164" fontId="257" fillId="64" borderId="105" xfId="4" applyNumberFormat="1" applyFont="1" applyFill="1" applyBorder="1"/>
    <xf numFmtId="331" fontId="257" fillId="0" borderId="54" xfId="4339" applyNumberFormat="1" applyFont="1" applyFill="1" applyBorder="1"/>
    <xf numFmtId="331" fontId="257" fillId="0" borderId="103" xfId="4339" applyNumberFormat="1" applyFont="1" applyFill="1" applyBorder="1"/>
    <xf numFmtId="331" fontId="257" fillId="0" borderId="82" xfId="4339" applyNumberFormat="1" applyFont="1" applyFill="1" applyBorder="1"/>
    <xf numFmtId="164" fontId="257" fillId="61" borderId="105" xfId="4" applyNumberFormat="1" applyFont="1" applyFill="1" applyBorder="1"/>
    <xf numFmtId="164" fontId="257" fillId="61" borderId="82" xfId="4" applyNumberFormat="1" applyFont="1" applyFill="1" applyBorder="1"/>
    <xf numFmtId="164" fontId="257" fillId="61" borderId="68" xfId="4" applyNumberFormat="1" applyFont="1" applyFill="1" applyBorder="1"/>
    <xf numFmtId="164" fontId="257" fillId="61" borderId="69" xfId="4" applyNumberFormat="1" applyFont="1" applyFill="1" applyBorder="1"/>
    <xf numFmtId="331" fontId="257" fillId="0" borderId="95" xfId="4339" applyNumberFormat="1" applyFont="1" applyFill="1" applyBorder="1"/>
    <xf numFmtId="331" fontId="257" fillId="0" borderId="98" xfId="4339" applyNumberFormat="1" applyFont="1" applyFill="1" applyBorder="1"/>
    <xf numFmtId="331" fontId="257" fillId="0" borderId="90" xfId="4339" applyNumberFormat="1" applyFont="1" applyFill="1" applyBorder="1"/>
    <xf numFmtId="331" fontId="257" fillId="0" borderId="89" xfId="4339" applyNumberFormat="1" applyFont="1" applyFill="1" applyBorder="1"/>
    <xf numFmtId="331" fontId="257" fillId="0" borderId="136" xfId="4339" applyNumberFormat="1" applyFont="1" applyFill="1" applyBorder="1"/>
    <xf numFmtId="331" fontId="257" fillId="0" borderId="38" xfId="4339" applyNumberFormat="1" applyFont="1" applyFill="1" applyBorder="1"/>
    <xf numFmtId="331" fontId="257" fillId="0" borderId="55" xfId="4339" applyNumberFormat="1" applyFont="1" applyFill="1" applyBorder="1"/>
    <xf numFmtId="331" fontId="257" fillId="0" borderId="94" xfId="4339" applyNumberFormat="1" applyFont="1" applyFill="1" applyBorder="1"/>
    <xf numFmtId="164" fontId="257" fillId="61" borderId="21" xfId="4" applyNumberFormat="1" applyFont="1" applyFill="1" applyBorder="1"/>
    <xf numFmtId="164" fontId="257" fillId="61" borderId="58" xfId="4" applyNumberFormat="1" applyFont="1" applyFill="1" applyBorder="1"/>
    <xf numFmtId="164" fontId="257" fillId="61" borderId="59" xfId="4" applyNumberFormat="1" applyFont="1" applyFill="1" applyBorder="1"/>
    <xf numFmtId="164" fontId="257" fillId="61" borderId="90" xfId="4" applyNumberFormat="1" applyFont="1" applyFill="1" applyBorder="1"/>
    <xf numFmtId="164" fontId="257" fillId="61" borderId="134" xfId="4" applyNumberFormat="1" applyFont="1" applyFill="1" applyBorder="1"/>
    <xf numFmtId="164" fontId="257" fillId="61" borderId="136" xfId="4" applyNumberFormat="1" applyFont="1" applyFill="1" applyBorder="1"/>
    <xf numFmtId="164" fontId="257" fillId="61" borderId="54" xfId="4" applyNumberFormat="1" applyFont="1" applyFill="1" applyBorder="1"/>
    <xf numFmtId="164" fontId="257" fillId="61" borderId="55" xfId="4" applyNumberFormat="1" applyFont="1" applyFill="1" applyBorder="1"/>
    <xf numFmtId="164" fontId="257" fillId="61" borderId="64" xfId="4" applyNumberFormat="1" applyFont="1" applyFill="1" applyBorder="1"/>
    <xf numFmtId="164" fontId="257" fillId="61" borderId="95" xfId="4" applyNumberFormat="1" applyFont="1" applyFill="1" applyBorder="1"/>
    <xf numFmtId="0" fontId="0" fillId="0" borderId="59" xfId="0" applyBorder="1" applyAlignment="1" applyProtection="1">
      <alignment vertical="center"/>
      <protection locked="0"/>
    </xf>
    <xf numFmtId="164" fontId="257" fillId="0" borderId="61" xfId="4" applyNumberFormat="1" applyFont="1" applyFill="1" applyBorder="1" applyAlignment="1">
      <alignment horizontal="right"/>
    </xf>
    <xf numFmtId="164" fontId="257" fillId="0" borderId="59" xfId="4" applyNumberFormat="1" applyFont="1" applyBorder="1" applyAlignment="1"/>
    <xf numFmtId="331" fontId="257" fillId="0" borderId="90" xfId="0" applyNumberFormat="1" applyFont="1" applyBorder="1" applyAlignment="1">
      <alignment horizontal="right"/>
    </xf>
    <xf numFmtId="331" fontId="257" fillId="0" borderId="90" xfId="0" applyNumberFormat="1" applyFont="1" applyBorder="1" applyAlignment="1">
      <alignment horizontal="right" vertical="center"/>
    </xf>
    <xf numFmtId="331" fontId="257" fillId="0" borderId="64" xfId="0" applyNumberFormat="1" applyFont="1" applyBorder="1" applyAlignment="1">
      <alignment horizontal="right" vertical="center"/>
    </xf>
    <xf numFmtId="331" fontId="257" fillId="0" borderId="95" xfId="0" applyNumberFormat="1" applyFont="1" applyBorder="1" applyAlignment="1">
      <alignment horizontal="right" vertical="center"/>
    </xf>
    <xf numFmtId="164" fontId="257" fillId="0" borderId="90" xfId="4" applyNumberFormat="1" applyFont="1" applyFill="1" applyBorder="1" applyAlignment="1">
      <alignment horizontal="right"/>
    </xf>
    <xf numFmtId="164" fontId="257" fillId="0" borderId="90" xfId="4" applyNumberFormat="1" applyFont="1" applyFill="1" applyBorder="1" applyAlignment="1">
      <alignment horizontal="right" vertical="center"/>
    </xf>
    <xf numFmtId="164" fontId="257" fillId="0" borderId="64" xfId="4" applyNumberFormat="1" applyFont="1" applyFill="1" applyBorder="1" applyAlignment="1">
      <alignment horizontal="right" vertical="center"/>
    </xf>
    <xf numFmtId="164" fontId="257" fillId="0" borderId="95" xfId="4" applyNumberFormat="1" applyFont="1" applyFill="1" applyBorder="1" applyAlignment="1">
      <alignment horizontal="right" vertical="center"/>
    </xf>
    <xf numFmtId="3" fontId="257" fillId="0" borderId="97" xfId="0" applyNumberFormat="1" applyFont="1" applyBorder="1"/>
    <xf numFmtId="3" fontId="257" fillId="0" borderId="53" xfId="0" applyNumberFormat="1" applyFont="1" applyBorder="1"/>
    <xf numFmtId="331" fontId="257" fillId="0" borderId="86" xfId="0" applyNumberFormat="1" applyFont="1" applyBorder="1" applyAlignment="1" applyProtection="1">
      <alignment horizontal="center"/>
      <protection locked="0"/>
    </xf>
    <xf numFmtId="164" fontId="257" fillId="0" borderId="96" xfId="4" applyNumberFormat="1" applyFont="1" applyBorder="1" applyAlignment="1"/>
    <xf numFmtId="164" fontId="257" fillId="0" borderId="3" xfId="4" applyNumberFormat="1" applyFont="1" applyBorder="1" applyAlignment="1"/>
    <xf numFmtId="164" fontId="257" fillId="0" borderId="61" xfId="4" applyNumberFormat="1" applyFont="1" applyBorder="1" applyAlignment="1"/>
    <xf numFmtId="164" fontId="257" fillId="0" borderId="38" xfId="4" applyNumberFormat="1" applyFont="1" applyFill="1" applyBorder="1" applyAlignment="1"/>
    <xf numFmtId="164" fontId="257" fillId="0" borderId="63" xfId="4" applyNumberFormat="1" applyFont="1" applyFill="1" applyBorder="1" applyAlignment="1"/>
    <xf numFmtId="331" fontId="247" fillId="0" borderId="0" xfId="4339" applyNumberFormat="1" applyFont="1"/>
    <xf numFmtId="0" fontId="0" fillId="0" borderId="54" xfId="0" applyBorder="1" applyAlignment="1">
      <alignment horizontal="center" vertical="center" wrapText="1"/>
    </xf>
    <xf numFmtId="164" fontId="247" fillId="0" borderId="0" xfId="4343" applyNumberFormat="1" applyFont="1"/>
    <xf numFmtId="0" fontId="254" fillId="0" borderId="0" xfId="0" applyFont="1"/>
    <xf numFmtId="0" fontId="273" fillId="54" borderId="0" xfId="0" applyFont="1" applyFill="1" applyAlignment="1">
      <alignment horizontal="left" vertical="center"/>
    </xf>
    <xf numFmtId="0" fontId="273" fillId="54" borderId="0" xfId="0" applyFont="1" applyFill="1"/>
    <xf numFmtId="331" fontId="0" fillId="0" borderId="0" xfId="0" applyNumberFormat="1"/>
    <xf numFmtId="0" fontId="0" fillId="0" borderId="3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38" xfId="0" applyBorder="1" applyAlignment="1">
      <alignment horizontal="center" vertical="center" wrapText="1"/>
    </xf>
    <xf numFmtId="0" fontId="18" fillId="58" borderId="89" xfId="0" applyFont="1" applyFill="1" applyBorder="1" applyAlignment="1">
      <alignment horizontal="center" wrapText="1"/>
    </xf>
    <xf numFmtId="164" fontId="0" fillId="0" borderId="134" xfId="0" applyNumberFormat="1" applyBorder="1"/>
    <xf numFmtId="331" fontId="0" fillId="61" borderId="134" xfId="4339" applyNumberFormat="1" applyFont="1" applyFill="1" applyBorder="1"/>
    <xf numFmtId="37" fontId="0" fillId="0" borderId="105" xfId="0" applyNumberFormat="1" applyBorder="1"/>
    <xf numFmtId="164" fontId="0" fillId="0" borderId="89" xfId="0" applyNumberFormat="1" applyBorder="1"/>
    <xf numFmtId="164" fontId="0" fillId="0" borderId="54" xfId="0" applyNumberFormat="1" applyBorder="1"/>
    <xf numFmtId="164" fontId="11" fillId="0" borderId="0" xfId="4340" applyNumberFormat="1" applyFont="1"/>
    <xf numFmtId="330" fontId="0" fillId="0" borderId="111" xfId="0" applyNumberFormat="1" applyBorder="1"/>
    <xf numFmtId="330" fontId="0" fillId="0" borderId="110" xfId="0" applyNumberFormat="1" applyBorder="1" applyAlignment="1">
      <alignment horizontal="right"/>
    </xf>
    <xf numFmtId="0" fontId="257" fillId="0" borderId="61" xfId="0" applyFont="1" applyBorder="1" applyAlignment="1" applyProtection="1">
      <alignment horizontal="center"/>
      <protection locked="0"/>
    </xf>
    <xf numFmtId="0" fontId="257" fillId="0" borderId="81" xfId="0" applyFont="1" applyBorder="1" applyAlignment="1" applyProtection="1">
      <alignment horizontal="center"/>
      <protection locked="0"/>
    </xf>
    <xf numFmtId="0" fontId="257" fillId="0" borderId="3" xfId="0" applyFont="1" applyBorder="1" applyAlignment="1" applyProtection="1">
      <alignment horizontal="center"/>
      <protection locked="0"/>
    </xf>
    <xf numFmtId="0" fontId="11" fillId="0" borderId="61" xfId="0" applyFont="1" applyBorder="1" applyAlignment="1" applyProtection="1">
      <alignment horizontal="center"/>
      <protection locked="0"/>
    </xf>
    <xf numFmtId="164" fontId="0" fillId="0" borderId="126" xfId="4" applyNumberFormat="1" applyFont="1" applyFill="1" applyBorder="1" applyAlignment="1">
      <alignment horizontal="right"/>
    </xf>
    <xf numFmtId="164" fontId="0" fillId="0" borderId="122" xfId="4" applyNumberFormat="1" applyFont="1" applyFill="1" applyBorder="1" applyAlignment="1">
      <alignment horizontal="right"/>
    </xf>
    <xf numFmtId="164" fontId="0" fillId="0" borderId="137" xfId="4" applyNumberFormat="1" applyFont="1" applyFill="1" applyBorder="1" applyAlignment="1">
      <alignment horizontal="right"/>
    </xf>
    <xf numFmtId="164" fontId="0" fillId="0" borderId="122" xfId="4" applyNumberFormat="1" applyFont="1" applyBorder="1" applyAlignment="1"/>
    <xf numFmtId="164" fontId="0" fillId="0" borderId="122" xfId="4" applyNumberFormat="1" applyFont="1" applyFill="1" applyBorder="1" applyAlignment="1">
      <alignment horizontal="center" vertical="center"/>
    </xf>
    <xf numFmtId="164" fontId="0" fillId="0" borderId="137" xfId="4" applyNumberFormat="1" applyFont="1" applyFill="1" applyBorder="1" applyAlignment="1">
      <alignment horizontal="center" vertical="center"/>
    </xf>
    <xf numFmtId="331" fontId="0" fillId="0" borderId="126" xfId="0" applyNumberFormat="1" applyBorder="1" applyAlignment="1">
      <alignment horizontal="right"/>
    </xf>
    <xf numFmtId="331" fontId="0" fillId="0" borderId="122" xfId="0" applyNumberFormat="1" applyBorder="1" applyAlignment="1">
      <alignment horizontal="right"/>
    </xf>
    <xf numFmtId="331" fontId="0" fillId="0" borderId="137" xfId="0" applyNumberFormat="1" applyBorder="1" applyAlignment="1">
      <alignment horizontal="right"/>
    </xf>
    <xf numFmtId="331" fontId="0" fillId="0" borderId="122" xfId="0" applyNumberFormat="1" applyBorder="1"/>
    <xf numFmtId="331" fontId="0" fillId="0" borderId="122" xfId="0" applyNumberFormat="1" applyBorder="1" applyAlignment="1">
      <alignment horizontal="center" vertical="center"/>
    </xf>
    <xf numFmtId="331" fontId="0" fillId="0" borderId="122" xfId="0" applyNumberFormat="1" applyBorder="1" applyAlignment="1">
      <alignment horizontal="left" vertical="center"/>
    </xf>
    <xf numFmtId="331" fontId="0" fillId="0" borderId="137" xfId="0" applyNumberFormat="1" applyBorder="1" applyAlignment="1">
      <alignment horizontal="center" vertical="center"/>
    </xf>
    <xf numFmtId="331" fontId="0" fillId="0" borderId="127" xfId="0" applyNumberFormat="1" applyBorder="1" applyAlignment="1">
      <alignment horizontal="center" vertical="center"/>
    </xf>
    <xf numFmtId="0" fontId="11" fillId="0" borderId="21" xfId="0" applyFont="1" applyBorder="1" applyAlignment="1" applyProtection="1">
      <alignment vertical="center"/>
      <protection locked="0"/>
    </xf>
    <xf numFmtId="0" fontId="18" fillId="58" borderId="142" xfId="0" applyFont="1" applyFill="1" applyBorder="1" applyAlignment="1">
      <alignment horizontal="center"/>
    </xf>
    <xf numFmtId="0" fontId="18" fillId="58" borderId="133" xfId="0" applyFont="1" applyFill="1" applyBorder="1" applyAlignment="1">
      <alignment horizontal="center"/>
    </xf>
    <xf numFmtId="0" fontId="18" fillId="58" borderId="134" xfId="0" applyFont="1" applyFill="1" applyBorder="1" applyAlignment="1">
      <alignment horizontal="center"/>
    </xf>
    <xf numFmtId="0" fontId="18" fillId="58" borderId="135" xfId="0" applyFont="1" applyFill="1" applyBorder="1" applyAlignment="1">
      <alignment horizontal="center" wrapText="1"/>
    </xf>
    <xf numFmtId="0" fontId="0" fillId="0" borderId="77" xfId="0" applyBorder="1" applyAlignment="1">
      <alignment horizontal="left" indent="1"/>
    </xf>
    <xf numFmtId="0" fontId="0" fillId="0" borderId="140" xfId="0" applyBorder="1"/>
    <xf numFmtId="0" fontId="276" fillId="0" borderId="0" xfId="0" applyFont="1"/>
    <xf numFmtId="331" fontId="247" fillId="0" borderId="104" xfId="4339" applyNumberFormat="1" applyFont="1" applyFill="1" applyBorder="1"/>
    <xf numFmtId="0" fontId="277" fillId="0" borderId="0" xfId="0" applyFont="1"/>
    <xf numFmtId="0" fontId="274" fillId="0" borderId="0" xfId="0" applyFont="1"/>
    <xf numFmtId="37" fontId="0" fillId="0" borderId="0" xfId="0" applyNumberFormat="1"/>
    <xf numFmtId="3" fontId="0" fillId="0" borderId="0" xfId="0" applyNumberFormat="1" applyAlignment="1">
      <alignment horizontal="center"/>
    </xf>
    <xf numFmtId="0" fontId="0" fillId="53" borderId="0" xfId="0" applyFill="1"/>
    <xf numFmtId="190" fontId="176" fillId="0" borderId="0" xfId="2" applyNumberFormat="1" applyFont="1"/>
    <xf numFmtId="331" fontId="257" fillId="0" borderId="86" xfId="4339" applyNumberFormat="1" applyFont="1" applyFill="1" applyBorder="1"/>
    <xf numFmtId="3" fontId="257" fillId="0" borderId="21" xfId="0" applyNumberFormat="1" applyFont="1" applyBorder="1"/>
    <xf numFmtId="331" fontId="257" fillId="0" borderId="59" xfId="0" applyNumberFormat="1" applyFont="1" applyBorder="1" applyAlignment="1" applyProtection="1">
      <alignment horizontal="center"/>
      <protection locked="0"/>
    </xf>
    <xf numFmtId="0" fontId="18" fillId="60" borderId="76" xfId="0" applyFont="1" applyFill="1" applyBorder="1" applyAlignment="1" applyProtection="1">
      <alignment horizontal="center"/>
      <protection locked="0"/>
    </xf>
    <xf numFmtId="331" fontId="257" fillId="0" borderId="58" xfId="0" applyNumberFormat="1" applyFont="1" applyBorder="1" applyAlignment="1">
      <alignment horizontal="right"/>
    </xf>
    <xf numFmtId="164" fontId="0" fillId="0" borderId="77" xfId="4" applyNumberFormat="1" applyFont="1" applyFill="1" applyBorder="1" applyAlignment="1">
      <alignment horizontal="right"/>
    </xf>
    <xf numFmtId="164" fontId="0" fillId="0" borderId="64" xfId="4" applyNumberFormat="1" applyFont="1" applyFill="1" applyBorder="1" applyAlignment="1">
      <alignment horizontal="right" vertical="center"/>
    </xf>
    <xf numFmtId="0" fontId="278" fillId="0" borderId="59" xfId="0" applyFont="1" applyBorder="1" applyAlignment="1" applyProtection="1">
      <alignment horizontal="center" vertical="center"/>
      <protection locked="0"/>
    </xf>
    <xf numFmtId="331" fontId="11" fillId="0" borderId="64" xfId="0" applyNumberFormat="1" applyFont="1" applyBorder="1" applyAlignment="1">
      <alignment horizontal="right"/>
    </xf>
    <xf numFmtId="164" fontId="0" fillId="64" borderId="106" xfId="4" applyNumberFormat="1" applyFont="1" applyFill="1" applyBorder="1"/>
    <xf numFmtId="164" fontId="0" fillId="0" borderId="61" xfId="4" applyNumberFormat="1" applyFont="1" applyFill="1" applyBorder="1"/>
    <xf numFmtId="164" fontId="0" fillId="0" borderId="81" xfId="4" applyNumberFormat="1" applyFont="1" applyFill="1" applyBorder="1"/>
    <xf numFmtId="331" fontId="11" fillId="0" borderId="62" xfId="4339" applyNumberFormat="1" applyFont="1" applyFill="1" applyBorder="1"/>
    <xf numFmtId="331" fontId="11" fillId="0" borderId="99" xfId="4339" applyNumberFormat="1" applyFont="1" applyFill="1" applyBorder="1"/>
    <xf numFmtId="331" fontId="11" fillId="0" borderId="4" xfId="4339" applyNumberFormat="1" applyFont="1" applyFill="1" applyBorder="1"/>
    <xf numFmtId="331" fontId="247" fillId="0" borderId="61" xfId="0" applyNumberFormat="1" applyFont="1" applyBorder="1" applyAlignment="1">
      <alignment horizontal="right"/>
    </xf>
    <xf numFmtId="331" fontId="247" fillId="0" borderId="62" xfId="4339" applyNumberFormat="1" applyFont="1" applyFill="1" applyBorder="1"/>
    <xf numFmtId="331" fontId="247" fillId="0" borderId="99" xfId="4339" applyNumberFormat="1" applyFont="1" applyFill="1" applyBorder="1"/>
    <xf numFmtId="331" fontId="247" fillId="0" borderId="84" xfId="4339" applyNumberFormat="1" applyFont="1" applyFill="1" applyBorder="1"/>
    <xf numFmtId="331" fontId="0" fillId="0" borderId="74" xfId="4339" applyNumberFormat="1" applyFont="1" applyFill="1" applyBorder="1"/>
    <xf numFmtId="331" fontId="11" fillId="64" borderId="74" xfId="4339" applyNumberFormat="1" applyFont="1" applyFill="1" applyBorder="1"/>
    <xf numFmtId="331" fontId="257" fillId="64" borderId="69" xfId="4339" applyNumberFormat="1" applyFont="1" applyFill="1" applyBorder="1"/>
    <xf numFmtId="331" fontId="257" fillId="0" borderId="92" xfId="4339" applyNumberFormat="1" applyFont="1" applyFill="1" applyBorder="1"/>
    <xf numFmtId="331" fontId="257" fillId="0" borderId="133" xfId="4339" applyNumberFormat="1" applyFont="1" applyFill="1" applyBorder="1"/>
    <xf numFmtId="331" fontId="257" fillId="0" borderId="64" xfId="0" applyNumberFormat="1" applyFont="1" applyBorder="1" applyAlignment="1">
      <alignment horizontal="right"/>
    </xf>
    <xf numFmtId="331" fontId="0" fillId="0" borderId="133" xfId="4339" applyNumberFormat="1" applyFont="1" applyFill="1" applyBorder="1"/>
    <xf numFmtId="164" fontId="257" fillId="64" borderId="67" xfId="4" applyNumberFormat="1" applyFont="1" applyFill="1" applyBorder="1"/>
    <xf numFmtId="164" fontId="257" fillId="64" borderId="68" xfId="4" applyNumberFormat="1" applyFont="1" applyFill="1" applyBorder="1"/>
    <xf numFmtId="164" fontId="257" fillId="0" borderId="92" xfId="4" applyNumberFormat="1" applyFont="1" applyFill="1" applyBorder="1"/>
    <xf numFmtId="164" fontId="257" fillId="0" borderId="87" xfId="4" applyNumberFormat="1" applyFont="1" applyFill="1" applyBorder="1"/>
    <xf numFmtId="164" fontId="257" fillId="0" borderId="57" xfId="4" applyNumberFormat="1" applyFont="1" applyFill="1" applyBorder="1"/>
    <xf numFmtId="164" fontId="257" fillId="0" borderId="93" xfId="4" applyNumberFormat="1" applyFont="1" applyFill="1" applyBorder="1"/>
    <xf numFmtId="164" fontId="0" fillId="64" borderId="54" xfId="4" applyNumberFormat="1" applyFont="1" applyFill="1" applyBorder="1"/>
    <xf numFmtId="164" fontId="0" fillId="64" borderId="38" xfId="4" applyNumberFormat="1" applyFont="1" applyFill="1" applyBorder="1"/>
    <xf numFmtId="164" fontId="0" fillId="64" borderId="55" xfId="4" applyNumberFormat="1" applyFont="1" applyFill="1" applyBorder="1"/>
    <xf numFmtId="164" fontId="0" fillId="0" borderId="92" xfId="4" applyNumberFormat="1" applyFont="1" applyFill="1" applyBorder="1"/>
    <xf numFmtId="164" fontId="0" fillId="0" borderId="87" xfId="4" applyNumberFormat="1" applyFont="1" applyFill="1" applyBorder="1"/>
    <xf numFmtId="164" fontId="0" fillId="0" borderId="133" xfId="4" applyNumberFormat="1" applyFont="1" applyFill="1" applyBorder="1"/>
    <xf numFmtId="331" fontId="11" fillId="0" borderId="67" xfId="0" applyNumberFormat="1" applyFont="1" applyBorder="1" applyAlignment="1">
      <alignment horizontal="right"/>
    </xf>
    <xf numFmtId="164" fontId="257" fillId="0" borderId="3" xfId="4" applyNumberFormat="1" applyFont="1" applyFill="1" applyBorder="1" applyAlignment="1">
      <alignment horizontal="right"/>
    </xf>
    <xf numFmtId="164" fontId="257" fillId="0" borderId="81" xfId="4" applyNumberFormat="1" applyFont="1" applyFill="1" applyBorder="1" applyAlignment="1">
      <alignment horizontal="right"/>
    </xf>
    <xf numFmtId="0" fontId="18" fillId="60" borderId="64" xfId="0" applyFont="1" applyFill="1" applyBorder="1" applyAlignment="1" applyProtection="1">
      <alignment horizontal="center"/>
      <protection locked="0"/>
    </xf>
    <xf numFmtId="0" fontId="18" fillId="60" borderId="60" xfId="0" applyFont="1" applyFill="1" applyBorder="1" applyAlignment="1" applyProtection="1">
      <alignment horizontal="center"/>
      <protection locked="0"/>
    </xf>
    <xf numFmtId="164" fontId="257" fillId="0" borderId="96" xfId="4" applyNumberFormat="1" applyFont="1" applyFill="1" applyBorder="1" applyAlignment="1">
      <alignment horizontal="right"/>
    </xf>
    <xf numFmtId="164" fontId="257" fillId="0" borderId="89" xfId="4" applyNumberFormat="1" applyFont="1" applyFill="1" applyBorder="1" applyAlignment="1">
      <alignment horizontal="right"/>
    </xf>
    <xf numFmtId="164" fontId="257" fillId="0" borderId="94" xfId="4" applyNumberFormat="1" applyFont="1" applyFill="1" applyBorder="1" applyAlignment="1">
      <alignment horizontal="center" vertical="center"/>
    </xf>
    <xf numFmtId="164" fontId="257" fillId="0" borderId="84" xfId="4" applyNumberFormat="1" applyFont="1" applyFill="1" applyBorder="1" applyAlignment="1">
      <alignment horizontal="center" vertical="center"/>
    </xf>
    <xf numFmtId="164" fontId="257" fillId="0" borderId="64" xfId="4" applyNumberFormat="1" applyFont="1" applyFill="1" applyBorder="1" applyAlignment="1">
      <alignment horizontal="center" vertical="center"/>
    </xf>
    <xf numFmtId="0" fontId="272" fillId="60" borderId="64"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1" xfId="4" applyNumberFormat="1" applyFont="1" applyFill="1" applyBorder="1" applyAlignment="1">
      <alignment horizontal="right"/>
    </xf>
    <xf numFmtId="0" fontId="18" fillId="60" borderId="117" xfId="0" applyFont="1" applyFill="1" applyBorder="1" applyAlignment="1" applyProtection="1">
      <alignment horizontal="center"/>
      <protection locked="0"/>
    </xf>
    <xf numFmtId="164" fontId="0" fillId="0" borderId="92" xfId="4" applyNumberFormat="1" applyFont="1" applyFill="1" applyBorder="1" applyAlignment="1">
      <alignment horizontal="right"/>
    </xf>
    <xf numFmtId="164" fontId="0" fillId="0" borderId="89" xfId="4" applyNumberFormat="1" applyFont="1" applyFill="1" applyBorder="1" applyAlignment="1">
      <alignment horizontal="right"/>
    </xf>
    <xf numFmtId="164" fontId="0" fillId="0" borderId="98" xfId="4" applyNumberFormat="1" applyFont="1" applyFill="1" applyBorder="1" applyAlignment="1">
      <alignment horizontal="right"/>
    </xf>
    <xf numFmtId="164" fontId="0" fillId="0" borderId="57" xfId="4" applyNumberFormat="1" applyFont="1" applyFill="1" applyBorder="1" applyAlignment="1">
      <alignment horizontal="right"/>
    </xf>
    <xf numFmtId="164" fontId="0" fillId="0" borderId="58" xfId="4" applyNumberFormat="1" applyFont="1" applyFill="1" applyBorder="1" applyAlignment="1">
      <alignment horizontal="right"/>
    </xf>
    <xf numFmtId="164" fontId="0" fillId="0" borderId="100" xfId="4" applyNumberFormat="1" applyFont="1" applyFill="1" applyBorder="1" applyAlignment="1">
      <alignment horizontal="right"/>
    </xf>
    <xf numFmtId="164" fontId="0" fillId="0" borderId="133" xfId="4" applyNumberFormat="1" applyFont="1" applyFill="1" applyBorder="1" applyAlignment="1">
      <alignment horizontal="right"/>
    </xf>
    <xf numFmtId="164" fontId="0" fillId="0" borderId="134" xfId="4" applyNumberFormat="1" applyFont="1" applyFill="1" applyBorder="1" applyAlignment="1">
      <alignment horizontal="right"/>
    </xf>
    <xf numFmtId="164" fontId="0" fillId="0" borderId="136" xfId="4" applyNumberFormat="1" applyFont="1" applyFill="1" applyBorder="1" applyAlignment="1">
      <alignment horizontal="right"/>
    </xf>
    <xf numFmtId="164" fontId="0" fillId="0" borderId="94" xfId="4" applyNumberFormat="1" applyFont="1" applyFill="1" applyBorder="1" applyAlignment="1">
      <alignment horizontal="center" vertical="center"/>
    </xf>
    <xf numFmtId="164" fontId="0" fillId="0" borderId="64" xfId="4" applyNumberFormat="1" applyFont="1" applyFill="1" applyBorder="1" applyAlignment="1">
      <alignment horizontal="center" vertical="center"/>
    </xf>
    <xf numFmtId="164" fontId="0" fillId="0" borderId="108" xfId="4" applyNumberFormat="1" applyFont="1" applyFill="1" applyBorder="1" applyAlignment="1">
      <alignment horizontal="center" vertical="center"/>
    </xf>
    <xf numFmtId="164" fontId="257" fillId="0" borderId="134" xfId="4" applyNumberFormat="1" applyFont="1" applyFill="1" applyBorder="1" applyAlignment="1">
      <alignment horizontal="right"/>
    </xf>
    <xf numFmtId="164" fontId="0" fillId="0" borderId="53" xfId="4343" applyNumberFormat="1" applyFont="1" applyFill="1" applyBorder="1" applyAlignment="1"/>
    <xf numFmtId="164" fontId="0" fillId="0" borderId="21" xfId="4343" applyNumberFormat="1" applyFont="1" applyFill="1" applyBorder="1" applyAlignment="1"/>
    <xf numFmtId="164" fontId="0" fillId="0" borderId="116" xfId="4343" applyNumberFormat="1" applyFont="1" applyFill="1" applyBorder="1" applyAlignment="1"/>
    <xf numFmtId="164" fontId="0" fillId="0" borderId="120" xfId="4343" applyNumberFormat="1" applyFont="1" applyFill="1" applyBorder="1" applyAlignment="1"/>
    <xf numFmtId="164" fontId="0" fillId="0" borderId="123" xfId="4343" applyNumberFormat="1" applyFont="1" applyFill="1" applyBorder="1" applyAlignment="1"/>
    <xf numFmtId="164" fontId="0" fillId="0" borderId="54" xfId="4343" applyNumberFormat="1" applyFont="1" applyFill="1" applyBorder="1" applyAlignment="1"/>
    <xf numFmtId="164" fontId="0" fillId="12" borderId="111" xfId="4343" applyNumberFormat="1" applyFont="1" applyFill="1" applyBorder="1"/>
    <xf numFmtId="164" fontId="0" fillId="0" borderId="64" xfId="4343" applyNumberFormat="1" applyFont="1" applyFill="1" applyBorder="1" applyAlignment="1"/>
    <xf numFmtId="164" fontId="0" fillId="0" borderId="38" xfId="4343" applyNumberFormat="1" applyFont="1" applyFill="1" applyBorder="1" applyAlignment="1"/>
    <xf numFmtId="164" fontId="0" fillId="0" borderId="126" xfId="4343" applyNumberFormat="1" applyFont="1" applyFill="1" applyBorder="1" applyAlignment="1"/>
    <xf numFmtId="164" fontId="0" fillId="12" borderId="116" xfId="4343" applyNumberFormat="1" applyFont="1" applyFill="1" applyBorder="1"/>
    <xf numFmtId="331" fontId="0" fillId="0" borderId="110" xfId="0" applyNumberFormat="1" applyBorder="1"/>
    <xf numFmtId="0" fontId="0" fillId="0" borderId="134" xfId="0" applyBorder="1" applyAlignment="1" applyProtection="1">
      <alignment horizontal="center" vertical="center"/>
      <protection locked="0"/>
    </xf>
    <xf numFmtId="0" fontId="11" fillId="0" borderId="134" xfId="0" applyFont="1" applyBorder="1" applyAlignment="1" applyProtection="1">
      <alignment horizontal="left" vertical="center"/>
      <protection locked="0"/>
    </xf>
    <xf numFmtId="0" fontId="11" fillId="0" borderId="134" xfId="0" applyFont="1" applyBorder="1" applyAlignment="1" applyProtection="1">
      <alignment horizontal="center" vertical="center"/>
      <protection locked="0"/>
    </xf>
    <xf numFmtId="331" fontId="0" fillId="0" borderId="134" xfId="0" applyNumberFormat="1" applyBorder="1" applyAlignment="1">
      <alignment horizontal="right"/>
    </xf>
    <xf numFmtId="331" fontId="0" fillId="0" borderId="135" xfId="0" applyNumberFormat="1" applyBorder="1" applyAlignment="1">
      <alignment horizontal="right"/>
    </xf>
    <xf numFmtId="331" fontId="0" fillId="0" borderId="133" xfId="0" applyNumberFormat="1" applyBorder="1" applyAlignment="1">
      <alignment horizontal="right"/>
    </xf>
    <xf numFmtId="331" fontId="257" fillId="0" borderId="134" xfId="0" applyNumberFormat="1" applyFont="1" applyBorder="1" applyAlignment="1">
      <alignment horizontal="right"/>
    </xf>
    <xf numFmtId="331" fontId="257" fillId="0" borderId="135" xfId="0" applyNumberFormat="1" applyFont="1" applyBorder="1" applyAlignment="1">
      <alignment horizontal="right"/>
    </xf>
    <xf numFmtId="331" fontId="0" fillId="0" borderId="139" xfId="0" applyNumberFormat="1" applyBorder="1" applyAlignment="1">
      <alignment horizontal="center" vertical="center"/>
    </xf>
    <xf numFmtId="331" fontId="0" fillId="0" borderId="64" xfId="0" applyNumberFormat="1" applyBorder="1" applyAlignment="1">
      <alignment horizontal="center" vertical="center"/>
    </xf>
    <xf numFmtId="331" fontId="0" fillId="0" borderId="64" xfId="0" applyNumberFormat="1" applyBorder="1" applyAlignment="1">
      <alignment horizontal="right"/>
    </xf>
    <xf numFmtId="331" fontId="0" fillId="0" borderId="111" xfId="0" applyNumberFormat="1" applyBorder="1" applyAlignment="1">
      <alignment horizontal="right"/>
    </xf>
    <xf numFmtId="331" fontId="0" fillId="0" borderId="94" xfId="0" applyNumberFormat="1" applyBorder="1" applyAlignment="1">
      <alignment horizontal="center" vertical="center"/>
    </xf>
    <xf numFmtId="331" fontId="257" fillId="0" borderId="111" xfId="0" applyNumberFormat="1" applyFont="1" applyBorder="1" applyAlignment="1">
      <alignment horizontal="right"/>
    </xf>
    <xf numFmtId="0" fontId="7" fillId="0" borderId="134" xfId="0" applyFont="1" applyBorder="1" applyAlignment="1">
      <alignment horizontal="center" vertical="center"/>
    </xf>
    <xf numFmtId="331" fontId="0" fillId="0" borderId="134" xfId="0" applyNumberFormat="1" applyBorder="1" applyAlignment="1">
      <alignment horizontal="center" vertical="center"/>
    </xf>
    <xf numFmtId="0" fontId="257" fillId="0" borderId="134" xfId="0" applyFont="1" applyBorder="1" applyAlignment="1" applyProtection="1">
      <alignment horizontal="center"/>
      <protection locked="0"/>
    </xf>
    <xf numFmtId="164" fontId="0" fillId="0" borderId="135" xfId="4" applyNumberFormat="1" applyFont="1" applyFill="1" applyBorder="1" applyAlignment="1">
      <alignment horizontal="right"/>
    </xf>
    <xf numFmtId="164" fontId="0" fillId="0" borderId="139" xfId="4" applyNumberFormat="1" applyFont="1" applyFill="1" applyBorder="1" applyAlignment="1">
      <alignment horizontal="center" vertical="center"/>
    </xf>
    <xf numFmtId="164" fontId="0" fillId="0" borderId="108" xfId="4" applyNumberFormat="1" applyFont="1" applyFill="1" applyBorder="1" applyAlignment="1">
      <alignment horizontal="right"/>
    </xf>
    <xf numFmtId="164" fontId="257" fillId="0" borderId="84" xfId="4" applyNumberFormat="1" applyFont="1" applyFill="1" applyBorder="1" applyAlignment="1">
      <alignment horizontal="right"/>
    </xf>
    <xf numFmtId="164" fontId="0" fillId="12" borderId="127" xfId="4343" applyNumberFormat="1" applyFont="1" applyFill="1" applyBorder="1" applyAlignment="1">
      <alignment horizontal="center" vertical="center"/>
    </xf>
    <xf numFmtId="164" fontId="0" fillId="12" borderId="105" xfId="4343" applyNumberFormat="1" applyFont="1" applyFill="1" applyBorder="1" applyAlignment="1">
      <alignment horizontal="center" vertical="center"/>
    </xf>
    <xf numFmtId="164" fontId="0" fillId="12" borderId="115" xfId="4343" applyNumberFormat="1" applyFont="1" applyFill="1" applyBorder="1" applyAlignment="1">
      <alignment horizontal="center" vertical="center"/>
    </xf>
    <xf numFmtId="164" fontId="0" fillId="12" borderId="106" xfId="4343" applyNumberFormat="1" applyFont="1" applyFill="1" applyBorder="1" applyAlignment="1">
      <alignment horizontal="center" vertical="center"/>
    </xf>
    <xf numFmtId="164" fontId="0" fillId="12" borderId="67" xfId="4343" applyNumberFormat="1" applyFont="1" applyFill="1" applyBorder="1" applyAlignment="1">
      <alignment horizontal="center" vertical="center"/>
    </xf>
    <xf numFmtId="164" fontId="0" fillId="12" borderId="77" xfId="4343" applyNumberFormat="1" applyFont="1" applyFill="1" applyBorder="1" applyAlignment="1">
      <alignment horizontal="center" vertical="center"/>
    </xf>
    <xf numFmtId="164" fontId="0" fillId="12" borderId="68"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4" xfId="4" applyNumberFormat="1" applyFont="1" applyFill="1" applyBorder="1" applyAlignment="1">
      <alignment horizontal="right"/>
    </xf>
    <xf numFmtId="164" fontId="0" fillId="12" borderId="69" xfId="4343" applyNumberFormat="1" applyFont="1" applyFill="1" applyBorder="1" applyAlignment="1">
      <alignment horizontal="center" vertical="center"/>
    </xf>
    <xf numFmtId="164" fontId="0" fillId="0" borderId="0" xfId="4343" applyNumberFormat="1" applyFont="1"/>
    <xf numFmtId="0" fontId="0" fillId="0" borderId="134" xfId="0" applyBorder="1"/>
    <xf numFmtId="0" fontId="0" fillId="0" borderId="134" xfId="0" applyBorder="1" applyAlignment="1">
      <alignment horizontal="center"/>
    </xf>
    <xf numFmtId="331" fontId="247" fillId="0" borderId="134" xfId="0" applyNumberFormat="1" applyFont="1" applyBorder="1" applyAlignment="1">
      <alignment horizontal="right"/>
    </xf>
    <xf numFmtId="0" fontId="5" fillId="0" borderId="66" xfId="0" applyFont="1" applyBorder="1" applyAlignment="1">
      <alignment horizontal="center" vertical="center"/>
    </xf>
    <xf numFmtId="164" fontId="257" fillId="0" borderId="63" xfId="4343" applyNumberFormat="1" applyFont="1" applyFill="1" applyBorder="1"/>
    <xf numFmtId="164" fontId="257" fillId="0" borderId="21" xfId="4343" applyNumberFormat="1" applyFont="1" applyFill="1" applyBorder="1"/>
    <xf numFmtId="164" fontId="257" fillId="0" borderId="58" xfId="4343" applyNumberFormat="1" applyFont="1" applyFill="1" applyBorder="1"/>
    <xf numFmtId="164" fontId="247" fillId="0" borderId="63" xfId="4343" applyNumberFormat="1" applyFont="1" applyFill="1" applyBorder="1"/>
    <xf numFmtId="164" fontId="257" fillId="0" borderId="59" xfId="4343" applyNumberFormat="1" applyFont="1" applyFill="1" applyBorder="1"/>
    <xf numFmtId="164" fontId="257" fillId="0" borderId="90" xfId="4343" applyNumberFormat="1" applyFont="1" applyFill="1" applyBorder="1"/>
    <xf numFmtId="164" fontId="257" fillId="0" borderId="86" xfId="4343" applyNumberFormat="1" applyFont="1" applyFill="1" applyBorder="1"/>
    <xf numFmtId="164" fontId="257" fillId="0" borderId="64" xfId="4343" applyNumberFormat="1" applyFont="1" applyFill="1" applyBorder="1"/>
    <xf numFmtId="164" fontId="257" fillId="0" borderId="95" xfId="4343" applyNumberFormat="1" applyFont="1" applyFill="1" applyBorder="1"/>
    <xf numFmtId="164" fontId="247" fillId="0" borderId="86" xfId="4343" applyNumberFormat="1" applyFont="1" applyFill="1" applyBorder="1"/>
    <xf numFmtId="164" fontId="247" fillId="0" borderId="136" xfId="4343" applyNumberFormat="1" applyFont="1" applyFill="1" applyBorder="1"/>
    <xf numFmtId="164" fontId="257" fillId="0" borderId="89" xfId="4343" applyNumberFormat="1" applyFont="1" applyFill="1" applyBorder="1"/>
    <xf numFmtId="164" fontId="257" fillId="0" borderId="98" xfId="4343" applyNumberFormat="1" applyFont="1" applyFill="1" applyBorder="1"/>
    <xf numFmtId="164" fontId="247" fillId="0" borderId="58" xfId="4343" applyNumberFormat="1" applyFont="1" applyFill="1" applyBorder="1"/>
    <xf numFmtId="164" fontId="0" fillId="0" borderId="122" xfId="4343" applyNumberFormat="1" applyFont="1" applyFill="1" applyBorder="1"/>
    <xf numFmtId="164" fontId="0" fillId="0" borderId="59" xfId="4343" applyNumberFormat="1" applyFont="1" applyFill="1" applyBorder="1"/>
    <xf numFmtId="164" fontId="0" fillId="0" borderId="110" xfId="4343" applyNumberFormat="1" applyFont="1" applyFill="1" applyBorder="1"/>
    <xf numFmtId="164" fontId="0" fillId="0" borderId="61" xfId="4343" applyNumberFormat="1" applyFont="1" applyFill="1" applyBorder="1"/>
    <xf numFmtId="164" fontId="257" fillId="0" borderId="87" xfId="4343" applyNumberFormat="1" applyFont="1" applyFill="1" applyBorder="1"/>
    <xf numFmtId="164" fontId="0" fillId="0" borderId="137" xfId="4343" applyNumberFormat="1" applyFont="1" applyFill="1" applyBorder="1"/>
    <xf numFmtId="164" fontId="0" fillId="0" borderId="134" xfId="4343" applyNumberFormat="1" applyFont="1" applyFill="1" applyBorder="1"/>
    <xf numFmtId="164" fontId="0" fillId="0" borderId="135" xfId="4343" applyNumberFormat="1" applyFont="1" applyFill="1" applyBorder="1"/>
    <xf numFmtId="164" fontId="257" fillId="0" borderId="134" xfId="4343" applyNumberFormat="1" applyFont="1" applyFill="1" applyBorder="1"/>
    <xf numFmtId="164" fontId="0" fillId="0" borderId="81" xfId="4343" applyNumberFormat="1" applyFont="1" applyFill="1" applyBorder="1"/>
    <xf numFmtId="164" fontId="257" fillId="0" borderId="133" xfId="4343" applyNumberFormat="1" applyFont="1" applyFill="1" applyBorder="1"/>
    <xf numFmtId="164" fontId="257" fillId="0" borderId="136" xfId="4343" applyNumberFormat="1" applyFont="1" applyFill="1" applyBorder="1"/>
    <xf numFmtId="164" fontId="11" fillId="0" borderId="126" xfId="4343" applyNumberFormat="1" applyFont="1" applyFill="1" applyBorder="1" applyAlignment="1">
      <alignment horizontal="right"/>
    </xf>
    <xf numFmtId="164" fontId="11"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7" fillId="0" borderId="53" xfId="4343" applyNumberFormat="1" applyFont="1" applyFill="1" applyBorder="1"/>
    <xf numFmtId="164" fontId="257" fillId="0" borderId="57" xfId="4343" applyNumberFormat="1" applyFont="1" applyFill="1" applyBorder="1" applyAlignment="1">
      <alignment horizontal="right"/>
    </xf>
    <xf numFmtId="164" fontId="11" fillId="0" borderId="122" xfId="4343" applyNumberFormat="1" applyFont="1" applyFill="1" applyBorder="1" applyAlignment="1">
      <alignment horizontal="right"/>
    </xf>
    <xf numFmtId="164" fontId="11" fillId="0" borderId="59" xfId="4343" applyNumberFormat="1" applyFont="1" applyFill="1" applyBorder="1" applyAlignment="1">
      <alignment horizontal="right"/>
    </xf>
    <xf numFmtId="164" fontId="257" fillId="0" borderId="87" xfId="4343" applyNumberFormat="1" applyFont="1" applyFill="1" applyBorder="1" applyAlignment="1">
      <alignment horizontal="right"/>
    </xf>
    <xf numFmtId="164" fontId="0" fillId="0" borderId="93" xfId="4343" applyNumberFormat="1" applyFont="1" applyFill="1" applyBorder="1"/>
    <xf numFmtId="164" fontId="247" fillId="0" borderId="64" xfId="4343" applyNumberFormat="1" applyFont="1" applyFill="1" applyBorder="1"/>
    <xf numFmtId="164" fontId="0" fillId="0" borderId="116" xfId="4343" applyNumberFormat="1" applyFont="1" applyFill="1" applyBorder="1"/>
    <xf numFmtId="164" fontId="0" fillId="0" borderId="137" xfId="4343" applyNumberFormat="1" applyFont="1" applyBorder="1"/>
    <xf numFmtId="164" fontId="0" fillId="0" borderId="134" xfId="4343" applyNumberFormat="1" applyFont="1" applyBorder="1"/>
    <xf numFmtId="164" fontId="257" fillId="0" borderId="133" xfId="4343" applyNumberFormat="1" applyFont="1" applyBorder="1"/>
    <xf numFmtId="164" fontId="257" fillId="0" borderId="93" xfId="4343" applyNumberFormat="1" applyFont="1" applyBorder="1"/>
    <xf numFmtId="164" fontId="11" fillId="0" borderId="92" xfId="4343" applyNumberFormat="1" applyFont="1" applyFill="1" applyBorder="1" applyAlignment="1">
      <alignment horizontal="right"/>
    </xf>
    <xf numFmtId="164" fontId="0" fillId="0" borderId="87" xfId="4343" applyNumberFormat="1" applyFont="1" applyFill="1" applyBorder="1"/>
    <xf numFmtId="164" fontId="0" fillId="0" borderId="122" xfId="4343" applyNumberFormat="1" applyFont="1" applyBorder="1"/>
    <xf numFmtId="164" fontId="0" fillId="0" borderId="59" xfId="4343" applyNumberFormat="1" applyFont="1" applyBorder="1"/>
    <xf numFmtId="164" fontId="257" fillId="0" borderId="87" xfId="4343" applyNumberFormat="1" applyFont="1" applyBorder="1"/>
    <xf numFmtId="164" fontId="0" fillId="0" borderId="139" xfId="4343" applyNumberFormat="1" applyFont="1" applyBorder="1"/>
    <xf numFmtId="164" fontId="0" fillId="0" borderId="64" xfId="4343" applyNumberFormat="1" applyFont="1" applyBorder="1"/>
    <xf numFmtId="164" fontId="0" fillId="0" borderId="117" xfId="4343" applyNumberFormat="1" applyFont="1" applyFill="1" applyBorder="1"/>
    <xf numFmtId="164" fontId="0" fillId="0" borderId="60" xfId="4343" applyNumberFormat="1" applyFont="1" applyFill="1" applyBorder="1"/>
    <xf numFmtId="164" fontId="0" fillId="0" borderId="139" xfId="4343" applyNumberFormat="1" applyFont="1" applyFill="1" applyBorder="1"/>
    <xf numFmtId="164" fontId="0" fillId="0" borderId="64" xfId="4343" applyNumberFormat="1" applyFont="1" applyFill="1" applyBorder="1"/>
    <xf numFmtId="164" fontId="11" fillId="0" borderId="57" xfId="4343" applyNumberFormat="1" applyFont="1" applyFill="1" applyBorder="1" applyAlignment="1">
      <alignment horizontal="right"/>
    </xf>
    <xf numFmtId="164" fontId="247" fillId="0" borderId="21" xfId="4343" applyNumberFormat="1" applyFont="1" applyFill="1" applyBorder="1"/>
    <xf numFmtId="164" fontId="257" fillId="0" borderId="93" xfId="4343" applyNumberFormat="1" applyFont="1" applyFill="1" applyBorder="1"/>
    <xf numFmtId="164" fontId="247" fillId="0" borderId="59" xfId="4343" applyNumberFormat="1" applyFont="1" applyFill="1" applyBorder="1"/>
    <xf numFmtId="164" fontId="257" fillId="0" borderId="92" xfId="4343" applyNumberFormat="1" applyFont="1" applyFill="1" applyBorder="1" applyAlignment="1">
      <alignment horizontal="right"/>
    </xf>
    <xf numFmtId="164" fontId="11" fillId="0" borderId="94" xfId="4343" applyNumberFormat="1" applyFont="1" applyFill="1" applyBorder="1" applyAlignment="1">
      <alignment horizontal="right"/>
    </xf>
    <xf numFmtId="164" fontId="11" fillId="0" borderId="64" xfId="4343" applyNumberFormat="1" applyFont="1" applyFill="1" applyBorder="1" applyAlignment="1">
      <alignment horizontal="right"/>
    </xf>
    <xf numFmtId="164" fontId="11" fillId="0" borderId="139" xfId="4343" applyNumberFormat="1" applyFont="1" applyFill="1" applyBorder="1" applyAlignment="1">
      <alignment horizontal="right"/>
    </xf>
    <xf numFmtId="164" fontId="0" fillId="0" borderId="133" xfId="4343" applyNumberFormat="1" applyFont="1" applyFill="1" applyBorder="1"/>
    <xf numFmtId="164" fontId="247" fillId="0" borderId="134" xfId="4343" applyNumberFormat="1" applyFont="1" applyFill="1" applyBorder="1"/>
    <xf numFmtId="164" fontId="257" fillId="0" borderId="38" xfId="4343" applyNumberFormat="1" applyFont="1" applyFill="1" applyBorder="1"/>
    <xf numFmtId="164" fontId="0" fillId="12" borderId="138" xfId="4343" applyNumberFormat="1" applyFont="1" applyFill="1" applyBorder="1" applyAlignment="1">
      <alignment horizontal="center" vertical="center"/>
    </xf>
    <xf numFmtId="164" fontId="0" fillId="0" borderId="68" xfId="4343" applyNumberFormat="1" applyFont="1" applyFill="1" applyBorder="1"/>
    <xf numFmtId="164" fontId="0" fillId="0" borderId="69" xfId="4343" applyNumberFormat="1" applyFont="1" applyFill="1" applyBorder="1"/>
    <xf numFmtId="164" fontId="0" fillId="0" borderId="76" xfId="4343" applyNumberFormat="1" applyFont="1" applyFill="1" applyBorder="1"/>
    <xf numFmtId="164" fontId="0" fillId="0" borderId="63" xfId="4343" applyNumberFormat="1" applyFont="1" applyFill="1" applyBorder="1"/>
    <xf numFmtId="164" fontId="0" fillId="0" borderId="89" xfId="4343" applyNumberFormat="1" applyFont="1" applyFill="1" applyBorder="1"/>
    <xf numFmtId="164" fontId="0" fillId="0" borderId="97" xfId="4343" applyNumberFormat="1" applyFont="1" applyFill="1" applyBorder="1"/>
    <xf numFmtId="164" fontId="0" fillId="0" borderId="98" xfId="4343" applyNumberFormat="1" applyFont="1" applyFill="1" applyBorder="1"/>
    <xf numFmtId="164" fontId="0" fillId="0" borderId="90" xfId="4343" applyNumberFormat="1" applyFont="1" applyFill="1" applyBorder="1"/>
    <xf numFmtId="164" fontId="0" fillId="0" borderId="86" xfId="4343" applyNumberFormat="1" applyFont="1" applyFill="1" applyBorder="1"/>
    <xf numFmtId="164" fontId="0" fillId="0" borderId="136" xfId="4343" applyNumberFormat="1" applyFont="1" applyFill="1" applyBorder="1"/>
    <xf numFmtId="164" fontId="0" fillId="0" borderId="53" xfId="4343" applyNumberFormat="1" applyFont="1" applyFill="1" applyBorder="1"/>
    <xf numFmtId="164" fontId="0" fillId="0" borderId="58" xfId="4343" applyNumberFormat="1" applyFont="1" applyFill="1" applyBorder="1"/>
    <xf numFmtId="164" fontId="0" fillId="0" borderId="94" xfId="4343" applyNumberFormat="1" applyFont="1" applyFill="1" applyBorder="1"/>
    <xf numFmtId="164" fontId="0" fillId="0" borderId="95" xfId="4343" applyNumberFormat="1" applyFont="1" applyFill="1" applyBorder="1"/>
    <xf numFmtId="164" fontId="11" fillId="0" borderId="87" xfId="4343" applyNumberFormat="1" applyFont="1" applyFill="1" applyBorder="1" applyAlignment="1">
      <alignment horizontal="right"/>
    </xf>
    <xf numFmtId="164" fontId="0" fillId="0" borderId="93" xfId="4343" applyNumberFormat="1" applyFont="1" applyBorder="1"/>
    <xf numFmtId="164" fontId="0" fillId="0" borderId="133" xfId="4343" applyNumberFormat="1" applyFont="1" applyBorder="1"/>
    <xf numFmtId="164" fontId="11" fillId="0" borderId="122" xfId="4343" applyNumberFormat="1" applyFont="1" applyBorder="1"/>
    <xf numFmtId="164" fontId="11" fillId="0" borderId="59" xfId="4343" applyNumberFormat="1" applyFont="1" applyBorder="1"/>
    <xf numFmtId="164" fontId="11" fillId="0" borderId="59" xfId="4343" applyNumberFormat="1" applyFont="1" applyFill="1" applyBorder="1"/>
    <xf numFmtId="164" fontId="11" fillId="0" borderId="87" xfId="4343" applyNumberFormat="1" applyFont="1" applyBorder="1"/>
    <xf numFmtId="164" fontId="11" fillId="0" borderId="63" xfId="4343" applyNumberFormat="1" applyFont="1" applyFill="1" applyBorder="1"/>
    <xf numFmtId="164" fontId="11" fillId="0" borderId="90" xfId="4343" applyNumberFormat="1" applyFont="1" applyFill="1" applyBorder="1"/>
    <xf numFmtId="164" fontId="11" fillId="0" borderId="139" xfId="4343" applyNumberFormat="1" applyFont="1" applyBorder="1"/>
    <xf numFmtId="164" fontId="11" fillId="0" borderId="64" xfId="4343" applyNumberFormat="1" applyFont="1" applyBorder="1"/>
    <xf numFmtId="164" fontId="11" fillId="0" borderId="63" xfId="4343" applyNumberFormat="1" applyFont="1" applyFill="1" applyBorder="1" applyAlignment="1">
      <alignment horizontal="right"/>
    </xf>
    <xf numFmtId="164" fontId="11" fillId="0" borderId="90" xfId="4343" applyNumberFormat="1" applyFont="1" applyFill="1" applyBorder="1" applyAlignment="1">
      <alignment horizontal="right"/>
    </xf>
    <xf numFmtId="164" fontId="11" fillId="0" borderId="133" xfId="4343" applyNumberFormat="1" applyFont="1" applyFill="1" applyBorder="1" applyAlignment="1">
      <alignment horizontal="right"/>
    </xf>
    <xf numFmtId="164" fontId="11" fillId="0" borderId="134" xfId="4343" applyNumberFormat="1" applyFont="1" applyFill="1" applyBorder="1" applyAlignment="1">
      <alignment horizontal="right"/>
    </xf>
    <xf numFmtId="164" fontId="11" fillId="0" borderId="86" xfId="4343" applyNumberFormat="1" applyFont="1" applyFill="1" applyBorder="1" applyAlignment="1">
      <alignment horizontal="right"/>
    </xf>
    <xf numFmtId="164" fontId="11" fillId="0" borderId="136" xfId="4343" applyNumberFormat="1" applyFont="1" applyFill="1" applyBorder="1" applyAlignment="1">
      <alignment horizontal="right"/>
    </xf>
    <xf numFmtId="164" fontId="0" fillId="0" borderId="38" xfId="4343" applyNumberFormat="1" applyFont="1" applyFill="1" applyBorder="1"/>
    <xf numFmtId="164" fontId="0" fillId="12" borderId="76" xfId="4343" applyNumberFormat="1" applyFont="1" applyFill="1" applyBorder="1" applyAlignment="1">
      <alignment horizontal="center" vertical="center"/>
    </xf>
    <xf numFmtId="331" fontId="0" fillId="0" borderId="134" xfId="0" applyNumberFormat="1" applyBorder="1" applyAlignment="1">
      <alignment horizontal="right" vertical="center"/>
    </xf>
    <xf numFmtId="331" fontId="0" fillId="0" borderId="136" xfId="0" applyNumberFormat="1" applyBorder="1" applyAlignment="1">
      <alignment horizontal="right" vertical="center"/>
    </xf>
    <xf numFmtId="331" fontId="257" fillId="0" borderId="134" xfId="0" applyNumberFormat="1" applyFont="1" applyBorder="1" applyAlignment="1">
      <alignment horizontal="right" vertical="center"/>
    </xf>
    <xf numFmtId="331" fontId="257" fillId="0" borderId="136" xfId="0" applyNumberFormat="1" applyFont="1" applyBorder="1" applyAlignment="1">
      <alignment horizontal="right" vertical="center"/>
    </xf>
    <xf numFmtId="331" fontId="247" fillId="0" borderId="0" xfId="4339" applyNumberFormat="1" applyFont="1" applyFill="1"/>
    <xf numFmtId="164" fontId="257" fillId="0" borderId="53" xfId="4343" applyNumberFormat="1" applyFont="1" applyFill="1" applyBorder="1" applyAlignment="1">
      <alignment horizontal="right"/>
    </xf>
    <xf numFmtId="164" fontId="257" fillId="0" borderId="58" xfId="4343" applyNumberFormat="1" applyFont="1" applyFill="1" applyBorder="1" applyAlignment="1">
      <alignment horizontal="right"/>
    </xf>
    <xf numFmtId="164" fontId="257" fillId="0" borderId="63" xfId="4343" applyNumberFormat="1" applyFont="1" applyFill="1" applyBorder="1" applyAlignment="1">
      <alignment horizontal="right"/>
    </xf>
    <xf numFmtId="164" fontId="257" fillId="0" borderId="90" xfId="4343" applyNumberFormat="1" applyFont="1" applyFill="1" applyBorder="1" applyAlignment="1">
      <alignment horizontal="right"/>
    </xf>
    <xf numFmtId="164" fontId="257" fillId="0" borderId="63" xfId="4343" applyNumberFormat="1" applyFont="1" applyFill="1" applyBorder="1" applyAlignment="1">
      <alignment horizontal="right" vertical="center"/>
    </xf>
    <xf numFmtId="164" fontId="257" fillId="0" borderId="90" xfId="4343" applyNumberFormat="1" applyFont="1" applyFill="1" applyBorder="1" applyAlignment="1">
      <alignment horizontal="right" vertical="center"/>
    </xf>
    <xf numFmtId="164" fontId="257" fillId="0" borderId="94" xfId="4343" applyNumberFormat="1" applyFont="1" applyFill="1" applyBorder="1" applyAlignment="1">
      <alignment horizontal="right" vertical="center"/>
    </xf>
    <xf numFmtId="164" fontId="257" fillId="0" borderId="95" xfId="4343" applyNumberFormat="1" applyFont="1" applyFill="1" applyBorder="1" applyAlignment="1">
      <alignment horizontal="right" vertical="center"/>
    </xf>
    <xf numFmtId="164" fontId="11" fillId="0" borderId="94" xfId="4" applyNumberFormat="1" applyFont="1" applyFill="1" applyBorder="1" applyAlignment="1">
      <alignment horizontal="right" vertical="center"/>
    </xf>
    <xf numFmtId="164" fontId="11" fillId="0" borderId="84" xfId="4" applyNumberFormat="1" applyFont="1" applyFill="1" applyBorder="1" applyAlignment="1">
      <alignment horizontal="right" vertical="center"/>
    </xf>
    <xf numFmtId="164" fontId="257" fillId="0" borderId="94" xfId="4" applyNumberFormat="1" applyFont="1" applyFill="1" applyBorder="1" applyAlignment="1">
      <alignment horizontal="right" vertical="center"/>
    </xf>
    <xf numFmtId="164" fontId="0" fillId="0" borderId="134" xfId="4" applyNumberFormat="1" applyFont="1" applyFill="1" applyBorder="1" applyAlignment="1">
      <alignment horizontal="right" vertical="center"/>
    </xf>
    <xf numFmtId="164" fontId="11" fillId="0" borderId="134" xfId="4" applyNumberFormat="1" applyFont="1" applyFill="1" applyBorder="1" applyAlignment="1">
      <alignment horizontal="right" vertical="center"/>
    </xf>
    <xf numFmtId="164" fontId="11" fillId="0" borderId="136" xfId="4" applyNumberFormat="1" applyFont="1" applyFill="1" applyBorder="1" applyAlignment="1">
      <alignment horizontal="right" vertical="center"/>
    </xf>
    <xf numFmtId="164" fontId="257" fillId="0" borderId="134" xfId="4" applyNumberFormat="1" applyFont="1" applyFill="1" applyBorder="1" applyAlignment="1">
      <alignment horizontal="right" vertical="center"/>
    </xf>
    <xf numFmtId="164" fontId="257" fillId="0" borderId="136" xfId="4" applyNumberFormat="1" applyFont="1" applyFill="1" applyBorder="1" applyAlignment="1">
      <alignment horizontal="right" vertical="center"/>
    </xf>
    <xf numFmtId="164" fontId="0" fillId="12" borderId="102" xfId="4343" applyNumberFormat="1" applyFont="1" applyFill="1" applyBorder="1" applyAlignment="1">
      <alignment horizontal="center" vertical="center"/>
    </xf>
    <xf numFmtId="0" fontId="257" fillId="0" borderId="60" xfId="0" applyFont="1" applyBorder="1" applyAlignment="1" applyProtection="1">
      <alignment horizontal="center" wrapText="1"/>
      <protection locked="0"/>
    </xf>
    <xf numFmtId="0" fontId="257" fillId="0" borderId="60" xfId="0" applyFont="1" applyBorder="1" applyAlignment="1" applyProtection="1">
      <alignment horizontal="left" wrapText="1" indent="1"/>
      <protection locked="0"/>
    </xf>
    <xf numFmtId="0" fontId="257" fillId="0" borderId="64" xfId="0" applyFont="1" applyBorder="1" applyAlignment="1" applyProtection="1">
      <alignment horizontal="center" wrapText="1"/>
      <protection locked="0"/>
    </xf>
    <xf numFmtId="0" fontId="11" fillId="0" borderId="94"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1" fillId="0" borderId="64"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53" xfId="0" applyFont="1" applyBorder="1" applyAlignment="1" applyProtection="1">
      <alignment horizontal="center"/>
      <protection locked="0"/>
    </xf>
    <xf numFmtId="0" fontId="0" fillId="0" borderId="38" xfId="0" applyBorder="1" applyAlignment="1" applyProtection="1">
      <alignment horizontal="center"/>
      <protection locked="0"/>
    </xf>
    <xf numFmtId="0" fontId="11" fillId="0" borderId="63" xfId="0" applyFont="1" applyBorder="1" applyAlignment="1" applyProtection="1">
      <alignment horizontal="center"/>
      <protection locked="0"/>
    </xf>
    <xf numFmtId="0" fontId="0" fillId="0" borderId="53" xfId="0" applyBorder="1" applyAlignment="1" applyProtection="1">
      <alignment horizontal="center"/>
      <protection locked="0"/>
    </xf>
    <xf numFmtId="0" fontId="0" fillId="0" borderId="64" xfId="0" applyBorder="1"/>
    <xf numFmtId="0" fontId="11" fillId="0" borderId="54" xfId="0" applyFont="1" applyBorder="1" applyAlignment="1" applyProtection="1">
      <alignment horizontal="center"/>
      <protection locked="0"/>
    </xf>
    <xf numFmtId="3" fontId="0" fillId="0" borderId="77" xfId="0" applyNumberFormat="1" applyBorder="1" applyAlignment="1">
      <alignment horizontal="right" vertical="center"/>
    </xf>
    <xf numFmtId="3" fontId="0" fillId="0" borderId="74" xfId="0" applyNumberFormat="1" applyBorder="1" applyAlignment="1">
      <alignment horizontal="right" vertical="center"/>
    </xf>
    <xf numFmtId="164" fontId="257" fillId="12" borderId="68" xfId="4343" applyNumberFormat="1" applyFont="1" applyFill="1" applyBorder="1" applyAlignment="1">
      <alignment horizontal="center" vertical="center"/>
    </xf>
    <xf numFmtId="164" fontId="257" fillId="12" borderId="69" xfId="4343" applyNumberFormat="1" applyFont="1" applyFill="1" applyBorder="1" applyAlignment="1">
      <alignment horizontal="center" vertical="center"/>
    </xf>
    <xf numFmtId="164" fontId="257" fillId="12" borderId="67" xfId="4343" applyNumberFormat="1" applyFont="1" applyFill="1" applyBorder="1" applyAlignment="1">
      <alignment horizontal="center" vertical="center"/>
    </xf>
    <xf numFmtId="164" fontId="0" fillId="0" borderId="133" xfId="0" applyNumberFormat="1" applyBorder="1"/>
    <xf numFmtId="190" fontId="0" fillId="0" borderId="0" xfId="4342" applyNumberFormat="1" applyFont="1"/>
    <xf numFmtId="9" fontId="16" fillId="0" borderId="0" xfId="4342" applyFont="1"/>
    <xf numFmtId="164" fontId="13" fillId="0" borderId="0" xfId="4342" applyNumberFormat="1" applyFont="1"/>
    <xf numFmtId="331" fontId="14" fillId="0" borderId="133" xfId="4339" applyNumberFormat="1" applyFont="1" applyFill="1" applyBorder="1" applyAlignment="1">
      <alignment horizontal="left" indent="1"/>
    </xf>
    <xf numFmtId="0" fontId="0" fillId="0" borderId="54" xfId="0"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11" fillId="0" borderId="59" xfId="0" applyFont="1" applyBorder="1" applyAlignment="1" applyProtection="1">
      <alignment horizontal="left" indent="1"/>
      <protection locked="0"/>
    </xf>
    <xf numFmtId="331" fontId="0" fillId="0" borderId="60"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Border="1" applyAlignment="1" applyProtection="1">
      <alignment horizontal="left" indent="1"/>
      <protection locked="0"/>
    </xf>
    <xf numFmtId="0" fontId="0" fillId="0" borderId="60" xfId="0" applyBorder="1" applyAlignment="1" applyProtection="1">
      <alignment horizontal="left" indent="1"/>
      <protection locked="0"/>
    </xf>
    <xf numFmtId="0" fontId="278" fillId="0" borderId="21" xfId="0" applyFont="1" applyBorder="1" applyAlignment="1" applyProtection="1">
      <alignment horizontal="center" vertical="center"/>
      <protection locked="0"/>
    </xf>
    <xf numFmtId="0" fontId="279" fillId="0" borderId="0" xfId="0" applyFont="1" applyAlignment="1">
      <alignment horizontal="right"/>
    </xf>
    <xf numFmtId="331" fontId="279" fillId="0" borderId="0" xfId="0" applyNumberFormat="1" applyFont="1" applyAlignment="1">
      <alignment horizontal="right"/>
    </xf>
    <xf numFmtId="164" fontId="279" fillId="0" borderId="0" xfId="0" applyNumberFormat="1" applyFont="1" applyAlignment="1">
      <alignment horizontal="right"/>
    </xf>
    <xf numFmtId="37" fontId="279" fillId="0" borderId="0" xfId="0" applyNumberFormat="1" applyFont="1" applyAlignment="1">
      <alignment horizontal="right"/>
    </xf>
    <xf numFmtId="164" fontId="279" fillId="0" borderId="0" xfId="4343" applyNumberFormat="1" applyFont="1" applyAlignment="1">
      <alignment horizontal="right"/>
    </xf>
    <xf numFmtId="0" fontId="277" fillId="0" borderId="0" xfId="0" applyFont="1" applyAlignment="1">
      <alignment horizontal="right"/>
    </xf>
    <xf numFmtId="0" fontId="5" fillId="0" borderId="0" xfId="0" applyFont="1" applyAlignment="1">
      <alignment horizontal="right"/>
    </xf>
    <xf numFmtId="9" fontId="5" fillId="0" borderId="0" xfId="4342" applyFont="1" applyBorder="1" applyAlignment="1">
      <alignment horizontal="right"/>
    </xf>
    <xf numFmtId="0" fontId="5" fillId="0" borderId="0" xfId="0" applyFont="1"/>
    <xf numFmtId="44" fontId="247" fillId="0" borderId="0" xfId="0" applyNumberFormat="1" applyFont="1"/>
    <xf numFmtId="331" fontId="247" fillId="12" borderId="0" xfId="4339" applyNumberFormat="1" applyFont="1" applyFill="1" applyBorder="1"/>
    <xf numFmtId="0" fontId="259" fillId="0" borderId="0" xfId="0" applyFont="1"/>
    <xf numFmtId="164" fontId="18" fillId="60" borderId="135" xfId="1" applyNumberFormat="1" applyFont="1" applyFill="1" applyBorder="1" applyAlignment="1" applyProtection="1">
      <alignment horizontal="center"/>
      <protection locked="0"/>
    </xf>
    <xf numFmtId="164" fontId="18" fillId="60" borderId="134" xfId="1" applyNumberFormat="1" applyFont="1" applyFill="1" applyBorder="1" applyAlignment="1" applyProtection="1">
      <alignment horizontal="center"/>
      <protection locked="0"/>
    </xf>
    <xf numFmtId="164" fontId="257" fillId="0" borderId="114" xfId="1" applyNumberFormat="1" applyFont="1" applyFill="1" applyBorder="1" applyAlignment="1">
      <alignment horizontal="right"/>
    </xf>
    <xf numFmtId="164" fontId="257" fillId="0" borderId="21" xfId="1" applyNumberFormat="1" applyFont="1" applyFill="1" applyBorder="1" applyAlignment="1">
      <alignment horizontal="right"/>
    </xf>
    <xf numFmtId="164" fontId="257" fillId="0" borderId="116" xfId="1" applyNumberFormat="1" applyFont="1" applyFill="1" applyBorder="1" applyAlignment="1">
      <alignment horizontal="right"/>
    </xf>
    <xf numFmtId="164" fontId="257" fillId="0" borderId="135" xfId="1" applyNumberFormat="1" applyFont="1" applyFill="1" applyBorder="1" applyAlignment="1">
      <alignment horizontal="right"/>
    </xf>
    <xf numFmtId="164" fontId="257" fillId="0" borderId="134" xfId="1" applyNumberFormat="1" applyFont="1" applyFill="1" applyBorder="1" applyAlignment="1">
      <alignment horizontal="right"/>
    </xf>
    <xf numFmtId="164" fontId="257" fillId="0" borderId="59" xfId="1" applyNumberFormat="1" applyFont="1" applyFill="1" applyBorder="1" applyAlignment="1">
      <alignment horizontal="right"/>
    </xf>
    <xf numFmtId="164" fontId="257" fillId="0" borderId="59" xfId="1" applyNumberFormat="1" applyFont="1" applyFill="1" applyBorder="1" applyAlignment="1">
      <alignment horizontal="left" vertical="center"/>
    </xf>
    <xf numFmtId="164" fontId="257" fillId="0" borderId="111" xfId="1" applyNumberFormat="1" applyFont="1" applyFill="1" applyBorder="1" applyAlignment="1">
      <alignment horizontal="right"/>
    </xf>
    <xf numFmtId="164" fontId="257" fillId="0" borderId="64" xfId="1" applyNumberFormat="1" applyFont="1" applyFill="1" applyBorder="1" applyAlignment="1">
      <alignment horizontal="right"/>
    </xf>
    <xf numFmtId="164" fontId="0" fillId="0" borderId="115" xfId="1" applyNumberFormat="1" applyFont="1" applyFill="1" applyBorder="1" applyAlignment="1">
      <alignment horizontal="right"/>
    </xf>
    <xf numFmtId="164" fontId="0" fillId="0" borderId="105" xfId="1" applyNumberFormat="1" applyFont="1" applyFill="1" applyBorder="1" applyAlignment="1">
      <alignment horizontal="center" vertical="center"/>
    </xf>
    <xf numFmtId="164" fontId="0" fillId="0" borderId="86" xfId="4" applyNumberFormat="1" applyFont="1" applyFill="1" applyBorder="1" applyAlignment="1">
      <alignment horizontal="right"/>
    </xf>
    <xf numFmtId="164" fontId="0" fillId="0" borderId="114" xfId="4" applyNumberFormat="1" applyFont="1" applyFill="1" applyBorder="1" applyAlignment="1">
      <alignment horizontal="right"/>
    </xf>
    <xf numFmtId="331" fontId="247" fillId="0" borderId="21" xfId="0" applyNumberFormat="1" applyFont="1" applyBorder="1" applyAlignment="1">
      <alignment horizontal="right"/>
    </xf>
    <xf numFmtId="164" fontId="247" fillId="0" borderId="21" xfId="4" applyNumberFormat="1" applyFont="1" applyFill="1" applyBorder="1" applyAlignment="1">
      <alignment horizontal="right"/>
    </xf>
    <xf numFmtId="164" fontId="247" fillId="0" borderId="53" xfId="4343" applyNumberFormat="1" applyFont="1" applyFill="1" applyBorder="1" applyAlignment="1">
      <alignment horizontal="right"/>
    </xf>
    <xf numFmtId="164" fontId="247" fillId="0" borderId="90" xfId="4343" applyNumberFormat="1" applyFont="1" applyFill="1" applyBorder="1" applyAlignment="1">
      <alignment horizontal="right"/>
    </xf>
    <xf numFmtId="164" fontId="247" fillId="0" borderId="59" xfId="4" applyNumberFormat="1" applyFont="1" applyFill="1" applyBorder="1" applyAlignment="1">
      <alignment horizontal="right"/>
    </xf>
    <xf numFmtId="3" fontId="257" fillId="0" borderId="59" xfId="0" applyNumberFormat="1" applyFont="1" applyBorder="1"/>
    <xf numFmtId="164" fontId="247" fillId="12" borderId="68" xfId="4343" applyNumberFormat="1" applyFont="1" applyFill="1" applyBorder="1" applyAlignment="1">
      <alignment horizontal="center" vertical="center"/>
    </xf>
    <xf numFmtId="164" fontId="247" fillId="12" borderId="69" xfId="4343" applyNumberFormat="1" applyFont="1" applyFill="1" applyBorder="1" applyAlignment="1">
      <alignment horizontal="center" vertical="center"/>
    </xf>
    <xf numFmtId="164" fontId="247" fillId="0" borderId="96" xfId="4" applyNumberFormat="1" applyFont="1" applyFill="1" applyBorder="1" applyAlignment="1">
      <alignment horizontal="right"/>
    </xf>
    <xf numFmtId="164" fontId="247" fillId="0" borderId="89" xfId="4" applyNumberFormat="1" applyFont="1" applyFill="1" applyBorder="1" applyAlignment="1">
      <alignment horizontal="right"/>
    </xf>
    <xf numFmtId="164" fontId="247" fillId="0" borderId="3" xfId="4" applyNumberFormat="1" applyFont="1" applyFill="1" applyBorder="1" applyAlignment="1">
      <alignment horizontal="right"/>
    </xf>
    <xf numFmtId="164" fontId="247" fillId="0" borderId="116" xfId="1" applyNumberFormat="1" applyFont="1" applyFill="1" applyBorder="1" applyAlignment="1">
      <alignment horizontal="right"/>
    </xf>
    <xf numFmtId="164" fontId="247" fillId="0" borderId="61" xfId="4" applyNumberFormat="1" applyFont="1" applyFill="1" applyBorder="1" applyAlignment="1">
      <alignment horizontal="right"/>
    </xf>
    <xf numFmtId="164" fontId="257" fillId="0" borderId="87" xfId="0" applyNumberFormat="1" applyFont="1" applyBorder="1"/>
    <xf numFmtId="164" fontId="257" fillId="0" borderId="59" xfId="0" applyNumberFormat="1" applyFont="1" applyBorder="1"/>
    <xf numFmtId="164" fontId="257" fillId="0" borderId="104" xfId="0" applyNumberFormat="1" applyFont="1" applyBorder="1"/>
    <xf numFmtId="164" fontId="257" fillId="0" borderId="79" xfId="0" applyNumberFormat="1" applyFont="1" applyBorder="1"/>
    <xf numFmtId="164" fontId="257" fillId="0" borderId="91" xfId="0" applyNumberFormat="1" applyFont="1" applyBorder="1"/>
    <xf numFmtId="164" fontId="257" fillId="0" borderId="38" xfId="0" applyNumberFormat="1" applyFont="1" applyBorder="1"/>
    <xf numFmtId="164" fontId="257" fillId="0" borderId="19" xfId="0" applyNumberFormat="1" applyFont="1" applyBorder="1"/>
    <xf numFmtId="164" fontId="257" fillId="0" borderId="88" xfId="0" applyNumberFormat="1" applyFont="1" applyBorder="1"/>
    <xf numFmtId="164" fontId="257" fillId="0" borderId="65" xfId="0" applyNumberFormat="1" applyFont="1" applyBorder="1"/>
    <xf numFmtId="164" fontId="257" fillId="0" borderId="75" xfId="0" applyNumberFormat="1" applyFont="1" applyBorder="1"/>
    <xf numFmtId="164" fontId="257" fillId="64" borderId="54" xfId="4" applyNumberFormat="1" applyFont="1" applyFill="1" applyBorder="1"/>
    <xf numFmtId="164" fontId="257" fillId="64" borderId="38" xfId="4" applyNumberFormat="1" applyFont="1" applyFill="1" applyBorder="1"/>
    <xf numFmtId="164" fontId="257" fillId="64" borderId="55" xfId="4" applyNumberFormat="1" applyFont="1" applyFill="1" applyBorder="1"/>
    <xf numFmtId="164" fontId="257" fillId="0" borderId="97" xfId="4343" applyNumberFormat="1" applyFont="1" applyFill="1" applyBorder="1"/>
    <xf numFmtId="164" fontId="257" fillId="0" borderId="133" xfId="4" applyNumberFormat="1" applyFont="1" applyFill="1" applyBorder="1"/>
    <xf numFmtId="164" fontId="257" fillId="0" borderId="94" xfId="4343" applyNumberFormat="1" applyFont="1" applyFill="1" applyBorder="1"/>
    <xf numFmtId="164" fontId="257" fillId="0" borderId="59" xfId="4343" applyNumberFormat="1" applyFont="1" applyFill="1" applyBorder="1" applyAlignment="1">
      <alignment horizontal="right"/>
    </xf>
    <xf numFmtId="164" fontId="257" fillId="0" borderId="133" xfId="4343" applyNumberFormat="1" applyFont="1" applyFill="1" applyBorder="1" applyAlignment="1">
      <alignment horizontal="right"/>
    </xf>
    <xf numFmtId="164" fontId="257" fillId="0" borderId="134" xfId="4343" applyNumberFormat="1" applyFont="1" applyFill="1" applyBorder="1" applyAlignment="1">
      <alignment horizontal="right"/>
    </xf>
    <xf numFmtId="164" fontId="257" fillId="0" borderId="86" xfId="4343" applyNumberFormat="1" applyFont="1" applyFill="1" applyBorder="1" applyAlignment="1">
      <alignment horizontal="right"/>
    </xf>
    <xf numFmtId="164" fontId="257" fillId="0" borderId="136" xfId="4343" applyNumberFormat="1" applyFont="1" applyFill="1" applyBorder="1" applyAlignment="1">
      <alignment horizontal="right"/>
    </xf>
    <xf numFmtId="331" fontId="257" fillId="0" borderId="67" xfId="0" applyNumberFormat="1" applyFont="1" applyBorder="1" applyAlignment="1">
      <alignment horizontal="right"/>
    </xf>
    <xf numFmtId="164" fontId="257" fillId="0" borderId="68" xfId="4343" applyNumberFormat="1" applyFont="1" applyFill="1" applyBorder="1"/>
    <xf numFmtId="164" fontId="257" fillId="0" borderId="76" xfId="4343" applyNumberFormat="1" applyFont="1" applyFill="1" applyBorder="1"/>
    <xf numFmtId="164" fontId="257" fillId="0" borderId="69" xfId="4343" applyNumberFormat="1" applyFont="1" applyFill="1" applyBorder="1"/>
    <xf numFmtId="164" fontId="257" fillId="12" borderId="76" xfId="4343" applyNumberFormat="1" applyFont="1" applyFill="1" applyBorder="1" applyAlignment="1">
      <alignment horizontal="center" vertical="center"/>
    </xf>
    <xf numFmtId="0" fontId="278" fillId="0" borderId="134" xfId="0" applyFont="1" applyBorder="1" applyAlignment="1" applyProtection="1">
      <alignment horizontal="center" vertical="center"/>
      <protection locked="0"/>
    </xf>
    <xf numFmtId="0" fontId="0" fillId="0" borderId="64" xfId="0" applyBorder="1" applyAlignment="1">
      <alignment horizontal="center" vertical="center" wrapText="1"/>
    </xf>
    <xf numFmtId="0" fontId="0" fillId="0" borderId="143" xfId="0" applyBorder="1" applyAlignment="1">
      <alignment horizontal="center" vertical="center" wrapText="1"/>
    </xf>
    <xf numFmtId="0" fontId="0" fillId="0" borderId="143" xfId="0" applyBorder="1" applyAlignment="1">
      <alignment horizontal="center" vertical="center"/>
    </xf>
    <xf numFmtId="0" fontId="0" fillId="0" borderId="64" xfId="0" applyBorder="1" applyAlignment="1">
      <alignment horizontal="left" vertical="center" indent="1"/>
    </xf>
    <xf numFmtId="331" fontId="0" fillId="0" borderId="71" xfId="4339" applyNumberFormat="1" applyFont="1" applyFill="1" applyBorder="1"/>
    <xf numFmtId="331" fontId="11" fillId="0" borderId="80" xfId="4339" applyNumberFormat="1" applyFont="1" applyFill="1" applyBorder="1"/>
    <xf numFmtId="331" fontId="11" fillId="0" borderId="72" xfId="4339" applyNumberFormat="1" applyFont="1" applyFill="1" applyBorder="1"/>
    <xf numFmtId="331" fontId="247" fillId="0" borderId="80" xfId="4339" applyNumberFormat="1" applyFont="1" applyFill="1" applyBorder="1"/>
    <xf numFmtId="331" fontId="247" fillId="0" borderId="72" xfId="4339" applyNumberFormat="1" applyFont="1" applyFill="1" applyBorder="1"/>
    <xf numFmtId="0" fontId="0" fillId="0" borderId="144" xfId="0" applyBorder="1" applyAlignment="1">
      <alignment horizontal="left" vertical="center" indent="1"/>
    </xf>
    <xf numFmtId="0" fontId="257" fillId="0" borderId="145" xfId="0" applyFont="1" applyBorder="1" applyAlignment="1">
      <alignment horizontal="center" vertical="center"/>
    </xf>
    <xf numFmtId="0" fontId="257" fillId="0" borderId="146" xfId="0" applyFont="1" applyBorder="1" applyAlignment="1">
      <alignment horizontal="center" vertical="center"/>
    </xf>
    <xf numFmtId="164" fontId="11" fillId="61" borderId="64" xfId="4" applyNumberFormat="1" applyFont="1" applyFill="1" applyBorder="1"/>
    <xf numFmtId="164" fontId="11" fillId="61" borderId="95" xfId="4" applyNumberFormat="1" applyFont="1" applyFill="1" applyBorder="1"/>
    <xf numFmtId="164" fontId="0" fillId="61" borderId="71" xfId="4" applyNumberFormat="1" applyFont="1" applyFill="1" applyBorder="1"/>
    <xf numFmtId="164" fontId="0" fillId="61" borderId="72" xfId="4" applyNumberFormat="1" applyFont="1" applyFill="1" applyBorder="1"/>
    <xf numFmtId="164" fontId="0" fillId="61" borderId="80" xfId="4" applyNumberFormat="1" applyFont="1" applyFill="1" applyBorder="1"/>
    <xf numFmtId="164" fontId="247" fillId="61" borderId="71" xfId="4" applyNumberFormat="1" applyFont="1" applyFill="1" applyBorder="1"/>
    <xf numFmtId="164" fontId="247" fillId="61" borderId="72" xfId="4" applyNumberFormat="1" applyFont="1" applyFill="1" applyBorder="1"/>
    <xf numFmtId="164" fontId="257" fillId="0" borderId="64" xfId="0" applyNumberFormat="1" applyFont="1" applyBorder="1"/>
    <xf numFmtId="164" fontId="257" fillId="0" borderId="103" xfId="0" applyNumberFormat="1" applyFont="1" applyBorder="1"/>
    <xf numFmtId="164" fontId="0" fillId="0" borderId="97" xfId="0" applyNumberFormat="1" applyBorder="1"/>
    <xf numFmtId="164" fontId="0" fillId="0" borderId="147" xfId="0" applyNumberFormat="1" applyBorder="1"/>
    <xf numFmtId="164" fontId="257" fillId="0" borderId="97" xfId="0" applyNumberFormat="1" applyFont="1" applyBorder="1"/>
    <xf numFmtId="164" fontId="257" fillId="0" borderId="147" xfId="0" applyNumberFormat="1" applyFont="1" applyBorder="1"/>
    <xf numFmtId="331" fontId="257" fillId="0" borderId="80" xfId="4339" applyNumberFormat="1" applyFont="1" applyFill="1" applyBorder="1"/>
    <xf numFmtId="331" fontId="257" fillId="0" borderId="72" xfId="4339" applyNumberFormat="1" applyFont="1" applyFill="1" applyBorder="1"/>
    <xf numFmtId="164" fontId="257" fillId="61" borderId="71" xfId="4" applyNumberFormat="1" applyFont="1" applyFill="1" applyBorder="1"/>
    <xf numFmtId="164" fontId="257" fillId="61" borderId="72" xfId="4" applyNumberFormat="1" applyFont="1" applyFill="1" applyBorder="1"/>
    <xf numFmtId="3" fontId="0" fillId="0" borderId="92" xfId="0" applyNumberFormat="1" applyBorder="1" applyAlignment="1">
      <alignment horizontal="left"/>
    </xf>
    <xf numFmtId="331" fontId="257" fillId="0" borderId="21" xfId="0" applyNumberFormat="1" applyFont="1" applyBorder="1" applyAlignment="1">
      <alignment horizontal="left"/>
    </xf>
    <xf numFmtId="0" fontId="11" fillId="0" borderId="148" xfId="0" applyFont="1" applyBorder="1" applyAlignment="1">
      <alignment horizontal="center"/>
    </xf>
    <xf numFmtId="331" fontId="14" fillId="0" borderId="149" xfId="4339" applyNumberFormat="1" applyFont="1" applyFill="1" applyBorder="1" applyAlignment="1">
      <alignment horizontal="center"/>
    </xf>
    <xf numFmtId="3" fontId="0" fillId="0" borderId="150" xfId="0" applyNumberFormat="1" applyBorder="1" applyAlignment="1">
      <alignment horizontal="right"/>
    </xf>
    <xf numFmtId="0" fontId="0" fillId="0" borderId="96" xfId="0" applyBorder="1" applyAlignment="1">
      <alignment horizontal="center"/>
    </xf>
    <xf numFmtId="0" fontId="0" fillId="0" borderId="61" xfId="0" applyBorder="1" applyAlignment="1">
      <alignment horizontal="center"/>
    </xf>
    <xf numFmtId="3" fontId="0" fillId="0" borderId="97" xfId="0" applyNumberFormat="1" applyBorder="1" applyAlignment="1">
      <alignment horizontal="right"/>
    </xf>
    <xf numFmtId="3" fontId="0" fillId="0" borderId="151" xfId="0" applyNumberFormat="1" applyBorder="1" applyAlignment="1">
      <alignment horizontal="right"/>
    </xf>
    <xf numFmtId="3" fontId="0" fillId="0" borderId="152"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0" fontId="18" fillId="60" borderId="153" xfId="0" applyFont="1" applyFill="1" applyBorder="1" applyAlignment="1" applyProtection="1">
      <alignment horizontal="center"/>
      <protection locked="0"/>
    </xf>
    <xf numFmtId="331" fontId="0" fillId="0" borderId="93" xfId="4339" applyNumberFormat="1" applyFont="1" applyFill="1" applyBorder="1" applyAlignment="1">
      <alignment horizontal="right"/>
    </xf>
    <xf numFmtId="331" fontId="0" fillId="0" borderId="64" xfId="4339" applyNumberFormat="1" applyFont="1" applyFill="1" applyBorder="1" applyAlignment="1">
      <alignment horizontal="right"/>
    </xf>
    <xf numFmtId="3" fontId="0" fillId="0" borderId="64" xfId="0" applyNumberFormat="1" applyBorder="1" applyAlignment="1">
      <alignment horizontal="right"/>
    </xf>
    <xf numFmtId="3" fontId="0" fillId="0" borderId="95" xfId="0" applyNumberFormat="1" applyBorder="1" applyAlignment="1">
      <alignment horizontal="right"/>
    </xf>
    <xf numFmtId="331" fontId="0" fillId="0" borderId="94" xfId="4339" applyNumberFormat="1" applyFont="1" applyFill="1" applyBorder="1" applyAlignment="1">
      <alignment horizontal="right"/>
    </xf>
    <xf numFmtId="3" fontId="0" fillId="0" borderId="60" xfId="0" applyNumberFormat="1" applyBorder="1" applyAlignment="1">
      <alignment horizontal="right"/>
    </xf>
    <xf numFmtId="3" fontId="0" fillId="0" borderId="154" xfId="0" applyNumberFormat="1" applyBorder="1" applyAlignment="1">
      <alignment horizontal="right"/>
    </xf>
    <xf numFmtId="3" fontId="0" fillId="0" borderId="155" xfId="0" applyNumberFormat="1" applyBorder="1" applyAlignment="1">
      <alignment horizontal="right"/>
    </xf>
    <xf numFmtId="3" fontId="0" fillId="0" borderId="156" xfId="0" applyNumberFormat="1" applyBorder="1" applyAlignment="1">
      <alignment horizontal="right"/>
    </xf>
    <xf numFmtId="164" fontId="0" fillId="0" borderId="150" xfId="4" applyNumberFormat="1" applyFont="1" applyFill="1" applyBorder="1" applyAlignment="1"/>
    <xf numFmtId="164" fontId="257" fillId="0" borderId="150" xfId="4" applyNumberFormat="1" applyFont="1" applyFill="1" applyBorder="1" applyAlignment="1"/>
    <xf numFmtId="164" fontId="0" fillId="0" borderId="150" xfId="4" applyNumberFormat="1" applyFont="1" applyFill="1" applyBorder="1" applyAlignment="1">
      <alignment horizontal="right"/>
    </xf>
    <xf numFmtId="0" fontId="11" fillId="0" borderId="96" xfId="0" applyFont="1" applyBorder="1" applyAlignment="1">
      <alignment horizontal="center"/>
    </xf>
    <xf numFmtId="0" fontId="11" fillId="0" borderId="61" xfId="0" applyFont="1" applyBorder="1" applyAlignment="1">
      <alignment horizontal="center"/>
    </xf>
    <xf numFmtId="164" fontId="0" fillId="0" borderId="56" xfId="4" applyNumberFormat="1" applyFont="1" applyFill="1" applyBorder="1" applyAlignment="1"/>
    <xf numFmtId="164" fontId="0" fillId="0" borderId="72" xfId="4" applyNumberFormat="1" applyFont="1" applyFill="1" applyBorder="1" applyAlignment="1"/>
    <xf numFmtId="164" fontId="0" fillId="0" borderId="151" xfId="4" applyNumberFormat="1" applyFont="1" applyFill="1" applyBorder="1" applyAlignment="1"/>
    <xf numFmtId="164" fontId="0" fillId="0" borderId="152" xfId="4" applyNumberFormat="1" applyFont="1" applyFill="1" applyBorder="1" applyAlignment="1"/>
    <xf numFmtId="164" fontId="257" fillId="0" borderId="78" xfId="4" applyNumberFormat="1" applyFont="1" applyFill="1" applyBorder="1" applyAlignment="1"/>
    <xf numFmtId="164" fontId="257" fillId="0" borderId="61" xfId="4" applyNumberFormat="1" applyFont="1" applyFill="1" applyBorder="1" applyAlignment="1"/>
    <xf numFmtId="164" fontId="257" fillId="0" borderId="72" xfId="4" applyNumberFormat="1" applyFont="1" applyFill="1" applyBorder="1" applyAlignment="1"/>
    <xf numFmtId="164" fontId="257" fillId="0" borderId="152" xfId="4" applyNumberFormat="1" applyFont="1" applyFill="1" applyBorder="1" applyAlignment="1"/>
    <xf numFmtId="0" fontId="81" fillId="0" borderId="0" xfId="0" applyFont="1" applyProtection="1">
      <protection locked="0"/>
    </xf>
    <xf numFmtId="164" fontId="257" fillId="0" borderId="134" xfId="4" applyNumberFormat="1" applyFont="1" applyFill="1" applyBorder="1" applyAlignment="1"/>
    <xf numFmtId="164" fontId="257" fillId="0" borderId="149" xfId="4" applyNumberFormat="1" applyFont="1" applyFill="1" applyBorder="1" applyAlignment="1"/>
    <xf numFmtId="164" fontId="257" fillId="0" borderId="136" xfId="4" applyNumberFormat="1" applyFont="1" applyFill="1" applyBorder="1" applyAlignment="1"/>
    <xf numFmtId="164" fontId="0" fillId="0" borderId="151" xfId="4" applyNumberFormat="1" applyFont="1" applyFill="1" applyBorder="1" applyAlignment="1">
      <alignment horizontal="right"/>
    </xf>
    <xf numFmtId="164" fontId="0" fillId="0" borderId="152" xfId="4" applyNumberFormat="1" applyFont="1" applyFill="1" applyBorder="1" applyAlignment="1">
      <alignment horizontal="right"/>
    </xf>
    <xf numFmtId="0" fontId="11" fillId="0" borderId="158" xfId="0" applyFont="1" applyBorder="1" applyAlignment="1">
      <alignment horizontal="center"/>
    </xf>
    <xf numFmtId="0" fontId="0" fillId="0" borderId="149" xfId="0" applyBorder="1" applyAlignment="1">
      <alignment horizontal="center"/>
    </xf>
    <xf numFmtId="164" fontId="0" fillId="0" borderId="133" xfId="4" applyNumberFormat="1" applyFont="1" applyFill="1" applyBorder="1" applyAlignment="1"/>
    <xf numFmtId="164" fontId="0" fillId="0" borderId="134" xfId="4" applyNumberFormat="1" applyFont="1" applyFill="1" applyBorder="1" applyAlignment="1"/>
    <xf numFmtId="164" fontId="0" fillId="0" borderId="136" xfId="4" applyNumberFormat="1" applyFont="1" applyFill="1" applyBorder="1" applyAlignment="1"/>
    <xf numFmtId="164" fontId="0" fillId="0" borderId="153" xfId="4" applyNumberFormat="1" applyFont="1" applyFill="1" applyBorder="1" applyAlignment="1"/>
    <xf numFmtId="331" fontId="0" fillId="0" borderId="21" xfId="0" applyNumberFormat="1" applyBorder="1" applyAlignment="1">
      <alignment horizontal="left"/>
    </xf>
    <xf numFmtId="334" fontId="247" fillId="0" borderId="0" xfId="4339" applyNumberFormat="1" applyFont="1"/>
    <xf numFmtId="0" fontId="18" fillId="65" borderId="0" xfId="0" applyFont="1" applyFill="1" applyAlignment="1" applyProtection="1">
      <alignment readingOrder="1"/>
      <protection locked="0"/>
    </xf>
    <xf numFmtId="42" fontId="0" fillId="65" borderId="0" xfId="0" applyNumberFormat="1" applyFill="1"/>
    <xf numFmtId="0" fontId="0" fillId="65" borderId="0" xfId="0" applyFill="1"/>
    <xf numFmtId="44" fontId="0" fillId="65" borderId="0" xfId="0" applyNumberFormat="1" applyFill="1"/>
    <xf numFmtId="164" fontId="0" fillId="0" borderId="97" xfId="4" applyNumberFormat="1" applyFont="1" applyFill="1" applyBorder="1" applyAlignment="1">
      <alignment horizontal="left"/>
    </xf>
    <xf numFmtId="164" fontId="0" fillId="0" borderId="53" xfId="4" applyNumberFormat="1" applyFont="1" applyFill="1" applyBorder="1" applyAlignment="1">
      <alignment horizontal="left"/>
    </xf>
    <xf numFmtId="164" fontId="0" fillId="0" borderId="62" xfId="4" applyNumberFormat="1" applyFont="1" applyFill="1" applyBorder="1" applyAlignment="1">
      <alignment horizontal="left"/>
    </xf>
    <xf numFmtId="164" fontId="0" fillId="0" borderId="21" xfId="4" applyNumberFormat="1" applyFont="1" applyFill="1" applyBorder="1" applyAlignment="1">
      <alignment horizontal="left"/>
    </xf>
    <xf numFmtId="164" fontId="11" fillId="0" borderId="134" xfId="4" applyNumberFormat="1" applyFont="1" applyFill="1" applyBorder="1" applyAlignment="1">
      <alignment horizontal="right"/>
    </xf>
    <xf numFmtId="164" fontId="11" fillId="0" borderId="21" xfId="4" applyNumberFormat="1" applyFont="1" applyFill="1" applyBorder="1" applyAlignment="1">
      <alignment horizontal="right"/>
    </xf>
    <xf numFmtId="164" fontId="11" fillId="0" borderId="59" xfId="4" applyNumberFormat="1" applyFont="1" applyBorder="1" applyAlignment="1"/>
    <xf numFmtId="164" fontId="11" fillId="0" borderId="59" xfId="4" applyNumberFormat="1" applyFont="1" applyFill="1" applyBorder="1" applyAlignment="1">
      <alignment horizontal="center" vertical="center"/>
    </xf>
    <xf numFmtId="164" fontId="11" fillId="0" borderId="64" xfId="4" applyNumberFormat="1" applyFont="1" applyFill="1" applyBorder="1" applyAlignment="1">
      <alignment horizontal="center" vertical="center"/>
    </xf>
    <xf numFmtId="164" fontId="11" fillId="12" borderId="68" xfId="4343" applyNumberFormat="1" applyFont="1" applyFill="1" applyBorder="1" applyAlignment="1">
      <alignment horizontal="center" vertical="center"/>
    </xf>
    <xf numFmtId="331" fontId="11" fillId="0" borderId="92" xfId="4339" applyNumberFormat="1" applyFont="1" applyFill="1" applyBorder="1"/>
    <xf numFmtId="331" fontId="11" fillId="0" borderId="93" xfId="4339" applyNumberFormat="1" applyFont="1" applyFill="1" applyBorder="1"/>
    <xf numFmtId="331" fontId="11" fillId="0" borderId="133" xfId="4339" applyNumberFormat="1" applyFont="1" applyFill="1" applyBorder="1"/>
    <xf numFmtId="331" fontId="11" fillId="0" borderId="57" xfId="4339" applyNumberFormat="1" applyFont="1" applyFill="1" applyBorder="1"/>
    <xf numFmtId="164" fontId="11" fillId="64" borderId="67" xfId="4" applyNumberFormat="1" applyFont="1" applyFill="1" applyBorder="1"/>
    <xf numFmtId="164" fontId="11" fillId="64" borderId="68" xfId="4" applyNumberFormat="1" applyFont="1" applyFill="1" applyBorder="1"/>
    <xf numFmtId="331" fontId="11" fillId="64" borderId="69" xfId="4339" applyNumberFormat="1" applyFont="1" applyFill="1" applyBorder="1"/>
    <xf numFmtId="164" fontId="11" fillId="0" borderId="57" xfId="4" applyNumberFormat="1" applyFont="1" applyFill="1" applyBorder="1"/>
    <xf numFmtId="164" fontId="11" fillId="0" borderId="21" xfId="4343" applyNumberFormat="1" applyFont="1" applyFill="1" applyBorder="1"/>
    <xf numFmtId="164" fontId="11" fillId="0" borderId="58" xfId="4343" applyNumberFormat="1" applyFont="1" applyFill="1" applyBorder="1"/>
    <xf numFmtId="164" fontId="11" fillId="0" borderId="87" xfId="4" applyNumberFormat="1" applyFont="1" applyFill="1" applyBorder="1"/>
    <xf numFmtId="164" fontId="11" fillId="0" borderId="93" xfId="4" applyNumberFormat="1" applyFont="1" applyFill="1" applyBorder="1"/>
    <xf numFmtId="164" fontId="11" fillId="0" borderId="64" xfId="4343" applyNumberFormat="1" applyFont="1" applyFill="1" applyBorder="1"/>
    <xf numFmtId="164" fontId="11" fillId="0" borderId="95" xfId="4343" applyNumberFormat="1" applyFont="1" applyFill="1" applyBorder="1"/>
    <xf numFmtId="164" fontId="11" fillId="0" borderId="89" xfId="4343" applyNumberFormat="1" applyFont="1" applyFill="1" applyBorder="1"/>
    <xf numFmtId="164" fontId="11" fillId="0" borderId="98" xfId="4343" applyNumberFormat="1" applyFont="1" applyFill="1" applyBorder="1"/>
    <xf numFmtId="164" fontId="11" fillId="0" borderId="87" xfId="4343" applyNumberFormat="1" applyFont="1" applyFill="1" applyBorder="1"/>
    <xf numFmtId="164" fontId="11" fillId="0" borderId="133" xfId="4343" applyNumberFormat="1" applyFont="1" applyFill="1" applyBorder="1"/>
    <xf numFmtId="164" fontId="11" fillId="0" borderId="134" xfId="4343" applyNumberFormat="1" applyFont="1" applyFill="1" applyBorder="1"/>
    <xf numFmtId="164" fontId="11" fillId="0" borderId="136" xfId="4343" applyNumberFormat="1" applyFont="1" applyFill="1" applyBorder="1"/>
    <xf numFmtId="164" fontId="11" fillId="0" borderId="93" xfId="4343" applyNumberFormat="1" applyFont="1" applyFill="1" applyBorder="1"/>
    <xf numFmtId="164" fontId="11" fillId="0" borderId="133" xfId="4343" applyNumberFormat="1" applyFont="1" applyBorder="1"/>
    <xf numFmtId="164" fontId="11" fillId="0" borderId="93" xfId="4343" applyNumberFormat="1" applyFont="1" applyBorder="1"/>
    <xf numFmtId="3" fontId="0" fillId="0" borderId="21" xfId="0" applyNumberFormat="1" applyBorder="1"/>
    <xf numFmtId="331" fontId="0" fillId="0" borderId="59" xfId="4339" applyNumberFormat="1" applyFont="1" applyBorder="1"/>
    <xf numFmtId="331" fontId="0" fillId="0" borderId="59" xfId="0" applyNumberFormat="1" applyBorder="1" applyAlignment="1" applyProtection="1">
      <alignment horizontal="center"/>
      <protection locked="0"/>
    </xf>
    <xf numFmtId="164" fontId="11" fillId="0" borderId="3" xfId="4" applyNumberFormat="1" applyFont="1" applyFill="1" applyBorder="1" applyAlignment="1"/>
    <xf numFmtId="164" fontId="11" fillId="0" borderId="61" xfId="4" applyNumberFormat="1" applyFont="1" applyFill="1" applyBorder="1" applyAlignment="1"/>
    <xf numFmtId="164" fontId="11" fillId="0" borderId="58" xfId="4" applyNumberFormat="1" applyFont="1" applyFill="1" applyBorder="1" applyAlignment="1"/>
    <xf numFmtId="164" fontId="11" fillId="0" borderId="59" xfId="4" applyNumberFormat="1" applyFont="1" applyFill="1" applyBorder="1" applyAlignment="1"/>
    <xf numFmtId="164" fontId="11" fillId="0" borderId="90" xfId="4" applyNumberFormat="1" applyFont="1" applyFill="1" applyBorder="1" applyAlignment="1"/>
    <xf numFmtId="0" fontId="11" fillId="0" borderId="64" xfId="0" applyFont="1" applyBorder="1"/>
    <xf numFmtId="164" fontId="11" fillId="0" borderId="96" xfId="4" applyNumberFormat="1" applyFont="1" applyFill="1" applyBorder="1" applyAlignment="1"/>
    <xf numFmtId="164" fontId="11" fillId="0" borderId="98" xfId="4" applyNumberFormat="1" applyFont="1" applyFill="1" applyBorder="1" applyAlignment="1"/>
    <xf numFmtId="3" fontId="11" fillId="0" borderId="63" xfId="0" applyNumberFormat="1" applyFont="1" applyBorder="1"/>
    <xf numFmtId="37" fontId="11" fillId="0" borderId="59" xfId="4" applyNumberFormat="1" applyFont="1" applyFill="1" applyBorder="1"/>
    <xf numFmtId="37" fontId="11" fillId="0" borderId="90" xfId="4" applyNumberFormat="1" applyFont="1" applyFill="1" applyBorder="1"/>
    <xf numFmtId="331" fontId="11" fillId="0" borderId="71" xfId="4339" applyNumberFormat="1" applyFont="1" applyFill="1" applyBorder="1"/>
    <xf numFmtId="331" fontId="11" fillId="0" borderId="105" xfId="4339" applyNumberFormat="1" applyFont="1" applyFill="1" applyBorder="1"/>
    <xf numFmtId="37" fontId="11" fillId="0" borderId="97" xfId="4" applyNumberFormat="1" applyFont="1" applyFill="1" applyBorder="1"/>
    <xf numFmtId="37" fontId="11" fillId="0" borderId="63" xfId="4" applyNumberFormat="1" applyFont="1" applyFill="1" applyBorder="1"/>
    <xf numFmtId="331" fontId="11" fillId="0" borderId="97" xfId="4339" applyNumberFormat="1" applyFont="1" applyFill="1" applyBorder="1"/>
    <xf numFmtId="331" fontId="11" fillId="0" borderId="63" xfId="4339" applyNumberFormat="1" applyFont="1" applyFill="1" applyBorder="1"/>
    <xf numFmtId="331" fontId="11" fillId="0" borderId="53" xfId="4339" applyNumberFormat="1" applyFont="1" applyFill="1" applyBorder="1"/>
    <xf numFmtId="164" fontId="11" fillId="61" borderId="68" xfId="4" applyNumberFormat="1" applyFont="1" applyFill="1" applyBorder="1"/>
    <xf numFmtId="164" fontId="11" fillId="61" borderId="69" xfId="4" applyNumberFormat="1" applyFont="1" applyFill="1" applyBorder="1"/>
    <xf numFmtId="164" fontId="11" fillId="0" borderId="89" xfId="4" applyNumberFormat="1" applyFont="1" applyFill="1" applyBorder="1"/>
    <xf numFmtId="164" fontId="11" fillId="0" borderId="59" xfId="4" applyNumberFormat="1" applyFont="1" applyFill="1" applyBorder="1"/>
    <xf numFmtId="164" fontId="11" fillId="0" borderId="134" xfId="4" applyNumberFormat="1" applyFont="1" applyFill="1" applyBorder="1"/>
    <xf numFmtId="164" fontId="11" fillId="0" borderId="21" xfId="4" applyNumberFormat="1" applyFont="1" applyFill="1" applyBorder="1"/>
    <xf numFmtId="164" fontId="11" fillId="0" borderId="53" xfId="4" applyNumberFormat="1" applyFont="1" applyFill="1" applyBorder="1"/>
    <xf numFmtId="164" fontId="11" fillId="0" borderId="63" xfId="4" applyNumberFormat="1" applyFont="1" applyFill="1" applyBorder="1"/>
    <xf numFmtId="164" fontId="11" fillId="0" borderId="86" xfId="4" applyNumberFormat="1" applyFont="1" applyFill="1" applyBorder="1"/>
    <xf numFmtId="164" fontId="11" fillId="0" borderId="38" xfId="4" applyNumberFormat="1" applyFont="1" applyFill="1" applyBorder="1"/>
    <xf numFmtId="164" fontId="11" fillId="0" borderId="54" xfId="4" applyNumberFormat="1" applyFont="1" applyFill="1" applyBorder="1"/>
    <xf numFmtId="164" fontId="11" fillId="0" borderId="94" xfId="4" applyNumberFormat="1" applyFont="1" applyFill="1" applyBorder="1"/>
    <xf numFmtId="164" fontId="11" fillId="0" borderId="64" xfId="4" applyNumberFormat="1" applyFont="1" applyFill="1" applyBorder="1"/>
    <xf numFmtId="164" fontId="11" fillId="0" borderId="80" xfId="4" applyNumberFormat="1" applyFont="1" applyFill="1" applyBorder="1"/>
    <xf numFmtId="164" fontId="11" fillId="0" borderId="71" xfId="4" applyNumberFormat="1" applyFont="1" applyFill="1" applyBorder="1"/>
    <xf numFmtId="164" fontId="11" fillId="0" borderId="103" xfId="4" applyNumberFormat="1" applyFont="1" applyFill="1" applyBorder="1"/>
    <xf numFmtId="164" fontId="11" fillId="0" borderId="105" xfId="4" applyNumberFormat="1" applyFont="1" applyFill="1" applyBorder="1"/>
    <xf numFmtId="3" fontId="0" fillId="0" borderId="97" xfId="0" applyNumberFormat="1" applyBorder="1" applyAlignment="1">
      <alignment horizontal="left"/>
    </xf>
    <xf numFmtId="3" fontId="0" fillId="0" borderId="94" xfId="0" applyNumberFormat="1" applyBorder="1" applyAlignment="1">
      <alignment horizontal="right"/>
    </xf>
    <xf numFmtId="3" fontId="0" fillId="0" borderId="104" xfId="0" applyNumberFormat="1" applyBorder="1" applyAlignment="1">
      <alignment horizontal="right"/>
    </xf>
    <xf numFmtId="331" fontId="0" fillId="0" borderId="133" xfId="4339" applyNumberFormat="1" applyFont="1" applyFill="1" applyBorder="1" applyAlignment="1">
      <alignment horizontal="right"/>
    </xf>
    <xf numFmtId="331" fontId="0" fillId="0" borderId="134" xfId="4339" applyNumberFormat="1" applyFont="1" applyFill="1" applyBorder="1" applyAlignment="1">
      <alignment horizontal="right"/>
    </xf>
    <xf numFmtId="331" fontId="0" fillId="0" borderId="136" xfId="4339" applyNumberFormat="1" applyFont="1" applyFill="1" applyBorder="1" applyAlignment="1">
      <alignment horizontal="right"/>
    </xf>
    <xf numFmtId="0" fontId="18" fillId="0" borderId="2" xfId="0" applyFont="1" applyBorder="1"/>
    <xf numFmtId="0" fontId="18" fillId="58" borderId="158" xfId="0" applyFont="1" applyFill="1" applyBorder="1" applyAlignment="1">
      <alignment horizontal="center"/>
    </xf>
    <xf numFmtId="0" fontId="18" fillId="60" borderId="136" xfId="0" applyFont="1" applyFill="1" applyBorder="1" applyAlignment="1" applyProtection="1">
      <alignment horizontal="center"/>
      <protection locked="0"/>
    </xf>
    <xf numFmtId="0" fontId="18" fillId="60" borderId="149" xfId="0" applyFont="1" applyFill="1" applyBorder="1" applyAlignment="1" applyProtection="1">
      <alignment horizontal="center"/>
      <protection locked="0"/>
    </xf>
    <xf numFmtId="164" fontId="247" fillId="0" borderId="58" xfId="4" applyNumberFormat="1" applyFont="1" applyFill="1" applyBorder="1" applyAlignment="1"/>
    <xf numFmtId="164" fontId="247" fillId="0" borderId="61" xfId="4" applyNumberFormat="1" applyFont="1" applyFill="1" applyBorder="1" applyAlignment="1"/>
    <xf numFmtId="164" fontId="247" fillId="0" borderId="59" xfId="4" applyNumberFormat="1" applyFont="1" applyFill="1" applyBorder="1" applyAlignment="1"/>
    <xf numFmtId="164" fontId="247" fillId="0" borderId="90" xfId="4" applyNumberFormat="1" applyFont="1" applyFill="1" applyBorder="1" applyAlignment="1"/>
    <xf numFmtId="3" fontId="247" fillId="0" borderId="63" xfId="0" applyNumberFormat="1" applyFont="1" applyBorder="1"/>
    <xf numFmtId="3" fontId="247" fillId="0" borderId="94" xfId="0" applyNumberFormat="1" applyFont="1" applyBorder="1"/>
    <xf numFmtId="164" fontId="247" fillId="0" borderId="89" xfId="4" applyNumberFormat="1" applyFont="1" applyFill="1" applyBorder="1"/>
    <xf numFmtId="164" fontId="247" fillId="0" borderId="58" xfId="4" applyNumberFormat="1" applyFont="1" applyFill="1" applyBorder="1"/>
    <xf numFmtId="164" fontId="247" fillId="0" borderId="59" xfId="4" applyNumberFormat="1" applyFont="1" applyFill="1" applyBorder="1"/>
    <xf numFmtId="164" fontId="247" fillId="0" borderId="90" xfId="4" applyNumberFormat="1" applyFont="1" applyFill="1" applyBorder="1"/>
    <xf numFmtId="164" fontId="247" fillId="0" borderId="134" xfId="4" applyNumberFormat="1" applyFont="1" applyFill="1" applyBorder="1"/>
    <xf numFmtId="164" fontId="247" fillId="0" borderId="136" xfId="4" applyNumberFormat="1" applyFont="1" applyFill="1" applyBorder="1"/>
    <xf numFmtId="164" fontId="247" fillId="0" borderId="21" xfId="4" applyNumberFormat="1" applyFont="1" applyFill="1" applyBorder="1"/>
    <xf numFmtId="164" fontId="247" fillId="0" borderId="38" xfId="4" applyNumberFormat="1" applyFont="1" applyFill="1" applyBorder="1" applyAlignment="1"/>
    <xf numFmtId="164" fontId="247" fillId="0" borderId="72" xfId="4" applyNumberFormat="1" applyFont="1" applyFill="1" applyBorder="1" applyAlignment="1"/>
    <xf numFmtId="0" fontId="18" fillId="60" borderId="160" xfId="0" applyFont="1" applyFill="1" applyBorder="1" applyAlignment="1" applyProtection="1">
      <alignment horizontal="center"/>
      <protection locked="0"/>
    </xf>
    <xf numFmtId="37" fontId="0" fillId="61" borderId="92" xfId="4" applyNumberFormat="1" applyFont="1" applyFill="1" applyBorder="1"/>
    <xf numFmtId="37" fontId="0" fillId="61" borderId="151" xfId="4" applyNumberFormat="1" applyFont="1" applyFill="1" applyBorder="1"/>
    <xf numFmtId="331" fontId="0" fillId="61" borderId="93" xfId="4339" applyNumberFormat="1" applyFont="1" applyFill="1" applyBorder="1"/>
    <xf numFmtId="331" fontId="0" fillId="61" borderId="92" xfId="4339" applyNumberFormat="1" applyFont="1" applyFill="1" applyBorder="1"/>
    <xf numFmtId="331" fontId="0" fillId="61" borderId="151" xfId="4339" applyNumberFormat="1" applyFont="1" applyFill="1" applyBorder="1"/>
    <xf numFmtId="331" fontId="0" fillId="61" borderId="133" xfId="4339" applyNumberFormat="1" applyFont="1" applyFill="1" applyBorder="1"/>
    <xf numFmtId="331" fontId="0" fillId="61" borderId="57" xfId="4339" applyNumberFormat="1" applyFont="1" applyFill="1" applyBorder="1"/>
    <xf numFmtId="331" fontId="0" fillId="0" borderId="56" xfId="4339" applyNumberFormat="1" applyFont="1" applyFill="1" applyBorder="1"/>
    <xf numFmtId="331" fontId="0" fillId="0" borderId="93" xfId="4339" applyNumberFormat="1" applyFont="1" applyFill="1" applyBorder="1"/>
    <xf numFmtId="331" fontId="0" fillId="0" borderId="70" xfId="4339" applyNumberFormat="1" applyFont="1" applyFill="1" applyBorder="1"/>
    <xf numFmtId="331" fontId="0" fillId="0" borderId="144" xfId="4339" applyNumberFormat="1" applyFont="1" applyFill="1" applyBorder="1"/>
    <xf numFmtId="37" fontId="0" fillId="0" borderId="144" xfId="0" applyNumberFormat="1" applyBorder="1"/>
    <xf numFmtId="0" fontId="81" fillId="0" borderId="101" xfId="0" applyFont="1" applyBorder="1" applyAlignment="1" applyProtection="1">
      <alignment horizontal="left"/>
      <protection locked="0"/>
    </xf>
    <xf numFmtId="0" fontId="18" fillId="60" borderId="161" xfId="0" applyFont="1" applyFill="1" applyBorder="1" applyAlignment="1" applyProtection="1">
      <alignment horizontal="center"/>
      <protection locked="0"/>
    </xf>
    <xf numFmtId="164" fontId="11" fillId="0" borderId="61" xfId="4" applyNumberFormat="1" applyFont="1" applyFill="1" applyBorder="1" applyAlignment="1">
      <alignment horizontal="right"/>
    </xf>
    <xf numFmtId="164" fontId="11" fillId="0" borderId="61" xfId="4" applyNumberFormat="1" applyFont="1" applyFill="1" applyBorder="1" applyAlignment="1">
      <alignment horizontal="right" vertical="center"/>
    </xf>
    <xf numFmtId="164" fontId="11" fillId="0" borderId="62" xfId="4" applyNumberFormat="1" applyFont="1" applyFill="1" applyBorder="1" applyAlignment="1">
      <alignment horizontal="right" vertical="center"/>
    </xf>
    <xf numFmtId="164" fontId="11" fillId="0" borderId="149" xfId="4" applyNumberFormat="1" applyFont="1" applyFill="1" applyBorder="1" applyAlignment="1">
      <alignment horizontal="right" vertical="center"/>
    </xf>
    <xf numFmtId="164" fontId="0" fillId="12" borderId="101" xfId="4343" applyNumberFormat="1" applyFont="1" applyFill="1" applyBorder="1" applyAlignment="1">
      <alignment horizontal="center" vertical="center"/>
    </xf>
    <xf numFmtId="164" fontId="257" fillId="0" borderId="151" xfId="4" applyNumberFormat="1" applyFont="1" applyFill="1" applyBorder="1" applyAlignment="1">
      <alignment horizontal="right"/>
    </xf>
    <xf numFmtId="164" fontId="257" fillId="0" borderId="151" xfId="4" applyNumberFormat="1" applyFont="1" applyFill="1" applyBorder="1" applyAlignment="1">
      <alignment horizontal="right" vertical="center"/>
    </xf>
    <xf numFmtId="164" fontId="257" fillId="0" borderId="93" xfId="4" applyNumberFormat="1" applyFont="1" applyFill="1" applyBorder="1" applyAlignment="1">
      <alignment horizontal="right" vertical="center"/>
    </xf>
    <xf numFmtId="164" fontId="257" fillId="0" borderId="133" xfId="4" applyNumberFormat="1" applyFont="1" applyFill="1" applyBorder="1" applyAlignment="1">
      <alignment horizontal="right" vertical="center"/>
    </xf>
    <xf numFmtId="164" fontId="0" fillId="12" borderId="144" xfId="4343" applyNumberFormat="1" applyFont="1" applyFill="1" applyBorder="1" applyAlignment="1">
      <alignment horizontal="center" vertical="center"/>
    </xf>
    <xf numFmtId="331" fontId="247" fillId="0" borderId="64" xfId="0" applyNumberFormat="1" applyFont="1" applyBorder="1" applyAlignment="1">
      <alignment horizontal="right" vertical="center"/>
    </xf>
    <xf numFmtId="0" fontId="81" fillId="0" borderId="4" xfId="0" applyFont="1" applyBorder="1" applyProtection="1">
      <protection locked="0"/>
    </xf>
    <xf numFmtId="0" fontId="81" fillId="0" borderId="4" xfId="0" applyFont="1" applyBorder="1" applyAlignment="1" applyProtection="1">
      <alignment horizontal="left"/>
      <protection locked="0"/>
    </xf>
    <xf numFmtId="0" fontId="81" fillId="0" borderId="0" xfId="0" applyFont="1" applyAlignment="1">
      <alignment horizontal="left"/>
    </xf>
    <xf numFmtId="0" fontId="7" fillId="0" borderId="56" xfId="0" applyFont="1" applyBorder="1" applyAlignment="1">
      <alignment horizontal="center" vertical="center"/>
    </xf>
    <xf numFmtId="0" fontId="7" fillId="0" borderId="112" xfId="0" applyFont="1" applyBorder="1" applyAlignment="1">
      <alignment horizontal="center" vertical="center"/>
    </xf>
    <xf numFmtId="0" fontId="7" fillId="0" borderId="70" xfId="0" applyFont="1" applyBorder="1" applyAlignment="1">
      <alignment horizontal="center" vertical="center"/>
    </xf>
    <xf numFmtId="0" fontId="7" fillId="0" borderId="56" xfId="0" applyFont="1" applyBorder="1" applyAlignment="1">
      <alignment horizontal="center" vertical="center" wrapText="1"/>
    </xf>
    <xf numFmtId="0" fontId="7" fillId="0" borderId="112" xfId="0" applyFont="1" applyBorder="1" applyAlignment="1">
      <alignment horizontal="center" vertical="center" wrapText="1"/>
    </xf>
    <xf numFmtId="0" fontId="246" fillId="0" borderId="0" xfId="0" applyFont="1" applyAlignment="1" applyProtection="1">
      <alignment readingOrder="1"/>
      <protection locked="0"/>
    </xf>
    <xf numFmtId="0" fontId="18" fillId="55" borderId="116" xfId="0" applyFont="1" applyFill="1" applyBorder="1" applyAlignment="1" applyProtection="1">
      <alignment horizontal="left" wrapText="1" readingOrder="1"/>
      <protection locked="0"/>
    </xf>
    <xf numFmtId="0" fontId="0" fillId="0" borderId="110" xfId="0" applyBorder="1" applyAlignment="1" applyProtection="1">
      <alignment horizontal="left" wrapText="1" readingOrder="1"/>
      <protection locked="0"/>
    </xf>
    <xf numFmtId="37" fontId="0" fillId="12" borderId="63" xfId="0" applyNumberFormat="1" applyFill="1" applyBorder="1" applyAlignment="1">
      <alignment horizontal="right"/>
    </xf>
    <xf numFmtId="0" fontId="0" fillId="12" borderId="111" xfId="0" applyFill="1" applyBorder="1" applyAlignment="1" applyProtection="1">
      <alignment readingOrder="1"/>
      <protection locked="0"/>
    </xf>
    <xf numFmtId="0" fontId="0" fillId="12" borderId="116" xfId="0" applyFill="1" applyBorder="1" applyAlignment="1" applyProtection="1">
      <alignment readingOrder="1"/>
      <protection locked="0"/>
    </xf>
    <xf numFmtId="0" fontId="0" fillId="12" borderId="110" xfId="0" applyFill="1" applyBorder="1" applyAlignment="1" applyProtection="1">
      <alignment horizontal="left" readingOrder="1"/>
      <protection locked="0"/>
    </xf>
    <xf numFmtId="0" fontId="11" fillId="12" borderId="111" xfId="0" applyFont="1" applyFill="1" applyBorder="1" applyAlignment="1" applyProtection="1">
      <alignment readingOrder="1"/>
      <protection locked="0"/>
    </xf>
    <xf numFmtId="0" fontId="0" fillId="0" borderId="110" xfId="0" applyBorder="1" applyAlignment="1" applyProtection="1">
      <alignment readingOrder="1"/>
      <protection locked="0"/>
    </xf>
    <xf numFmtId="0" fontId="0" fillId="12" borderId="117" xfId="0" applyFill="1" applyBorder="1" applyAlignment="1" applyProtection="1">
      <alignment readingOrder="1"/>
      <protection locked="0"/>
    </xf>
    <xf numFmtId="0" fontId="0" fillId="0" borderId="111" xfId="0" applyBorder="1" applyAlignment="1" applyProtection="1">
      <alignment readingOrder="1"/>
      <protection locked="0"/>
    </xf>
    <xf numFmtId="0" fontId="0" fillId="0" borderId="116" xfId="0" applyBorder="1" applyAlignment="1" applyProtection="1">
      <alignment readingOrder="1"/>
      <protection locked="0"/>
    </xf>
    <xf numFmtId="0" fontId="11" fillId="0" borderId="110" xfId="0" applyFont="1" applyBorder="1" applyAlignment="1" applyProtection="1">
      <alignment wrapText="1" readingOrder="1"/>
      <protection locked="0"/>
    </xf>
    <xf numFmtId="0" fontId="0" fillId="0" borderId="110" xfId="0" applyBorder="1" applyAlignment="1">
      <alignment wrapText="1"/>
    </xf>
    <xf numFmtId="190" fontId="0" fillId="0" borderId="0" xfId="2" applyNumberFormat="1" applyFont="1" applyFill="1"/>
    <xf numFmtId="164" fontId="0" fillId="0" borderId="0" xfId="1" applyNumberFormat="1" applyFont="1" applyFill="1"/>
    <xf numFmtId="331" fontId="11" fillId="0" borderId="126" xfId="4339" applyNumberFormat="1" applyFont="1" applyFill="1" applyBorder="1"/>
    <xf numFmtId="0" fontId="0" fillId="0" borderId="149"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0" fontId="0" fillId="0" borderId="110" xfId="0" applyBorder="1" applyAlignment="1" applyProtection="1">
      <alignment horizontal="center"/>
      <protection locked="0"/>
    </xf>
    <xf numFmtId="164" fontId="0" fillId="0" borderId="149" xfId="4343" applyNumberFormat="1" applyFont="1" applyFill="1" applyBorder="1"/>
    <xf numFmtId="164" fontId="257" fillId="0" borderId="153" xfId="4343" applyNumberFormat="1" applyFont="1" applyFill="1" applyBorder="1"/>
    <xf numFmtId="0" fontId="0" fillId="0" borderId="103" xfId="0" applyBorder="1" applyAlignment="1" applyProtection="1">
      <alignment horizontal="center"/>
      <protection locked="0"/>
    </xf>
    <xf numFmtId="0" fontId="0" fillId="0" borderId="145" xfId="0" applyBorder="1" applyAlignment="1" applyProtection="1">
      <alignment horizontal="center" vertical="center"/>
      <protection locked="0"/>
    </xf>
    <xf numFmtId="0" fontId="0" fillId="0" borderId="146" xfId="0" applyBorder="1" applyAlignment="1" applyProtection="1">
      <alignment horizontal="center"/>
      <protection locked="0"/>
    </xf>
    <xf numFmtId="0" fontId="0" fillId="0" borderId="150" xfId="0" applyBorder="1" applyAlignment="1" applyProtection="1">
      <alignment horizontal="center"/>
      <protection locked="0"/>
    </xf>
    <xf numFmtId="331" fontId="257" fillId="0" borderId="150" xfId="0" applyNumberFormat="1" applyFont="1" applyBorder="1" applyAlignment="1">
      <alignment horizontal="right"/>
    </xf>
    <xf numFmtId="331" fontId="257" fillId="0" borderId="150" xfId="0" applyNumberFormat="1" applyFont="1" applyBorder="1" applyAlignment="1">
      <alignment horizontal="left" vertical="center"/>
    </xf>
    <xf numFmtId="164" fontId="257" fillId="0" borderId="149" xfId="4" applyNumberFormat="1" applyFont="1" applyFill="1" applyBorder="1" applyAlignment="1">
      <alignment horizontal="right"/>
    </xf>
    <xf numFmtId="164" fontId="11" fillId="0" borderId="59" xfId="1" applyNumberFormat="1" applyFont="1" applyFill="1" applyBorder="1" applyAlignment="1">
      <alignment horizontal="right"/>
    </xf>
    <xf numFmtId="164" fontId="11" fillId="0" borderId="59" xfId="1" applyNumberFormat="1" applyFont="1" applyFill="1" applyBorder="1" applyAlignment="1">
      <alignment horizontal="left" vertical="center"/>
    </xf>
    <xf numFmtId="164" fontId="11" fillId="0" borderId="64" xfId="1" applyNumberFormat="1" applyFont="1" applyFill="1" applyBorder="1" applyAlignment="1">
      <alignment horizontal="right"/>
    </xf>
    <xf numFmtId="164" fontId="11" fillId="0" borderId="84" xfId="4" applyNumberFormat="1" applyFont="1" applyFill="1" applyBorder="1" applyAlignment="1">
      <alignment horizontal="right"/>
    </xf>
    <xf numFmtId="164" fontId="11" fillId="0" borderId="134" xfId="1" applyNumberFormat="1" applyFont="1" applyFill="1" applyBorder="1" applyAlignment="1">
      <alignment horizontal="right"/>
    </xf>
    <xf numFmtId="164" fontId="11" fillId="0" borderId="84" xfId="4" applyNumberFormat="1" applyFont="1" applyFill="1" applyBorder="1" applyAlignment="1">
      <alignment horizontal="center" vertical="center"/>
    </xf>
    <xf numFmtId="331" fontId="257" fillId="0" borderId="152" xfId="0" applyNumberFormat="1" applyFont="1" applyBorder="1" applyAlignment="1">
      <alignment horizontal="right"/>
    </xf>
    <xf numFmtId="331" fontId="257" fillId="0" borderId="150" xfId="0" applyNumberFormat="1" applyFont="1" applyBorder="1" applyAlignment="1">
      <alignment horizontal="right" vertical="center"/>
    </xf>
    <xf numFmtId="164" fontId="257" fillId="0" borderId="150" xfId="4" applyNumberFormat="1" applyFont="1" applyFill="1" applyBorder="1" applyAlignment="1">
      <alignment horizontal="right"/>
    </xf>
    <xf numFmtId="164" fontId="257" fillId="0" borderId="152" xfId="4343" applyNumberFormat="1" applyFont="1" applyFill="1" applyBorder="1" applyAlignment="1">
      <alignment horizontal="right"/>
    </xf>
    <xf numFmtId="164" fontId="257" fillId="0" borderId="150" xfId="4" applyNumberFormat="1" applyFont="1" applyFill="1" applyBorder="1" applyAlignment="1">
      <alignment horizontal="right" vertical="center"/>
    </xf>
    <xf numFmtId="164" fontId="247" fillId="0" borderId="64" xfId="4" applyNumberFormat="1" applyFont="1" applyFill="1" applyBorder="1" applyAlignment="1">
      <alignment horizontal="right" vertical="center"/>
    </xf>
    <xf numFmtId="331" fontId="11" fillId="61" borderId="133" xfId="4339" applyNumberFormat="1" applyFont="1" applyFill="1" applyBorder="1"/>
    <xf numFmtId="331" fontId="11" fillId="61" borderId="57" xfId="4339" applyNumberFormat="1" applyFont="1" applyFill="1" applyBorder="1"/>
    <xf numFmtId="331" fontId="11" fillId="61" borderId="151" xfId="4339" applyNumberFormat="1" applyFont="1" applyFill="1" applyBorder="1"/>
    <xf numFmtId="331" fontId="11" fillId="61" borderId="93" xfId="4339" applyNumberFormat="1" applyFont="1" applyFill="1" applyBorder="1"/>
    <xf numFmtId="331" fontId="11" fillId="61" borderId="92" xfId="4339" applyNumberFormat="1" applyFont="1" applyFill="1" applyBorder="1"/>
    <xf numFmtId="331" fontId="11" fillId="0" borderId="56" xfId="4339" applyNumberFormat="1" applyFont="1" applyFill="1" applyBorder="1"/>
    <xf numFmtId="331" fontId="11" fillId="0" borderId="70" xfId="4339" applyNumberFormat="1" applyFont="1" applyFill="1" applyBorder="1"/>
    <xf numFmtId="331" fontId="11" fillId="0" borderId="144" xfId="4339" applyNumberFormat="1" applyFont="1" applyFill="1" applyBorder="1"/>
    <xf numFmtId="164" fontId="11" fillId="0" borderId="136" xfId="4" applyNumberFormat="1" applyFont="1" applyFill="1" applyBorder="1"/>
    <xf numFmtId="164" fontId="11" fillId="0" borderId="58" xfId="4" applyNumberFormat="1" applyFont="1" applyFill="1" applyBorder="1"/>
    <xf numFmtId="164" fontId="11" fillId="0" borderId="90" xfId="4" applyNumberFormat="1" applyFont="1" applyFill="1" applyBorder="1"/>
    <xf numFmtId="164" fontId="11" fillId="0" borderId="55" xfId="4" applyNumberFormat="1" applyFont="1" applyFill="1" applyBorder="1"/>
    <xf numFmtId="164" fontId="11" fillId="0" borderId="95" xfId="4" applyNumberFormat="1" applyFont="1" applyFill="1" applyBorder="1"/>
    <xf numFmtId="164" fontId="11" fillId="0" borderId="72" xfId="4" applyNumberFormat="1" applyFont="1" applyFill="1" applyBorder="1"/>
    <xf numFmtId="164" fontId="11" fillId="0" borderId="82" xfId="4" applyNumberFormat="1" applyFont="1" applyFill="1" applyBorder="1"/>
    <xf numFmtId="164" fontId="11" fillId="61" borderId="76" xfId="4" applyNumberFormat="1" applyFont="1" applyFill="1" applyBorder="1"/>
    <xf numFmtId="0" fontId="0" fillId="0" borderId="92" xfId="0" applyBorder="1" applyAlignment="1">
      <alignment horizontal="left" vertical="center" indent="1"/>
    </xf>
    <xf numFmtId="0" fontId="257" fillId="0" borderId="89" xfId="0" applyFont="1" applyBorder="1" applyAlignment="1">
      <alignment horizontal="center" vertical="center"/>
    </xf>
    <xf numFmtId="0" fontId="257" fillId="0" borderId="96" xfId="0" applyFont="1" applyBorder="1" applyAlignment="1">
      <alignment horizontal="center" vertical="center"/>
    </xf>
    <xf numFmtId="0" fontId="0" fillId="0" borderId="151" xfId="0" applyBorder="1" applyAlignment="1">
      <alignment horizontal="left" vertical="center" indent="1"/>
    </xf>
    <xf numFmtId="0" fontId="257" fillId="0" borderId="150" xfId="0" applyFont="1" applyBorder="1" applyAlignment="1">
      <alignment horizontal="center" vertical="center"/>
    </xf>
    <xf numFmtId="0" fontId="257" fillId="0" borderId="61" xfId="0" applyFont="1" applyBorder="1" applyAlignment="1">
      <alignment horizontal="center" vertical="center"/>
    </xf>
    <xf numFmtId="164" fontId="0" fillId="0" borderId="150" xfId="0" applyNumberFormat="1" applyBorder="1"/>
    <xf numFmtId="0" fontId="0" fillId="0" borderId="133" xfId="0" applyBorder="1" applyAlignment="1">
      <alignment horizontal="left" vertical="center" indent="1"/>
    </xf>
    <xf numFmtId="0" fontId="257" fillId="0" borderId="134" xfId="0" applyFont="1" applyBorder="1" applyAlignment="1">
      <alignment horizontal="center" vertical="center"/>
    </xf>
    <xf numFmtId="0" fontId="257" fillId="0" borderId="149" xfId="0" applyFont="1" applyBorder="1" applyAlignment="1">
      <alignment horizontal="center" vertical="center"/>
    </xf>
    <xf numFmtId="164" fontId="0" fillId="0" borderId="153" xfId="0" applyNumberFormat="1" applyBorder="1"/>
    <xf numFmtId="164" fontId="257" fillId="0" borderId="153" xfId="0" applyNumberFormat="1" applyFont="1" applyBorder="1"/>
    <xf numFmtId="164" fontId="0" fillId="61" borderId="98" xfId="4" applyNumberFormat="1" applyFont="1" applyFill="1" applyBorder="1"/>
    <xf numFmtId="164" fontId="257" fillId="61" borderId="97" xfId="4" applyNumberFormat="1" applyFont="1" applyFill="1" applyBorder="1"/>
    <xf numFmtId="164" fontId="257" fillId="61" borderId="89" xfId="4" applyNumberFormat="1" applyFont="1" applyFill="1" applyBorder="1"/>
    <xf numFmtId="164" fontId="257" fillId="61" borderId="98" xfId="4" applyNumberFormat="1" applyFont="1" applyFill="1" applyBorder="1"/>
    <xf numFmtId="164" fontId="11" fillId="0" borderId="97" xfId="4" applyNumberFormat="1" applyFont="1" applyFill="1" applyBorder="1"/>
    <xf numFmtId="164" fontId="11" fillId="0" borderId="98" xfId="4" applyNumberFormat="1" applyFont="1" applyFill="1" applyBorder="1"/>
    <xf numFmtId="164" fontId="0" fillId="61" borderId="150" xfId="4" applyNumberFormat="1" applyFont="1" applyFill="1" applyBorder="1"/>
    <xf numFmtId="164" fontId="0" fillId="61" borderId="152" xfId="4" applyNumberFormat="1" applyFont="1" applyFill="1" applyBorder="1"/>
    <xf numFmtId="164" fontId="257" fillId="61" borderId="63" xfId="4" applyNumberFormat="1" applyFont="1" applyFill="1" applyBorder="1"/>
    <xf numFmtId="164" fontId="257" fillId="61" borderId="150" xfId="4" applyNumberFormat="1" applyFont="1" applyFill="1" applyBorder="1"/>
    <xf numFmtId="164" fontId="257" fillId="61" borderId="152" xfId="4" applyNumberFormat="1" applyFont="1" applyFill="1" applyBorder="1"/>
    <xf numFmtId="164" fontId="11" fillId="0" borderId="150" xfId="4" applyNumberFormat="1" applyFont="1" applyFill="1" applyBorder="1"/>
    <xf numFmtId="164" fontId="11" fillId="0" borderId="152" xfId="4" applyNumberFormat="1" applyFont="1" applyFill="1" applyBorder="1"/>
    <xf numFmtId="164" fontId="257" fillId="61" borderId="153" xfId="4" applyNumberFormat="1" applyFont="1" applyFill="1" applyBorder="1"/>
    <xf numFmtId="164" fontId="11" fillId="0" borderId="153" xfId="4" applyNumberFormat="1" applyFont="1" applyFill="1" applyBorder="1"/>
    <xf numFmtId="331" fontId="0" fillId="0" borderId="89" xfId="4339" applyNumberFormat="1" applyFont="1" applyFill="1" applyBorder="1"/>
    <xf numFmtId="331" fontId="257" fillId="0" borderId="97" xfId="4339" applyNumberFormat="1" applyFont="1" applyFill="1" applyBorder="1"/>
    <xf numFmtId="331" fontId="0" fillId="0" borderId="150" xfId="4339" applyNumberFormat="1" applyFont="1" applyFill="1" applyBorder="1"/>
    <xf numFmtId="331" fontId="11" fillId="0" borderId="152" xfId="4339" applyNumberFormat="1" applyFont="1" applyFill="1" applyBorder="1"/>
    <xf numFmtId="331" fontId="257" fillId="0" borderId="151" xfId="4339" applyNumberFormat="1" applyFont="1" applyFill="1" applyBorder="1"/>
    <xf numFmtId="331" fontId="257" fillId="0" borderId="150" xfId="4339" applyNumberFormat="1" applyFont="1" applyFill="1" applyBorder="1"/>
    <xf numFmtId="331" fontId="257" fillId="0" borderId="63" xfId="4339" applyNumberFormat="1" applyFont="1" applyFill="1" applyBorder="1"/>
    <xf numFmtId="331" fontId="257" fillId="0" borderId="152" xfId="4339" applyNumberFormat="1" applyFont="1" applyFill="1" applyBorder="1"/>
    <xf numFmtId="331" fontId="11" fillId="0" borderId="151" xfId="4339" applyNumberFormat="1" applyFont="1" applyFill="1" applyBorder="1"/>
    <xf numFmtId="331" fontId="11" fillId="0" borderId="150" xfId="4339" applyNumberFormat="1" applyFont="1" applyFill="1" applyBorder="1"/>
    <xf numFmtId="331" fontId="11" fillId="0" borderId="153" xfId="4339" applyNumberFormat="1" applyFont="1" applyFill="1" applyBorder="1"/>
    <xf numFmtId="331" fontId="257" fillId="0" borderId="153" xfId="4339" applyNumberFormat="1" applyFont="1" applyFill="1" applyBorder="1"/>
    <xf numFmtId="164" fontId="11" fillId="0" borderId="63" xfId="4" applyNumberFormat="1" applyFont="1" applyFill="1" applyBorder="1" applyAlignment="1"/>
    <xf numFmtId="164" fontId="11" fillId="0" borderId="152" xfId="4" applyNumberFormat="1" applyFont="1" applyFill="1" applyBorder="1" applyAlignment="1"/>
    <xf numFmtId="164" fontId="11" fillId="0" borderId="150" xfId="4" applyNumberFormat="1" applyFont="1" applyFill="1" applyBorder="1" applyAlignment="1"/>
    <xf numFmtId="164" fontId="11" fillId="0" borderId="153" xfId="4" applyNumberFormat="1" applyFont="1" applyFill="1" applyBorder="1" applyAlignment="1"/>
    <xf numFmtId="164" fontId="11" fillId="0" borderId="134" xfId="4" applyNumberFormat="1" applyFont="1" applyFill="1" applyBorder="1" applyAlignment="1"/>
    <xf numFmtId="164" fontId="11" fillId="0" borderId="136" xfId="4" applyNumberFormat="1" applyFont="1" applyFill="1" applyBorder="1" applyAlignment="1"/>
    <xf numFmtId="10" fontId="0" fillId="0" borderId="0" xfId="2" applyNumberFormat="1" applyFont="1" applyAlignment="1">
      <alignment horizontal="center"/>
    </xf>
    <xf numFmtId="164" fontId="11" fillId="0" borderId="63" xfId="1" applyNumberFormat="1" applyFont="1" applyFill="1" applyBorder="1"/>
    <xf numFmtId="164" fontId="11" fillId="0" borderId="59" xfId="1" applyNumberFormat="1" applyFont="1" applyFill="1" applyBorder="1"/>
    <xf numFmtId="164" fontId="11" fillId="0" borderId="90" xfId="1" applyNumberFormat="1" applyFont="1" applyFill="1" applyBorder="1"/>
    <xf numFmtId="164" fontId="11" fillId="0" borderId="86" xfId="1" applyNumberFormat="1" applyFont="1" applyFill="1" applyBorder="1"/>
    <xf numFmtId="164" fontId="11" fillId="0" borderId="134" xfId="1" applyNumberFormat="1" applyFont="1" applyFill="1" applyBorder="1"/>
    <xf numFmtId="164" fontId="11" fillId="0" borderId="95" xfId="1" applyNumberFormat="1" applyFont="1" applyFill="1" applyBorder="1"/>
    <xf numFmtId="164" fontId="11" fillId="0" borderId="53" xfId="1" applyNumberFormat="1" applyFont="1" applyFill="1" applyBorder="1"/>
    <xf numFmtId="164" fontId="11" fillId="0" borderId="21" xfId="1" applyNumberFormat="1" applyFont="1" applyFill="1" applyBorder="1"/>
    <xf numFmtId="164" fontId="11" fillId="0" borderId="98" xfId="1" applyNumberFormat="1" applyFont="1" applyFill="1" applyBorder="1"/>
    <xf numFmtId="164" fontId="11" fillId="0" borderId="94" xfId="1" applyNumberFormat="1" applyFont="1" applyFill="1" applyBorder="1"/>
    <xf numFmtId="164" fontId="11" fillId="0" borderId="64" xfId="1" applyNumberFormat="1" applyFont="1" applyFill="1" applyBorder="1"/>
    <xf numFmtId="164" fontId="11" fillId="0" borderId="97" xfId="1" applyNumberFormat="1" applyFont="1" applyFill="1" applyBorder="1"/>
    <xf numFmtId="164" fontId="11" fillId="0" borderId="89" xfId="1" applyNumberFormat="1" applyFont="1" applyFill="1" applyBorder="1"/>
    <xf numFmtId="164" fontId="11" fillId="0" borderId="136" xfId="1" applyNumberFormat="1" applyFont="1" applyFill="1" applyBorder="1"/>
    <xf numFmtId="164" fontId="11" fillId="0" borderId="38" xfId="1" applyNumberFormat="1" applyFont="1" applyFill="1" applyBorder="1"/>
    <xf numFmtId="164" fontId="11" fillId="0" borderId="54" xfId="1" applyNumberFormat="1" applyFont="1" applyFill="1" applyBorder="1"/>
    <xf numFmtId="164" fontId="11" fillId="0" borderId="55" xfId="1" applyNumberFormat="1" applyFont="1" applyFill="1" applyBorder="1"/>
    <xf numFmtId="331" fontId="0" fillId="0" borderId="0" xfId="4339" applyNumberFormat="1" applyFont="1"/>
    <xf numFmtId="37" fontId="247" fillId="0" borderId="0" xfId="0" applyNumberFormat="1" applyFont="1" applyAlignment="1" applyProtection="1">
      <alignment readingOrder="1"/>
      <protection locked="0"/>
    </xf>
    <xf numFmtId="0" fontId="247" fillId="0" borderId="4" xfId="0" applyFont="1" applyBorder="1"/>
    <xf numFmtId="164" fontId="0" fillId="0" borderId="38" xfId="4" applyNumberFormat="1" applyFont="1" applyFill="1" applyBorder="1" applyAlignment="1">
      <alignment horizontal="right"/>
    </xf>
    <xf numFmtId="164" fontId="11" fillId="0" borderId="63" xfId="4" applyNumberFormat="1" applyFont="1" applyFill="1" applyBorder="1" applyAlignment="1">
      <alignment horizontal="right"/>
    </xf>
    <xf numFmtId="164" fontId="13" fillId="0" borderId="0" xfId="1" applyNumberFormat="1" applyFont="1"/>
    <xf numFmtId="330" fontId="0" fillId="0" borderId="0" xfId="1" applyNumberFormat="1" applyFont="1" applyFill="1"/>
    <xf numFmtId="5" fontId="247" fillId="0" borderId="0" xfId="0" applyNumberFormat="1" applyFont="1" applyAlignment="1">
      <alignment horizontal="right"/>
    </xf>
    <xf numFmtId="5" fontId="247" fillId="0" borderId="0" xfId="0" applyNumberFormat="1" applyFont="1"/>
    <xf numFmtId="0" fontId="4" fillId="0" borderId="112" xfId="0" applyFont="1" applyBorder="1" applyAlignment="1">
      <alignment horizontal="center" vertical="center"/>
    </xf>
    <xf numFmtId="37" fontId="0" fillId="12" borderId="126" xfId="0" applyNumberFormat="1" applyFill="1" applyBorder="1"/>
    <xf numFmtId="164" fontId="0" fillId="12" borderId="126" xfId="1" applyNumberFormat="1" applyFont="1" applyFill="1" applyBorder="1"/>
    <xf numFmtId="331" fontId="247" fillId="0" borderId="0" xfId="0" applyNumberFormat="1" applyFont="1" applyAlignment="1">
      <alignment horizontal="center" vertical="center"/>
    </xf>
    <xf numFmtId="0" fontId="18" fillId="0" borderId="0" xfId="0" applyFont="1" applyAlignment="1">
      <alignment horizontal="center"/>
    </xf>
    <xf numFmtId="164" fontId="0" fillId="0" borderId="150" xfId="1" applyNumberFormat="1" applyFont="1" applyBorder="1"/>
    <xf numFmtId="0" fontId="18" fillId="63" borderId="149" xfId="0" applyFont="1" applyFill="1" applyBorder="1" applyAlignment="1" applyProtection="1">
      <alignment horizontal="center"/>
      <protection locked="0"/>
    </xf>
    <xf numFmtId="164" fontId="0" fillId="0" borderId="0" xfId="1" applyNumberFormat="1" applyFont="1" applyFill="1" applyBorder="1"/>
    <xf numFmtId="3" fontId="247" fillId="0" borderId="97" xfId="0" applyNumberFormat="1" applyFont="1" applyBorder="1" applyAlignment="1">
      <alignment horizontal="left"/>
    </xf>
    <xf numFmtId="331" fontId="247" fillId="0" borderId="97" xfId="4339" applyNumberFormat="1" applyFont="1" applyFill="1" applyBorder="1"/>
    <xf numFmtId="331" fontId="247" fillId="0" borderId="63" xfId="4339" applyNumberFormat="1" applyFont="1" applyFill="1" applyBorder="1"/>
    <xf numFmtId="3" fontId="247" fillId="0" borderId="59" xfId="0" applyNumberFormat="1" applyFont="1" applyBorder="1"/>
    <xf numFmtId="331" fontId="247" fillId="0" borderId="59" xfId="4339" applyNumberFormat="1" applyFont="1" applyBorder="1"/>
    <xf numFmtId="0" fontId="261" fillId="0" borderId="0" xfId="0" applyFont="1"/>
    <xf numFmtId="331" fontId="0" fillId="0" borderId="57" xfId="4339" applyNumberFormat="1" applyFont="1" applyFill="1" applyBorder="1"/>
    <xf numFmtId="0" fontId="0" fillId="0" borderId="56" xfId="0" applyBorder="1"/>
    <xf numFmtId="0" fontId="273" fillId="0" borderId="0" xfId="0" applyFont="1"/>
    <xf numFmtId="331" fontId="0" fillId="0" borderId="4" xfId="4339" applyNumberFormat="1" applyFont="1" applyFill="1" applyBorder="1" applyAlignment="1"/>
    <xf numFmtId="331" fontId="0" fillId="0" borderId="0" xfId="4339" applyNumberFormat="1" applyFont="1" applyFill="1" applyBorder="1" applyAlignment="1"/>
    <xf numFmtId="331" fontId="0" fillId="0" borderId="0" xfId="4339" applyNumberFormat="1" applyFont="1" applyFill="1" applyBorder="1" applyAlignment="1">
      <alignment vertical="center"/>
    </xf>
    <xf numFmtId="331" fontId="11" fillId="0" borderId="62" xfId="4339" applyNumberFormat="1" applyFont="1" applyFill="1" applyBorder="1" applyAlignment="1">
      <alignment horizontal="center" vertical="center"/>
    </xf>
    <xf numFmtId="331" fontId="0" fillId="0" borderId="62" xfId="4339" applyNumberFormat="1" applyFont="1" applyFill="1" applyBorder="1"/>
    <xf numFmtId="331" fontId="0" fillId="0" borderId="84" xfId="4339" applyNumberFormat="1" applyFont="1" applyFill="1" applyBorder="1" applyAlignment="1"/>
    <xf numFmtId="37" fontId="0" fillId="0" borderId="122" xfId="0" applyNumberFormat="1" applyBorder="1" applyAlignment="1">
      <alignment horizontal="right"/>
    </xf>
    <xf numFmtId="0" fontId="18" fillId="60" borderId="137" xfId="0" applyFont="1" applyFill="1" applyBorder="1" applyAlignment="1">
      <alignment horizontal="center" vertical="center"/>
    </xf>
    <xf numFmtId="0" fontId="18" fillId="60" borderId="153" xfId="0" applyFont="1" applyFill="1" applyBorder="1" applyAlignment="1">
      <alignment horizontal="center" vertical="center"/>
    </xf>
    <xf numFmtId="0" fontId="18" fillId="60" borderId="134" xfId="0" applyFont="1" applyFill="1" applyBorder="1" applyAlignment="1">
      <alignment horizontal="center" vertical="center"/>
    </xf>
    <xf numFmtId="0" fontId="18" fillId="60" borderId="135" xfId="0" applyFont="1" applyFill="1" applyBorder="1" applyAlignment="1">
      <alignment horizontal="center" vertical="center"/>
    </xf>
    <xf numFmtId="331" fontId="0" fillId="0" borderId="129" xfId="4339" applyNumberFormat="1" applyFont="1" applyFill="1" applyBorder="1" applyAlignment="1">
      <alignment vertical="center"/>
    </xf>
    <xf numFmtId="331" fontId="11" fillId="0" borderId="122" xfId="4339" applyNumberFormat="1" applyFont="1" applyFill="1" applyBorder="1" applyAlignment="1">
      <alignment horizontal="center" vertical="center"/>
    </xf>
    <xf numFmtId="331" fontId="0" fillId="0" borderId="43" xfId="4339" applyNumberFormat="1" applyFont="1" applyFill="1" applyBorder="1" applyAlignment="1">
      <alignment vertical="center"/>
    </xf>
    <xf numFmtId="331" fontId="0" fillId="0" borderId="30" xfId="4339" applyNumberFormat="1" applyFont="1" applyFill="1" applyBorder="1" applyAlignment="1">
      <alignment vertical="center"/>
    </xf>
    <xf numFmtId="37" fontId="0" fillId="12" borderId="129" xfId="0" applyNumberFormat="1" applyFill="1" applyBorder="1"/>
    <xf numFmtId="331" fontId="0" fillId="0" borderId="123" xfId="4339" applyNumberFormat="1" applyFont="1" applyFill="1" applyBorder="1" applyAlignment="1">
      <alignment vertical="center"/>
    </xf>
    <xf numFmtId="37" fontId="0" fillId="12" borderId="123" xfId="0" applyNumberFormat="1" applyFill="1" applyBorder="1"/>
    <xf numFmtId="0" fontId="251" fillId="0" borderId="0" xfId="0" applyFont="1" applyAlignment="1" applyProtection="1">
      <alignment horizontal="right" readingOrder="1"/>
      <protection locked="0"/>
    </xf>
    <xf numFmtId="331" fontId="257" fillId="0" borderId="53" xfId="4339" applyNumberFormat="1" applyFont="1" applyFill="1" applyBorder="1"/>
    <xf numFmtId="331" fontId="257" fillId="0" borderId="71" xfId="4339" applyNumberFormat="1" applyFont="1" applyFill="1" applyBorder="1"/>
    <xf numFmtId="164" fontId="257" fillId="0" borderId="86" xfId="1" applyNumberFormat="1" applyFont="1" applyFill="1" applyBorder="1"/>
    <xf numFmtId="164" fontId="257" fillId="0" borderId="134" xfId="1" applyNumberFormat="1" applyFont="1" applyFill="1" applyBorder="1"/>
    <xf numFmtId="164" fontId="257" fillId="0" borderId="53" xfId="1" applyNumberFormat="1" applyFont="1" applyFill="1" applyBorder="1"/>
    <xf numFmtId="164" fontId="257" fillId="0" borderId="21" xfId="1" applyNumberFormat="1" applyFont="1" applyFill="1" applyBorder="1"/>
    <xf numFmtId="164" fontId="257" fillId="0" borderId="63" xfId="1" applyNumberFormat="1" applyFont="1" applyFill="1" applyBorder="1"/>
    <xf numFmtId="164" fontId="257" fillId="0" borderId="59" xfId="1" applyNumberFormat="1" applyFont="1" applyFill="1" applyBorder="1"/>
    <xf numFmtId="164" fontId="257" fillId="0" borderId="94" xfId="1" applyNumberFormat="1" applyFont="1" applyFill="1" applyBorder="1"/>
    <xf numFmtId="164" fontId="257" fillId="0" borderId="64" xfId="1" applyNumberFormat="1" applyFont="1" applyFill="1" applyBorder="1"/>
    <xf numFmtId="164" fontId="257" fillId="0" borderId="97" xfId="1" applyNumberFormat="1" applyFont="1" applyFill="1" applyBorder="1"/>
    <xf numFmtId="164" fontId="257" fillId="0" borderId="89" xfId="1" applyNumberFormat="1" applyFont="1" applyFill="1" applyBorder="1"/>
    <xf numFmtId="164" fontId="257" fillId="0" borderId="38" xfId="1" applyNumberFormat="1" applyFont="1" applyFill="1" applyBorder="1"/>
    <xf numFmtId="164" fontId="257" fillId="0" borderId="54" xfId="1" applyNumberFormat="1" applyFont="1" applyFill="1" applyBorder="1"/>
    <xf numFmtId="164" fontId="247" fillId="0" borderId="43" xfId="4" applyNumberFormat="1" applyFont="1" applyFill="1" applyBorder="1" applyAlignment="1">
      <alignment horizontal="center" vertical="center"/>
    </xf>
    <xf numFmtId="0" fontId="0" fillId="0" borderId="134" xfId="0" applyBorder="1" applyAlignment="1" applyProtection="1">
      <alignment horizontal="center"/>
      <protection locked="0"/>
    </xf>
    <xf numFmtId="0" fontId="0" fillId="0" borderId="135" xfId="0" applyBorder="1" applyAlignment="1" applyProtection="1">
      <alignment horizontal="center"/>
      <protection locked="0"/>
    </xf>
    <xf numFmtId="0" fontId="0" fillId="0" borderId="157" xfId="0" applyBorder="1" applyAlignment="1">
      <alignment horizontal="left" indent="1"/>
    </xf>
    <xf numFmtId="164" fontId="257" fillId="0" borderId="90" xfId="1" applyNumberFormat="1" applyFont="1" applyFill="1" applyBorder="1" applyAlignment="1">
      <alignment horizontal="right"/>
    </xf>
    <xf numFmtId="164" fontId="257" fillId="0" borderId="59" xfId="1" applyNumberFormat="1" applyFont="1" applyFill="1" applyBorder="1" applyAlignment="1">
      <alignment horizontal="right" vertical="center"/>
    </xf>
    <xf numFmtId="164" fontId="257" fillId="0" borderId="90" xfId="1" applyNumberFormat="1" applyFont="1" applyFill="1" applyBorder="1" applyAlignment="1">
      <alignment horizontal="right" vertical="center"/>
    </xf>
    <xf numFmtId="164" fontId="257" fillId="0" borderId="64" xfId="1" applyNumberFormat="1" applyFont="1" applyFill="1" applyBorder="1" applyAlignment="1">
      <alignment horizontal="right" vertical="center"/>
    </xf>
    <xf numFmtId="164" fontId="257" fillId="0" borderId="95" xfId="1" applyNumberFormat="1" applyFont="1" applyFill="1" applyBorder="1" applyAlignment="1">
      <alignment horizontal="right" vertical="center"/>
    </xf>
    <xf numFmtId="164" fontId="0" fillId="0" borderId="67" xfId="1" applyNumberFormat="1" applyFont="1" applyFill="1" applyBorder="1" applyAlignment="1">
      <alignment horizontal="right"/>
    </xf>
    <xf numFmtId="164" fontId="0" fillId="0" borderId="68" xfId="1" applyNumberFormat="1" applyFont="1" applyFill="1" applyBorder="1" applyAlignment="1">
      <alignment horizontal="right"/>
    </xf>
    <xf numFmtId="164" fontId="0" fillId="0" borderId="69" xfId="1" applyNumberFormat="1" applyFont="1" applyFill="1" applyBorder="1" applyAlignment="1">
      <alignment horizontal="right"/>
    </xf>
    <xf numFmtId="164" fontId="11" fillId="0" borderId="56" xfId="1" applyNumberFormat="1" applyFont="1" applyBorder="1" applyAlignment="1">
      <alignment horizontal="right"/>
    </xf>
    <xf numFmtId="164" fontId="257" fillId="0" borderId="55" xfId="1" applyNumberFormat="1" applyFont="1" applyFill="1" applyBorder="1"/>
    <xf numFmtId="164" fontId="0" fillId="12" borderId="67" xfId="1" applyNumberFormat="1" applyFont="1" applyFill="1" applyBorder="1" applyAlignment="1">
      <alignment horizontal="center" vertical="center"/>
    </xf>
    <xf numFmtId="164" fontId="0" fillId="0" borderId="68" xfId="1" applyNumberFormat="1" applyFont="1" applyFill="1" applyBorder="1"/>
    <xf numFmtId="164" fontId="0" fillId="0" borderId="69" xfId="1" applyNumberFormat="1" applyFont="1" applyFill="1" applyBorder="1"/>
    <xf numFmtId="164" fontId="277" fillId="0" borderId="0" xfId="0" applyNumberFormat="1" applyFont="1" applyAlignment="1">
      <alignment horizontal="right"/>
    </xf>
    <xf numFmtId="331" fontId="247" fillId="0" borderId="149" xfId="0" applyNumberFormat="1" applyFont="1" applyBorder="1" applyAlignment="1">
      <alignment horizontal="right"/>
    </xf>
    <xf numFmtId="331" fontId="11" fillId="0" borderId="161" xfId="4339" applyNumberFormat="1" applyFont="1" applyFill="1" applyBorder="1"/>
    <xf numFmtId="331" fontId="0" fillId="64" borderId="160" xfId="4339" applyNumberFormat="1" applyFont="1" applyFill="1" applyBorder="1"/>
    <xf numFmtId="331" fontId="0" fillId="0" borderId="151" xfId="4339" applyNumberFormat="1" applyFont="1" applyFill="1" applyBorder="1"/>
    <xf numFmtId="331" fontId="11" fillId="0" borderId="150" xfId="0" applyNumberFormat="1" applyFont="1" applyBorder="1" applyAlignment="1">
      <alignment horizontal="right"/>
    </xf>
    <xf numFmtId="0" fontId="0" fillId="0" borderId="150" xfId="0" applyBorder="1"/>
    <xf numFmtId="331" fontId="11" fillId="0" borderId="151" xfId="0" applyNumberFormat="1" applyFont="1" applyBorder="1" applyAlignment="1">
      <alignment horizontal="right"/>
    </xf>
    <xf numFmtId="331" fontId="247" fillId="0" borderId="152" xfId="0" applyNumberFormat="1" applyFont="1" applyBorder="1" applyAlignment="1">
      <alignment horizontal="right"/>
    </xf>
    <xf numFmtId="331" fontId="11" fillId="0" borderId="133" xfId="0" applyNumberFormat="1" applyFont="1" applyBorder="1" applyAlignment="1">
      <alignment horizontal="right"/>
    </xf>
    <xf numFmtId="331" fontId="247" fillId="0" borderId="136" xfId="0" applyNumberFormat="1" applyFont="1" applyBorder="1" applyAlignment="1">
      <alignment horizontal="right"/>
    </xf>
    <xf numFmtId="331" fontId="11" fillId="0" borderId="150" xfId="4339" applyNumberFormat="1" applyFont="1" applyFill="1" applyBorder="1" applyAlignment="1">
      <alignment horizontal="right"/>
    </xf>
    <xf numFmtId="331" fontId="257" fillId="0" borderId="91" xfId="4339" applyNumberFormat="1" applyFont="1" applyFill="1" applyBorder="1"/>
    <xf numFmtId="331" fontId="0" fillId="0" borderId="160" xfId="4339" applyNumberFormat="1" applyFont="1" applyBorder="1"/>
    <xf numFmtId="0" fontId="11" fillId="0" borderId="150" xfId="0" applyFont="1" applyBorder="1"/>
    <xf numFmtId="0" fontId="11" fillId="0" borderId="134" xfId="0" applyFont="1" applyBorder="1"/>
    <xf numFmtId="331" fontId="11" fillId="0" borderId="152" xfId="0" applyNumberFormat="1" applyFont="1" applyBorder="1" applyAlignment="1">
      <alignment horizontal="right"/>
    </xf>
    <xf numFmtId="331" fontId="11" fillId="0" borderId="136" xfId="0" applyNumberFormat="1" applyFont="1" applyBorder="1" applyAlignment="1">
      <alignment horizontal="right"/>
    </xf>
    <xf numFmtId="331" fontId="11" fillId="0" borderId="104" xfId="4339" applyNumberFormat="1" applyFont="1" applyFill="1" applyBorder="1"/>
    <xf numFmtId="37" fontId="0" fillId="12" borderId="71" xfId="0" applyNumberFormat="1" applyFill="1" applyBorder="1"/>
    <xf numFmtId="37" fontId="0" fillId="12" borderId="118" xfId="0" applyNumberFormat="1" applyFill="1" applyBorder="1"/>
    <xf numFmtId="37" fontId="0" fillId="12" borderId="54" xfId="0" applyNumberFormat="1" applyFill="1" applyBorder="1"/>
    <xf numFmtId="37" fontId="0" fillId="12" borderId="21" xfId="0" applyNumberFormat="1" applyFill="1" applyBorder="1"/>
    <xf numFmtId="331" fontId="0" fillId="0" borderId="126" xfId="0" applyNumberFormat="1" applyBorder="1"/>
    <xf numFmtId="331" fontId="0" fillId="0" borderId="150" xfId="0" applyNumberFormat="1" applyBorder="1"/>
    <xf numFmtId="164" fontId="0" fillId="12" borderId="129" xfId="1" applyNumberFormat="1" applyFont="1" applyFill="1" applyBorder="1"/>
    <xf numFmtId="164" fontId="0" fillId="12" borderId="71" xfId="1" applyNumberFormat="1" applyFont="1" applyFill="1" applyBorder="1"/>
    <xf numFmtId="164" fontId="0" fillId="12" borderId="118" xfId="1" applyNumberFormat="1" applyFont="1" applyFill="1" applyBorder="1"/>
    <xf numFmtId="164" fontId="0" fillId="12" borderId="123" xfId="1" applyNumberFormat="1" applyFont="1" applyFill="1" applyBorder="1"/>
    <xf numFmtId="164" fontId="0" fillId="12" borderId="54" xfId="1" applyNumberFormat="1" applyFont="1" applyFill="1" applyBorder="1"/>
    <xf numFmtId="164" fontId="0" fillId="12" borderId="111" xfId="1" applyNumberFormat="1" applyFont="1" applyFill="1" applyBorder="1"/>
    <xf numFmtId="164" fontId="0" fillId="12" borderId="21" xfId="1" applyNumberFormat="1" applyFont="1" applyFill="1" applyBorder="1"/>
    <xf numFmtId="164" fontId="0" fillId="12" borderId="116" xfId="1" applyNumberFormat="1" applyFont="1" applyFill="1" applyBorder="1"/>
    <xf numFmtId="164" fontId="0" fillId="0" borderId="126" xfId="1" applyNumberFormat="1" applyFont="1" applyBorder="1"/>
    <xf numFmtId="164" fontId="0" fillId="0" borderId="21" xfId="1" applyNumberFormat="1" applyFont="1" applyFill="1" applyBorder="1"/>
    <xf numFmtId="164" fontId="0" fillId="0" borderId="150" xfId="1" applyNumberFormat="1" applyFont="1" applyFill="1" applyBorder="1"/>
    <xf numFmtId="164" fontId="0" fillId="0" borderId="110" xfId="1" applyNumberFormat="1" applyFont="1" applyFill="1" applyBorder="1"/>
    <xf numFmtId="37" fontId="0" fillId="0" borderId="150" xfId="0" applyNumberFormat="1" applyBorder="1" applyAlignment="1">
      <alignment horizontal="right"/>
    </xf>
    <xf numFmtId="164" fontId="0" fillId="0" borderId="122" xfId="1" applyNumberFormat="1" applyFont="1" applyBorder="1" applyAlignment="1">
      <alignment horizontal="right"/>
    </xf>
    <xf numFmtId="164" fontId="0" fillId="0" borderId="150" xfId="1" applyNumberFormat="1" applyFont="1" applyBorder="1" applyAlignment="1">
      <alignment horizontal="right"/>
    </xf>
    <xf numFmtId="164" fontId="0" fillId="0" borderId="110" xfId="1" applyNumberFormat="1" applyFont="1" applyBorder="1" applyAlignment="1">
      <alignment horizontal="right"/>
    </xf>
    <xf numFmtId="9" fontId="277" fillId="0" borderId="0" xfId="2" applyFont="1" applyAlignment="1">
      <alignment horizontal="right"/>
    </xf>
    <xf numFmtId="190" fontId="0" fillId="0" borderId="0" xfId="2" applyNumberFormat="1" applyFont="1" applyAlignment="1">
      <alignment horizontal="left"/>
    </xf>
    <xf numFmtId="0" fontId="257" fillId="0" borderId="0" xfId="0" applyFont="1" applyAlignment="1">
      <alignment horizontal="center"/>
    </xf>
    <xf numFmtId="0" fontId="257" fillId="54" borderId="150" xfId="0" applyFont="1" applyFill="1" applyBorder="1" applyAlignment="1">
      <alignment horizontal="center"/>
    </xf>
    <xf numFmtId="0" fontId="0" fillId="54" borderId="51" xfId="0" applyFill="1" applyBorder="1" applyAlignment="1">
      <alignment horizontal="center"/>
    </xf>
    <xf numFmtId="0" fontId="0" fillId="54" borderId="150" xfId="0" applyFill="1" applyBorder="1" applyAlignment="1">
      <alignment horizontal="center"/>
    </xf>
    <xf numFmtId="0" fontId="0" fillId="54" borderId="50" xfId="0" applyFill="1" applyBorder="1" applyAlignment="1">
      <alignment horizontal="center"/>
    </xf>
    <xf numFmtId="0" fontId="247" fillId="0" borderId="0" xfId="0" applyFont="1" applyAlignment="1">
      <alignment horizontal="center"/>
    </xf>
    <xf numFmtId="0" fontId="257" fillId="0" borderId="50" xfId="0" applyFont="1" applyBorder="1" applyAlignment="1">
      <alignment horizontal="left"/>
    </xf>
    <xf numFmtId="5" fontId="257" fillId="0" borderId="51" xfId="1" applyNumberFormat="1" applyFont="1" applyFill="1" applyBorder="1"/>
    <xf numFmtId="5" fontId="257" fillId="0" borderId="150" xfId="1" applyNumberFormat="1" applyFont="1" applyFill="1" applyBorder="1"/>
    <xf numFmtId="5" fontId="257" fillId="0" borderId="50" xfId="1" applyNumberFormat="1" applyFont="1" applyFill="1" applyBorder="1"/>
    <xf numFmtId="5" fontId="257" fillId="0" borderId="61" xfId="1" applyNumberFormat="1" applyFont="1" applyFill="1" applyBorder="1"/>
    <xf numFmtId="164" fontId="257" fillId="0" borderId="50" xfId="1" applyNumberFormat="1" applyFont="1" applyFill="1" applyBorder="1"/>
    <xf numFmtId="9" fontId="257" fillId="0" borderId="0" xfId="2" applyFont="1" applyFill="1" applyBorder="1" applyAlignment="1">
      <alignment horizontal="center"/>
    </xf>
    <xf numFmtId="164" fontId="257" fillId="0" borderId="0" xfId="0" applyNumberFormat="1" applyFont="1"/>
    <xf numFmtId="5" fontId="247" fillId="0" borderId="0" xfId="1" applyNumberFormat="1" applyFont="1" applyFill="1" applyBorder="1"/>
    <xf numFmtId="5" fontId="257" fillId="53" borderId="150" xfId="1" applyNumberFormat="1" applyFont="1" applyFill="1" applyBorder="1" applyAlignment="1">
      <alignment horizontal="center"/>
    </xf>
    <xf numFmtId="5" fontId="257" fillId="53" borderId="50" xfId="1" applyNumberFormat="1" applyFont="1" applyFill="1" applyBorder="1"/>
    <xf numFmtId="9" fontId="257" fillId="53" borderId="0" xfId="2" applyFont="1" applyFill="1" applyBorder="1" applyAlignment="1">
      <alignment horizontal="center"/>
    </xf>
    <xf numFmtId="164" fontId="257" fillId="53" borderId="0" xfId="0" applyNumberFormat="1" applyFont="1" applyFill="1"/>
    <xf numFmtId="9" fontId="0" fillId="53" borderId="0" xfId="2" applyFont="1" applyFill="1" applyAlignment="1">
      <alignment horizontal="center"/>
    </xf>
    <xf numFmtId="5" fontId="0" fillId="0" borderId="150" xfId="1" applyNumberFormat="1" applyFont="1" applyFill="1" applyBorder="1"/>
    <xf numFmtId="5" fontId="0" fillId="0" borderId="61" xfId="1" applyNumberFormat="1" applyFont="1" applyFill="1" applyBorder="1"/>
    <xf numFmtId="5" fontId="0" fillId="0" borderId="51" xfId="1" applyNumberFormat="1" applyFont="1" applyFill="1" applyBorder="1"/>
    <xf numFmtId="5" fontId="0" fillId="0" borderId="150" xfId="1" quotePrefix="1" applyNumberFormat="1" applyFont="1" applyFill="1" applyBorder="1"/>
    <xf numFmtId="164" fontId="0" fillId="0" borderId="50" xfId="1" applyNumberFormat="1" applyFont="1" applyFill="1" applyBorder="1"/>
    <xf numFmtId="5" fontId="0" fillId="0" borderId="50" xfId="1" applyNumberFormat="1" applyFont="1" applyFill="1" applyBorder="1"/>
    <xf numFmtId="5" fontId="0" fillId="0" borderId="150" xfId="0" applyNumberFormat="1" applyBorder="1"/>
    <xf numFmtId="0" fontId="0" fillId="0" borderId="4" xfId="0" quotePrefix="1" applyBorder="1"/>
    <xf numFmtId="5" fontId="0" fillId="0" borderId="4" xfId="0" applyNumberFormat="1" applyBorder="1"/>
    <xf numFmtId="0" fontId="272" fillId="0" borderId="50" xfId="0" applyFont="1" applyBorder="1" applyAlignment="1">
      <alignment horizontal="left"/>
    </xf>
    <xf numFmtId="5" fontId="272" fillId="0" borderId="51" xfId="0" applyNumberFormat="1" applyFont="1" applyBorder="1"/>
    <xf numFmtId="5" fontId="272" fillId="0" borderId="150" xfId="0" applyNumberFormat="1" applyFont="1" applyBorder="1"/>
    <xf numFmtId="5" fontId="272" fillId="0" borderId="50" xfId="0" applyNumberFormat="1" applyFont="1" applyBorder="1"/>
    <xf numFmtId="5" fontId="272" fillId="0" borderId="61" xfId="0" applyNumberFormat="1" applyFont="1" applyBorder="1"/>
    <xf numFmtId="164" fontId="264" fillId="0" borderId="0" xfId="1" applyNumberFormat="1" applyFont="1" applyFill="1" applyBorder="1" applyAlignment="1">
      <alignment horizontal="right"/>
    </xf>
    <xf numFmtId="9" fontId="264" fillId="0" borderId="0" xfId="2" applyFont="1" applyFill="1" applyBorder="1"/>
    <xf numFmtId="0" fontId="247" fillId="0" borderId="0" xfId="0" quotePrefix="1" applyFont="1"/>
    <xf numFmtId="164" fontId="264" fillId="0" borderId="0" xfId="1" applyNumberFormat="1" applyFont="1" applyFill="1" applyBorder="1" applyAlignment="1">
      <alignment horizontal="left"/>
    </xf>
    <xf numFmtId="164" fontId="264" fillId="0" borderId="0" xfId="1" applyNumberFormat="1" applyFont="1" applyFill="1" applyBorder="1"/>
    <xf numFmtId="0" fontId="280" fillId="0" borderId="0" xfId="11" applyFont="1" applyAlignment="1">
      <alignment horizontal="left" indent="1"/>
    </xf>
    <xf numFmtId="0" fontId="257" fillId="0" borderId="0" xfId="0" applyFont="1" applyAlignment="1">
      <alignment horizontal="left"/>
    </xf>
    <xf numFmtId="0" fontId="272" fillId="0" borderId="0" xfId="0" applyFont="1" applyAlignment="1">
      <alignment horizontal="left"/>
    </xf>
    <xf numFmtId="5" fontId="272" fillId="0" borderId="0" xfId="0" applyNumberFormat="1" applyFont="1"/>
    <xf numFmtId="9" fontId="272" fillId="0" borderId="0" xfId="2" applyFont="1" applyFill="1" applyBorder="1" applyAlignment="1">
      <alignment horizontal="center"/>
    </xf>
    <xf numFmtId="9" fontId="257" fillId="62" borderId="0" xfId="2" applyFont="1" applyFill="1" applyBorder="1" applyAlignment="1">
      <alignment horizontal="left"/>
    </xf>
    <xf numFmtId="164" fontId="257" fillId="62" borderId="0" xfId="0" applyNumberFormat="1" applyFont="1" applyFill="1"/>
    <xf numFmtId="9" fontId="0" fillId="62" borderId="0" xfId="2" applyFont="1" applyFill="1" applyAlignment="1">
      <alignment horizontal="center"/>
    </xf>
    <xf numFmtId="0" fontId="257" fillId="54" borderId="50" xfId="0" applyFont="1" applyFill="1" applyBorder="1" applyAlignment="1">
      <alignment horizontal="center"/>
    </xf>
    <xf numFmtId="0" fontId="0" fillId="54" borderId="63" xfId="0" applyFill="1" applyBorder="1" applyAlignment="1">
      <alignment horizontal="center"/>
    </xf>
    <xf numFmtId="0" fontId="0" fillId="54" borderId="1" xfId="0" applyFill="1" applyBorder="1" applyAlignment="1">
      <alignment horizontal="center"/>
    </xf>
    <xf numFmtId="0" fontId="0" fillId="0" borderId="50" xfId="0" applyBorder="1"/>
    <xf numFmtId="5" fontId="0" fillId="0" borderId="63" xfId="1" applyNumberFormat="1" applyFont="1" applyFill="1" applyBorder="1"/>
    <xf numFmtId="5" fontId="0" fillId="0" borderId="1" xfId="1" applyNumberFormat="1" applyFont="1" applyFill="1" applyBorder="1"/>
    <xf numFmtId="164" fontId="0" fillId="0" borderId="1" xfId="1" applyNumberFormat="1" applyFont="1" applyFill="1" applyBorder="1"/>
    <xf numFmtId="9" fontId="257" fillId="62" borderId="0" xfId="2" applyFont="1" applyFill="1" applyBorder="1" applyAlignment="1">
      <alignment horizontal="center"/>
    </xf>
    <xf numFmtId="5" fontId="0" fillId="53" borderId="50" xfId="1" applyNumberFormat="1" applyFont="1" applyFill="1" applyBorder="1" applyAlignment="1">
      <alignment horizontal="left" indent="1"/>
    </xf>
    <xf numFmtId="5" fontId="0" fillId="53" borderId="51" xfId="1" applyNumberFormat="1" applyFont="1" applyFill="1" applyBorder="1"/>
    <xf numFmtId="5" fontId="0" fillId="53" borderId="150" xfId="1" applyNumberFormat="1" applyFont="1" applyFill="1" applyBorder="1"/>
    <xf numFmtId="164" fontId="0" fillId="53" borderId="150" xfId="1" applyNumberFormat="1" applyFont="1" applyFill="1" applyBorder="1"/>
    <xf numFmtId="5" fontId="0" fillId="53" borderId="63" xfId="1" applyNumberFormat="1" applyFont="1" applyFill="1" applyBorder="1"/>
    <xf numFmtId="5" fontId="0" fillId="53" borderId="1" xfId="1" applyNumberFormat="1" applyFont="1" applyFill="1" applyBorder="1"/>
    <xf numFmtId="164" fontId="0" fillId="53" borderId="1" xfId="1" applyNumberFormat="1" applyFont="1" applyFill="1" applyBorder="1"/>
    <xf numFmtId="5" fontId="0" fillId="53" borderId="50" xfId="1" applyNumberFormat="1" applyFont="1" applyFill="1" applyBorder="1"/>
    <xf numFmtId="190" fontId="257" fillId="53" borderId="0" xfId="2" applyNumberFormat="1" applyFont="1" applyFill="1" applyBorder="1" applyAlignment="1">
      <alignment horizontal="center"/>
    </xf>
    <xf numFmtId="5" fontId="257" fillId="53" borderId="0" xfId="0" applyNumberFormat="1" applyFont="1" applyFill="1"/>
    <xf numFmtId="190" fontId="257" fillId="53" borderId="0" xfId="0" applyNumberFormat="1" applyFont="1" applyFill="1"/>
    <xf numFmtId="0" fontId="0" fillId="53" borderId="0" xfId="0" quotePrefix="1" applyFill="1"/>
    <xf numFmtId="164" fontId="0" fillId="53" borderId="0" xfId="0" applyNumberFormat="1" applyFill="1"/>
    <xf numFmtId="9" fontId="0" fillId="0" borderId="0" xfId="2" applyFont="1" applyFill="1" applyAlignment="1">
      <alignment horizontal="center"/>
    </xf>
    <xf numFmtId="5" fontId="0" fillId="53" borderId="125" xfId="1" applyNumberFormat="1" applyFont="1" applyFill="1" applyBorder="1" applyAlignment="1">
      <alignment horizontal="left" indent="1"/>
    </xf>
    <xf numFmtId="164" fontId="0" fillId="53" borderId="62" xfId="1" applyNumberFormat="1" applyFont="1" applyFill="1" applyBorder="1" applyAlignment="1">
      <alignment horizontal="left" indent="1"/>
    </xf>
    <xf numFmtId="5" fontId="0" fillId="53" borderId="63" xfId="1" applyNumberFormat="1" applyFont="1" applyFill="1" applyBorder="1" applyAlignment="1">
      <alignment horizontal="left" indent="1"/>
    </xf>
    <xf numFmtId="9" fontId="0" fillId="53" borderId="0" xfId="2" applyFont="1" applyFill="1" applyBorder="1"/>
    <xf numFmtId="9" fontId="0" fillId="53" borderId="0" xfId="2" quotePrefix="1" applyFont="1" applyFill="1" applyBorder="1"/>
    <xf numFmtId="5" fontId="0" fillId="0" borderId="59" xfId="1" applyNumberFormat="1" applyFont="1" applyFill="1" applyBorder="1"/>
    <xf numFmtId="5" fontId="0" fillId="53" borderId="59" xfId="1" applyNumberFormat="1" applyFont="1" applyFill="1" applyBorder="1"/>
    <xf numFmtId="164" fontId="0" fillId="53" borderId="62" xfId="1" applyNumberFormat="1" applyFont="1" applyFill="1" applyBorder="1"/>
    <xf numFmtId="5" fontId="0" fillId="53" borderId="159" xfId="1" applyNumberFormat="1" applyFont="1" applyFill="1" applyBorder="1"/>
    <xf numFmtId="164" fontId="0" fillId="0" borderId="59" xfId="1" applyNumberFormat="1" applyFont="1" applyFill="1" applyBorder="1"/>
    <xf numFmtId="5" fontId="272" fillId="0" borderId="63" xfId="0" applyNumberFormat="1" applyFont="1" applyBorder="1"/>
    <xf numFmtId="5" fontId="272" fillId="0" borderId="159" xfId="0" applyNumberFormat="1" applyFont="1" applyBorder="1"/>
    <xf numFmtId="190" fontId="18" fillId="0" borderId="0" xfId="2" applyNumberFormat="1" applyFont="1"/>
    <xf numFmtId="5" fontId="18" fillId="0" borderId="0" xfId="0" applyNumberFormat="1" applyFont="1"/>
    <xf numFmtId="9" fontId="18" fillId="0" borderId="0" xfId="2" applyFont="1"/>
    <xf numFmtId="0" fontId="0" fillId="54" borderId="59" xfId="0" applyFill="1" applyBorder="1" applyAlignment="1">
      <alignment horizontal="center"/>
    </xf>
    <xf numFmtId="0" fontId="0" fillId="54" borderId="110" xfId="0" applyFill="1" applyBorder="1" applyAlignment="1">
      <alignment horizontal="center"/>
    </xf>
    <xf numFmtId="9" fontId="0" fillId="0" borderId="0" xfId="2" applyFont="1" applyBorder="1"/>
    <xf numFmtId="5" fontId="0" fillId="53" borderId="0" xfId="2" applyNumberFormat="1" applyFont="1" applyFill="1" applyBorder="1"/>
    <xf numFmtId="0" fontId="0" fillId="53" borderId="109" xfId="0" applyFill="1" applyBorder="1"/>
    <xf numFmtId="5" fontId="0" fillId="53" borderId="0" xfId="2" applyNumberFormat="1" applyFont="1" applyFill="1" applyBorder="1" applyAlignment="1">
      <alignment horizontal="left" indent="1"/>
    </xf>
    <xf numFmtId="0" fontId="0" fillId="0" borderId="0" xfId="0" quotePrefix="1" applyAlignment="1">
      <alignment horizontal="right"/>
    </xf>
    <xf numFmtId="0" fontId="257" fillId="54" borderId="59" xfId="0" applyFont="1" applyFill="1" applyBorder="1" applyAlignment="1">
      <alignment horizontal="center"/>
    </xf>
    <xf numFmtId="190" fontId="11" fillId="0" borderId="0" xfId="2" applyNumberFormat="1" applyFont="1"/>
    <xf numFmtId="9" fontId="11" fillId="0" borderId="0" xfId="2" applyFont="1"/>
    <xf numFmtId="5" fontId="257" fillId="53" borderId="4" xfId="0" applyNumberFormat="1" applyFont="1" applyFill="1" applyBorder="1"/>
    <xf numFmtId="190" fontId="257" fillId="53" borderId="4" xfId="0" applyNumberFormat="1" applyFont="1" applyFill="1" applyBorder="1"/>
    <xf numFmtId="0" fontId="0" fillId="53" borderId="4" xfId="0" quotePrefix="1" applyFill="1" applyBorder="1"/>
    <xf numFmtId="164" fontId="0" fillId="53" borderId="4" xfId="0" applyNumberFormat="1" applyFill="1" applyBorder="1"/>
    <xf numFmtId="9" fontId="0" fillId="0" borderId="62" xfId="2" applyFont="1" applyBorder="1"/>
    <xf numFmtId="9" fontId="0" fillId="0" borderId="121" xfId="2" applyFont="1" applyBorder="1"/>
    <xf numFmtId="9" fontId="0" fillId="53" borderId="62" xfId="2" applyFont="1" applyFill="1" applyBorder="1"/>
    <xf numFmtId="190" fontId="18" fillId="0" borderId="0" xfId="2" applyNumberFormat="1" applyFont="1" applyFill="1" applyBorder="1"/>
    <xf numFmtId="0" fontId="257" fillId="54" borderId="1" xfId="0" applyFont="1" applyFill="1" applyBorder="1" applyAlignment="1">
      <alignment horizontal="center"/>
    </xf>
    <xf numFmtId="5" fontId="0" fillId="0" borderId="0" xfId="0" applyNumberFormat="1" applyAlignment="1">
      <alignment horizontal="right"/>
    </xf>
    <xf numFmtId="5" fontId="257" fillId="0" borderId="1" xfId="1" applyNumberFormat="1" applyFont="1" applyFill="1" applyBorder="1"/>
    <xf numFmtId="5" fontId="257" fillId="53" borderId="1" xfId="1" applyNumberFormat="1" applyFont="1" applyFill="1" applyBorder="1" applyAlignment="1">
      <alignment horizontal="center"/>
    </xf>
    <xf numFmtId="5" fontId="257" fillId="53" borderId="1" xfId="1" applyNumberFormat="1" applyFont="1" applyFill="1" applyBorder="1"/>
    <xf numFmtId="9" fontId="257" fillId="53" borderId="1" xfId="2" applyFont="1" applyFill="1" applyBorder="1"/>
    <xf numFmtId="5" fontId="247" fillId="53" borderId="1" xfId="1" applyNumberFormat="1" applyFont="1" applyFill="1" applyBorder="1" applyAlignment="1">
      <alignment horizontal="center"/>
    </xf>
    <xf numFmtId="5" fontId="257" fillId="53" borderId="150" xfId="1" applyNumberFormat="1" applyFont="1" applyFill="1" applyBorder="1"/>
    <xf numFmtId="9" fontId="257" fillId="53" borderId="150" xfId="2" applyFont="1" applyFill="1" applyBorder="1"/>
    <xf numFmtId="5" fontId="257" fillId="53" borderId="0" xfId="1" applyNumberFormat="1" applyFont="1" applyFill="1" applyBorder="1" applyAlignment="1">
      <alignment horizontal="center"/>
    </xf>
    <xf numFmtId="5" fontId="257" fillId="0" borderId="59" xfId="1" applyNumberFormat="1" applyFont="1" applyFill="1" applyBorder="1"/>
    <xf numFmtId="0" fontId="0" fillId="0" borderId="50" xfId="0" applyBorder="1" applyAlignment="1">
      <alignment horizontal="left"/>
    </xf>
    <xf numFmtId="190" fontId="257" fillId="53" borderId="141" xfId="1" applyNumberFormat="1" applyFont="1" applyFill="1" applyBorder="1"/>
    <xf numFmtId="190" fontId="257" fillId="53" borderId="0" xfId="1" applyNumberFormat="1" applyFont="1" applyFill="1" applyBorder="1" applyAlignment="1">
      <alignment horizontal="center"/>
    </xf>
    <xf numFmtId="190" fontId="0" fillId="0" borderId="0" xfId="2" applyNumberFormat="1" applyFont="1" applyAlignment="1">
      <alignment horizontal="center"/>
    </xf>
    <xf numFmtId="5" fontId="272" fillId="0" borderId="1" xfId="0" applyNumberFormat="1" applyFont="1" applyBorder="1"/>
    <xf numFmtId="0" fontId="273" fillId="0" borderId="0" xfId="0" applyFont="1" applyAlignment="1">
      <alignment horizontal="left"/>
    </xf>
    <xf numFmtId="0" fontId="257" fillId="0" borderId="0" xfId="0" applyFont="1" applyAlignment="1">
      <alignment horizontal="right"/>
    </xf>
    <xf numFmtId="9" fontId="11" fillId="0" borderId="0" xfId="2" applyFont="1" applyAlignment="1">
      <alignment horizontal="right"/>
    </xf>
    <xf numFmtId="5" fontId="0" fillId="62" borderId="0" xfId="0" applyNumberFormat="1" applyFill="1"/>
    <xf numFmtId="0" fontId="0" fillId="54" borderId="60" xfId="0" applyFill="1" applyBorder="1" applyAlignment="1">
      <alignment horizontal="center"/>
    </xf>
    <xf numFmtId="164" fontId="0" fillId="0" borderId="63" xfId="1" applyNumberFormat="1" applyFont="1" applyBorder="1"/>
    <xf numFmtId="164" fontId="0" fillId="0" borderId="1" xfId="1" applyNumberFormat="1" applyFont="1" applyBorder="1"/>
    <xf numFmtId="164" fontId="0" fillId="0" borderId="50" xfId="1" applyNumberFormat="1" applyFont="1" applyBorder="1"/>
    <xf numFmtId="164" fontId="0" fillId="0" borderId="51" xfId="1" applyNumberFormat="1" applyFont="1" applyBorder="1"/>
    <xf numFmtId="190" fontId="0" fillId="0" borderId="0" xfId="2" applyNumberFormat="1" applyFont="1" applyFill="1" applyBorder="1" applyAlignment="1">
      <alignment horizontal="center"/>
    </xf>
    <xf numFmtId="164" fontId="0" fillId="0" borderId="0" xfId="0" applyNumberFormat="1" applyAlignment="1">
      <alignment horizontal="center"/>
    </xf>
    <xf numFmtId="0" fontId="0" fillId="0" borderId="3" xfId="4338" applyFont="1" applyBorder="1" applyAlignment="1">
      <alignment horizontal="left"/>
    </xf>
    <xf numFmtId="164" fontId="0" fillId="0" borderId="51" xfId="1" applyNumberFormat="1" applyFont="1" applyFill="1" applyBorder="1"/>
    <xf numFmtId="0" fontId="0" fillId="0" borderId="61" xfId="4338" applyFont="1" applyBorder="1" applyAlignment="1">
      <alignment horizontal="left"/>
    </xf>
    <xf numFmtId="0" fontId="18" fillId="0" borderId="52" xfId="0" applyFont="1" applyBorder="1" applyAlignment="1">
      <alignment horizontal="left"/>
    </xf>
    <xf numFmtId="0" fontId="0" fillId="54" borderId="52" xfId="0" applyFill="1" applyBorder="1" applyAlignment="1">
      <alignment horizontal="center"/>
    </xf>
    <xf numFmtId="0" fontId="0" fillId="0" borderId="52" xfId="4338" applyFont="1" applyBorder="1" applyAlignment="1">
      <alignment horizontal="left"/>
    </xf>
    <xf numFmtId="0" fontId="272" fillId="0" borderId="52" xfId="0" applyFont="1" applyBorder="1" applyAlignment="1">
      <alignment horizontal="left"/>
    </xf>
    <xf numFmtId="164" fontId="0" fillId="0" borderId="0" xfId="0" applyNumberFormat="1" applyAlignment="1">
      <alignment horizontal="right"/>
    </xf>
    <xf numFmtId="164" fontId="18" fillId="0" borderId="51" xfId="1" applyNumberFormat="1" applyFont="1" applyBorder="1"/>
    <xf numFmtId="164" fontId="18" fillId="0" borderId="1" xfId="1" applyNumberFormat="1" applyFont="1" applyBorder="1"/>
    <xf numFmtId="164" fontId="18" fillId="0" borderId="50" xfId="1" applyNumberFormat="1" applyFont="1" applyBorder="1"/>
    <xf numFmtId="9" fontId="0" fillId="0" borderId="84" xfId="2" applyFont="1" applyBorder="1"/>
    <xf numFmtId="0" fontId="13" fillId="0" borderId="0" xfId="0" applyFont="1"/>
    <xf numFmtId="5" fontId="257" fillId="0" borderId="63" xfId="1" applyNumberFormat="1" applyFont="1" applyFill="1" applyBorder="1"/>
    <xf numFmtId="5" fontId="257" fillId="0" borderId="51" xfId="0" applyNumberFormat="1" applyFont="1" applyBorder="1"/>
    <xf numFmtId="5" fontId="257" fillId="0" borderId="150" xfId="0" applyNumberFormat="1" applyFont="1" applyBorder="1"/>
    <xf numFmtId="5" fontId="257" fillId="0" borderId="50" xfId="0" applyNumberFormat="1" applyFont="1" applyBorder="1"/>
    <xf numFmtId="5" fontId="257" fillId="0" borderId="63" xfId="0" applyNumberFormat="1" applyFont="1" applyBorder="1"/>
    <xf numFmtId="5" fontId="0" fillId="0" borderId="50" xfId="0" applyNumberFormat="1" applyBorder="1"/>
    <xf numFmtId="5" fontId="257" fillId="0" borderId="1" xfId="0" applyNumberFormat="1" applyFont="1" applyBorder="1"/>
    <xf numFmtId="0" fontId="0" fillId="0" borderId="110" xfId="0" applyBorder="1" applyAlignment="1">
      <alignment horizontal="left"/>
    </xf>
    <xf numFmtId="190" fontId="247" fillId="0" borderId="0" xfId="2" applyNumberFormat="1" applyFont="1" applyFill="1" applyBorder="1" applyAlignment="1">
      <alignment horizontal="center"/>
    </xf>
    <xf numFmtId="9" fontId="257" fillId="0" borderId="0" xfId="2" applyFont="1"/>
    <xf numFmtId="190" fontId="257" fillId="0" borderId="0" xfId="2" applyNumberFormat="1" applyFont="1"/>
    <xf numFmtId="190" fontId="0" fillId="0" borderId="84" xfId="2" applyNumberFormat="1" applyFont="1" applyBorder="1"/>
    <xf numFmtId="190" fontId="257" fillId="0" borderId="84" xfId="2" applyNumberFormat="1" applyFont="1" applyFill="1" applyBorder="1"/>
    <xf numFmtId="190" fontId="0" fillId="0" borderId="0" xfId="2" applyNumberFormat="1" applyFont="1" applyBorder="1"/>
    <xf numFmtId="164" fontId="0" fillId="0" borderId="4" xfId="0" applyNumberFormat="1" applyBorder="1" applyAlignment="1">
      <alignment horizontal="center"/>
    </xf>
    <xf numFmtId="2" fontId="13" fillId="0" borderId="0" xfId="19" applyNumberFormat="1" applyFont="1"/>
    <xf numFmtId="7" fontId="0" fillId="0" borderId="0" xfId="0" applyNumberFormat="1"/>
    <xf numFmtId="0" fontId="0" fillId="54" borderId="61" xfId="0" applyFill="1" applyBorder="1" applyAlignment="1">
      <alignment horizontal="center"/>
    </xf>
    <xf numFmtId="5" fontId="257" fillId="53" borderId="63" xfId="1" applyNumberFormat="1" applyFont="1" applyFill="1" applyBorder="1"/>
    <xf numFmtId="164" fontId="0" fillId="53" borderId="50" xfId="1" applyNumberFormat="1" applyFont="1" applyFill="1" applyBorder="1"/>
    <xf numFmtId="190" fontId="0" fillId="53" borderId="0" xfId="2" applyNumberFormat="1" applyFont="1" applyFill="1" applyBorder="1" applyAlignment="1">
      <alignment horizontal="center"/>
    </xf>
    <xf numFmtId="164" fontId="0" fillId="53" borderId="0" xfId="0" applyNumberFormat="1" applyFill="1" applyAlignment="1">
      <alignment horizontal="center"/>
    </xf>
    <xf numFmtId="5" fontId="0" fillId="0" borderId="64" xfId="1" applyNumberFormat="1" applyFont="1" applyFill="1" applyBorder="1"/>
    <xf numFmtId="5" fontId="0" fillId="0" borderId="62" xfId="1" applyNumberFormat="1" applyFont="1" applyFill="1" applyBorder="1"/>
    <xf numFmtId="5" fontId="0" fillId="53" borderId="61" xfId="1" applyNumberFormat="1" applyFont="1" applyFill="1" applyBorder="1"/>
    <xf numFmtId="5" fontId="0" fillId="0" borderId="53" xfId="1" applyNumberFormat="1" applyFont="1" applyFill="1" applyBorder="1"/>
    <xf numFmtId="5" fontId="247" fillId="53" borderId="50" xfId="1" applyNumberFormat="1" applyFont="1" applyFill="1" applyBorder="1"/>
    <xf numFmtId="164" fontId="0" fillId="53" borderId="63" xfId="1" applyNumberFormat="1" applyFont="1" applyFill="1" applyBorder="1"/>
    <xf numFmtId="5" fontId="18" fillId="0" borderId="150" xfId="1" applyNumberFormat="1" applyFont="1" applyFill="1" applyBorder="1"/>
    <xf numFmtId="5" fontId="18" fillId="0" borderId="1" xfId="1" applyNumberFormat="1" applyFont="1" applyFill="1" applyBorder="1"/>
    <xf numFmtId="5" fontId="272" fillId="0" borderId="50" xfId="1" applyNumberFormat="1" applyFont="1" applyFill="1" applyBorder="1"/>
    <xf numFmtId="5" fontId="272" fillId="0" borderId="61" xfId="1" applyNumberFormat="1" applyFont="1" applyFill="1" applyBorder="1"/>
    <xf numFmtId="0" fontId="0" fillId="0" borderId="84" xfId="0" applyBorder="1" applyAlignment="1">
      <alignment horizontal="left" indent="1"/>
    </xf>
    <xf numFmtId="10" fontId="0" fillId="0" borderId="0" xfId="2" quotePrefix="1" applyNumberFormat="1" applyFont="1"/>
    <xf numFmtId="9" fontId="0" fillId="0" borderId="0" xfId="2" quotePrefix="1" applyFont="1"/>
    <xf numFmtId="190" fontId="0" fillId="0" borderId="0" xfId="2" quotePrefix="1" applyNumberFormat="1" applyFont="1"/>
    <xf numFmtId="0" fontId="15" fillId="0" borderId="0" xfId="0" applyFont="1"/>
    <xf numFmtId="0" fontId="0" fillId="0" borderId="84" xfId="0" applyBorder="1" applyAlignment="1">
      <alignment horizontal="right"/>
    </xf>
    <xf numFmtId="190" fontId="0" fillId="0" borderId="0" xfId="0" applyNumberFormat="1" applyAlignment="1">
      <alignment horizontal="right"/>
    </xf>
    <xf numFmtId="0" fontId="247" fillId="54" borderId="0" xfId="0" applyFont="1" applyFill="1"/>
    <xf numFmtId="0" fontId="3" fillId="0" borderId="0" xfId="11" applyFont="1" applyAlignment="1">
      <alignment horizontal="left" indent="1"/>
    </xf>
    <xf numFmtId="0" fontId="255" fillId="0" borderId="0" xfId="0" applyFont="1" applyAlignment="1">
      <alignment horizontal="left" indent="2"/>
    </xf>
    <xf numFmtId="5" fontId="11" fillId="0" borderId="50" xfId="1" applyNumberFormat="1" applyFont="1" applyFill="1" applyBorder="1"/>
    <xf numFmtId="0" fontId="281" fillId="0" borderId="0" xfId="0" applyFont="1"/>
    <xf numFmtId="5" fontId="247" fillId="0" borderId="0" xfId="2" applyNumberFormat="1" applyFont="1"/>
    <xf numFmtId="331" fontId="257" fillId="0" borderId="144" xfId="4339" applyNumberFormat="1" applyFont="1" applyFill="1" applyBorder="1"/>
    <xf numFmtId="331" fontId="257" fillId="0" borderId="105" xfId="4339" applyNumberFormat="1" applyFont="1" applyFill="1" applyBorder="1"/>
    <xf numFmtId="164" fontId="257" fillId="0" borderId="80" xfId="4" applyNumberFormat="1" applyFont="1" applyFill="1" applyBorder="1"/>
    <xf numFmtId="164" fontId="257" fillId="0" borderId="71" xfId="4" applyNumberFormat="1" applyFont="1" applyFill="1" applyBorder="1"/>
    <xf numFmtId="164" fontId="257" fillId="0" borderId="72" xfId="4" applyNumberFormat="1" applyFont="1" applyFill="1" applyBorder="1"/>
    <xf numFmtId="164" fontId="257" fillId="0" borderId="86" xfId="4" applyNumberFormat="1" applyFont="1" applyFill="1" applyBorder="1"/>
    <xf numFmtId="164" fontId="257" fillId="0" borderId="134" xfId="4" applyNumberFormat="1" applyFont="1" applyFill="1" applyBorder="1"/>
    <xf numFmtId="164" fontId="257" fillId="0" borderId="136" xfId="4" applyNumberFormat="1" applyFont="1" applyFill="1" applyBorder="1"/>
    <xf numFmtId="164" fontId="257" fillId="0" borderId="97" xfId="4" applyNumberFormat="1" applyFont="1" applyFill="1" applyBorder="1"/>
    <xf numFmtId="164" fontId="257" fillId="0" borderId="89" xfId="4" applyNumberFormat="1" applyFont="1" applyFill="1" applyBorder="1"/>
    <xf numFmtId="164" fontId="257" fillId="0" borderId="98" xfId="4" applyNumberFormat="1" applyFont="1" applyFill="1" applyBorder="1"/>
    <xf numFmtId="164" fontId="257" fillId="0" borderId="63" xfId="4" applyNumberFormat="1" applyFont="1" applyFill="1" applyBorder="1"/>
    <xf numFmtId="164" fontId="257" fillId="0" borderId="150" xfId="4" applyNumberFormat="1" applyFont="1" applyFill="1" applyBorder="1"/>
    <xf numFmtId="164" fontId="257" fillId="0" borderId="152" xfId="4" applyNumberFormat="1" applyFont="1" applyFill="1" applyBorder="1"/>
    <xf numFmtId="164" fontId="257" fillId="0" borderId="153" xfId="4" applyNumberFormat="1" applyFont="1" applyFill="1" applyBorder="1"/>
    <xf numFmtId="164" fontId="257" fillId="0" borderId="103" xfId="4" applyNumberFormat="1" applyFont="1" applyFill="1" applyBorder="1"/>
    <xf numFmtId="164" fontId="257" fillId="0" borderId="105" xfId="4" applyNumberFormat="1" applyFont="1" applyFill="1" applyBorder="1"/>
    <xf numFmtId="164" fontId="257" fillId="0" borderId="82" xfId="4" applyNumberFormat="1" applyFont="1" applyFill="1" applyBorder="1"/>
    <xf numFmtId="3" fontId="257" fillId="0" borderId="63" xfId="0" applyNumberFormat="1" applyFont="1" applyBorder="1" applyAlignment="1">
      <alignment horizontal="right"/>
    </xf>
    <xf numFmtId="3" fontId="257" fillId="0" borderId="59" xfId="0" applyNumberFormat="1" applyFont="1" applyBorder="1" applyAlignment="1">
      <alignment horizontal="right"/>
    </xf>
    <xf numFmtId="3" fontId="257" fillId="0" borderId="150" xfId="0" applyNumberFormat="1" applyFont="1" applyBorder="1" applyAlignment="1">
      <alignment horizontal="right"/>
    </xf>
    <xf numFmtId="331" fontId="257" fillId="0" borderId="133" xfId="4339" applyNumberFormat="1" applyFont="1" applyFill="1" applyBorder="1" applyAlignment="1">
      <alignment horizontal="right"/>
    </xf>
    <xf numFmtId="331" fontId="257" fillId="0" borderId="134" xfId="4339" applyNumberFormat="1" applyFont="1" applyFill="1" applyBorder="1" applyAlignment="1">
      <alignment horizontal="right"/>
    </xf>
    <xf numFmtId="164" fontId="257" fillId="0" borderId="153" xfId="4" applyNumberFormat="1" applyFont="1" applyFill="1" applyBorder="1" applyAlignment="1"/>
    <xf numFmtId="331" fontId="11" fillId="0" borderId="150" xfId="4339" applyNumberFormat="1" applyFont="1" applyFill="1" applyBorder="1" applyAlignment="1">
      <alignment horizontal="center" vertical="center"/>
    </xf>
    <xf numFmtId="0" fontId="0" fillId="0" borderId="61" xfId="0" applyBorder="1"/>
    <xf numFmtId="0" fontId="18" fillId="0" borderId="150" xfId="0" applyFont="1" applyBorder="1"/>
    <xf numFmtId="0" fontId="0" fillId="0" borderId="54" xfId="0" applyBorder="1"/>
    <xf numFmtId="9" fontId="0" fillId="0" borderId="124" xfId="2" applyFont="1" applyBorder="1"/>
    <xf numFmtId="0" fontId="18" fillId="0" borderId="4" xfId="0" applyFont="1" applyBorder="1"/>
    <xf numFmtId="190" fontId="257" fillId="53" borderId="4" xfId="2" applyNumberFormat="1" applyFont="1" applyFill="1" applyBorder="1" applyAlignment="1">
      <alignment horizontal="center"/>
    </xf>
    <xf numFmtId="5" fontId="11" fillId="0" borderId="150" xfId="1" applyNumberFormat="1" applyFont="1" applyFill="1" applyBorder="1"/>
    <xf numFmtId="0" fontId="247" fillId="0" borderId="0" xfId="2" applyNumberFormat="1" applyFont="1"/>
    <xf numFmtId="9" fontId="257" fillId="0" borderId="3" xfId="2" applyFont="1" applyFill="1" applyBorder="1" applyAlignment="1">
      <alignment horizontal="center"/>
    </xf>
    <xf numFmtId="9" fontId="247" fillId="0" borderId="0" xfId="2" applyFont="1" applyFill="1"/>
    <xf numFmtId="5" fontId="257" fillId="0" borderId="162" xfId="1" applyNumberFormat="1" applyFont="1" applyFill="1" applyBorder="1"/>
    <xf numFmtId="5" fontId="0" fillId="0" borderId="162" xfId="1" applyNumberFormat="1" applyFont="1" applyFill="1" applyBorder="1"/>
    <xf numFmtId="5" fontId="257" fillId="53" borderId="0" xfId="1" quotePrefix="1" applyNumberFormat="1" applyFont="1" applyFill="1" applyBorder="1"/>
    <xf numFmtId="190" fontId="257" fillId="53" borderId="0" xfId="1" quotePrefix="1" applyNumberFormat="1" applyFont="1" applyFill="1" applyBorder="1"/>
    <xf numFmtId="164" fontId="18" fillId="0" borderId="150" xfId="1" applyNumberFormat="1" applyFont="1" applyBorder="1"/>
    <xf numFmtId="0" fontId="2" fillId="0" borderId="0" xfId="11" applyFont="1"/>
    <xf numFmtId="0" fontId="282" fillId="0" borderId="38" xfId="11" applyFont="1" applyBorder="1"/>
    <xf numFmtId="0" fontId="2" fillId="0" borderId="0" xfId="11" applyFont="1" applyAlignment="1">
      <alignment horizontal="left" indent="1"/>
    </xf>
    <xf numFmtId="0" fontId="247" fillId="0" borderId="0" xfId="11" applyFont="1"/>
    <xf numFmtId="0" fontId="0" fillId="0" borderId="0" xfId="11" applyFont="1"/>
    <xf numFmtId="0" fontId="0" fillId="0" borderId="38" xfId="11" applyFont="1" applyBorder="1"/>
    <xf numFmtId="0" fontId="0" fillId="0" borderId="38" xfId="11" applyFont="1" applyBorder="1" applyAlignment="1">
      <alignment horizontal="right"/>
    </xf>
    <xf numFmtId="0" fontId="18" fillId="53" borderId="76" xfId="0" applyFont="1" applyFill="1" applyBorder="1"/>
    <xf numFmtId="164" fontId="247" fillId="0" borderId="89" xfId="1" applyNumberFormat="1" applyFont="1" applyFill="1" applyBorder="1" applyAlignment="1">
      <alignment horizontal="right"/>
    </xf>
    <xf numFmtId="164" fontId="247" fillId="0" borderId="21" xfId="1" applyNumberFormat="1" applyFont="1" applyFill="1" applyBorder="1" applyAlignment="1">
      <alignment horizontal="right"/>
    </xf>
    <xf numFmtId="164" fontId="247" fillId="0" borderId="150" xfId="4" applyNumberFormat="1" applyFont="1" applyFill="1" applyBorder="1" applyAlignment="1">
      <alignment horizontal="right"/>
    </xf>
    <xf numFmtId="164" fontId="11" fillId="0" borderId="21" xfId="1" applyNumberFormat="1" applyFont="1" applyFill="1" applyBorder="1" applyAlignment="1">
      <alignment horizontal="right"/>
    </xf>
    <xf numFmtId="164" fontId="11" fillId="0" borderId="150" xfId="4" applyNumberFormat="1" applyFont="1" applyFill="1" applyBorder="1" applyAlignment="1">
      <alignment horizontal="right"/>
    </xf>
    <xf numFmtId="164" fontId="11" fillId="0" borderId="150" xfId="4" applyNumberFormat="1" applyFont="1" applyBorder="1" applyAlignment="1"/>
    <xf numFmtId="164" fontId="11" fillId="0" borderId="150" xfId="4" applyNumberFormat="1" applyFont="1" applyFill="1" applyBorder="1" applyAlignment="1">
      <alignment horizontal="center" vertical="center"/>
    </xf>
    <xf numFmtId="164" fontId="11" fillId="0" borderId="54" xfId="1" applyNumberFormat="1" applyFont="1" applyFill="1" applyBorder="1" applyAlignment="1">
      <alignment horizontal="right"/>
    </xf>
    <xf numFmtId="164" fontId="11" fillId="0" borderId="145" xfId="1" applyNumberFormat="1" applyFont="1" applyFill="1" applyBorder="1" applyAlignment="1">
      <alignment horizontal="right"/>
    </xf>
    <xf numFmtId="331" fontId="247" fillId="64" borderId="68" xfId="4339" applyNumberFormat="1" applyFont="1" applyFill="1" applyBorder="1"/>
    <xf numFmtId="331" fontId="247" fillId="64" borderId="75" xfId="4339" applyNumberFormat="1" applyFont="1" applyFill="1" applyBorder="1"/>
    <xf numFmtId="331" fontId="247" fillId="0" borderId="151" xfId="4339" applyNumberFormat="1" applyFont="1" applyFill="1" applyBorder="1"/>
    <xf numFmtId="331" fontId="247" fillId="0" borderId="150" xfId="0" applyNumberFormat="1" applyFont="1" applyBorder="1" applyAlignment="1">
      <alignment horizontal="right"/>
    </xf>
    <xf numFmtId="331" fontId="247" fillId="0" borderId="150" xfId="4339" applyNumberFormat="1" applyFont="1" applyFill="1" applyBorder="1"/>
    <xf numFmtId="331" fontId="247" fillId="0" borderId="57" xfId="4339" applyNumberFormat="1" applyFont="1" applyFill="1" applyBorder="1"/>
    <xf numFmtId="331" fontId="247" fillId="0" borderId="21" xfId="4339" applyNumberFormat="1" applyFont="1" applyFill="1" applyBorder="1"/>
    <xf numFmtId="164" fontId="247" fillId="12" borderId="67" xfId="1" applyNumberFormat="1" applyFont="1" applyFill="1" applyBorder="1" applyAlignment="1">
      <alignment horizontal="center" vertical="center"/>
    </xf>
    <xf numFmtId="164" fontId="247" fillId="0" borderId="68" xfId="1" applyNumberFormat="1" applyFont="1" applyFill="1" applyBorder="1"/>
    <xf numFmtId="164" fontId="247" fillId="0" borderId="115" xfId="1" applyNumberFormat="1" applyFont="1" applyFill="1" applyBorder="1" applyAlignment="1">
      <alignment horizontal="right"/>
    </xf>
    <xf numFmtId="164" fontId="247" fillId="0" borderId="98" xfId="4" applyNumberFormat="1" applyFont="1" applyFill="1" applyBorder="1" applyAlignment="1">
      <alignment horizontal="right"/>
    </xf>
    <xf numFmtId="164" fontId="247" fillId="0" borderId="58" xfId="4" applyNumberFormat="1" applyFont="1" applyFill="1" applyBorder="1" applyAlignment="1">
      <alignment horizontal="right"/>
    </xf>
    <xf numFmtId="0" fontId="0" fillId="57" borderId="163" xfId="0" applyFill="1" applyBorder="1" applyAlignment="1">
      <alignment horizontal="center" vertical="center"/>
    </xf>
    <xf numFmtId="3" fontId="247" fillId="0" borderId="58" xfId="0" applyNumberFormat="1" applyFont="1" applyBorder="1"/>
    <xf numFmtId="331" fontId="0" fillId="0" borderId="53" xfId="0" applyNumberFormat="1" applyBorder="1" applyAlignment="1">
      <alignment horizontal="left"/>
    </xf>
    <xf numFmtId="164" fontId="0" fillId="0" borderId="53" xfId="4" applyNumberFormat="1" applyFont="1" applyFill="1" applyBorder="1" applyAlignment="1">
      <alignment horizontal="right"/>
    </xf>
    <xf numFmtId="164" fontId="0" fillId="0" borderId="76" xfId="4" applyNumberFormat="1" applyFont="1" applyFill="1" applyBorder="1" applyAlignment="1">
      <alignment horizontal="right"/>
    </xf>
    <xf numFmtId="331" fontId="247" fillId="0" borderId="97" xfId="4339" applyNumberFormat="1" applyFont="1" applyBorder="1" applyAlignment="1">
      <alignment horizontal="left"/>
    </xf>
    <xf numFmtId="331" fontId="247" fillId="0" borderId="21" xfId="4339" applyNumberFormat="1" applyFont="1" applyBorder="1" applyAlignment="1">
      <alignment horizontal="right"/>
    </xf>
    <xf numFmtId="331" fontId="247" fillId="0" borderId="63" xfId="4339" applyNumberFormat="1" applyFont="1" applyBorder="1" applyAlignment="1">
      <alignment horizontal="right"/>
    </xf>
    <xf numFmtId="331" fontId="247" fillId="0" borderId="59" xfId="4339" applyNumberFormat="1" applyFont="1" applyBorder="1" applyAlignment="1">
      <alignment horizontal="right"/>
    </xf>
    <xf numFmtId="164" fontId="247" fillId="0" borderId="97" xfId="1" applyNumberFormat="1" applyFont="1" applyBorder="1" applyAlignment="1">
      <alignment horizontal="left"/>
    </xf>
    <xf numFmtId="164" fontId="247" fillId="0" borderId="21" xfId="1" applyNumberFormat="1" applyFont="1" applyBorder="1" applyAlignment="1">
      <alignment horizontal="right"/>
    </xf>
    <xf numFmtId="331" fontId="247" fillId="0" borderId="153" xfId="4339" applyNumberFormat="1" applyFont="1" applyFill="1" applyBorder="1"/>
    <xf numFmtId="331" fontId="247" fillId="0" borderId="103" xfId="4339" applyNumberFormat="1" applyFont="1" applyFill="1" applyBorder="1"/>
    <xf numFmtId="331" fontId="247" fillId="0" borderId="82" xfId="4339" applyNumberFormat="1" applyFont="1" applyFill="1" applyBorder="1"/>
    <xf numFmtId="331" fontId="247" fillId="0" borderId="90" xfId="0" applyNumberFormat="1" applyFont="1" applyBorder="1" applyAlignment="1">
      <alignment horizontal="right"/>
    </xf>
    <xf numFmtId="9" fontId="247" fillId="0" borderId="0" xfId="2" applyFont="1" applyFill="1" applyBorder="1"/>
    <xf numFmtId="0" fontId="81" fillId="0" borderId="0" xfId="0" applyFont="1" applyAlignment="1" applyProtection="1">
      <alignment horizontal="left"/>
      <protection locked="0"/>
    </xf>
    <xf numFmtId="164" fontId="257" fillId="0" borderId="63" xfId="1" applyNumberFormat="1" applyFont="1" applyFill="1" applyBorder="1" applyAlignment="1"/>
    <xf numFmtId="164" fontId="257" fillId="0" borderId="150" xfId="1" applyNumberFormat="1" applyFont="1" applyFill="1" applyBorder="1" applyAlignment="1"/>
    <xf numFmtId="331" fontId="247" fillId="0" borderId="152" xfId="4339" applyNumberFormat="1" applyFont="1" applyFill="1" applyBorder="1"/>
    <xf numFmtId="0" fontId="81" fillId="0" borderId="102" xfId="0" applyFont="1" applyBorder="1" applyAlignment="1" applyProtection="1">
      <alignment horizontal="left"/>
      <protection locked="0"/>
    </xf>
    <xf numFmtId="0" fontId="0" fillId="0" borderId="101" xfId="0" applyBorder="1"/>
    <xf numFmtId="0" fontId="81" fillId="0" borderId="101" xfId="0" applyFont="1" applyBorder="1"/>
    <xf numFmtId="37" fontId="11" fillId="0" borderId="152" xfId="4" applyNumberFormat="1" applyFont="1" applyFill="1" applyBorder="1"/>
    <xf numFmtId="331" fontId="257" fillId="0" borderId="58" xfId="4339" applyNumberFormat="1" applyFont="1" applyFill="1" applyBorder="1"/>
    <xf numFmtId="164" fontId="11" fillId="0" borderId="136" xfId="4" applyNumberFormat="1" applyFont="1" applyFill="1" applyBorder="1" applyAlignment="1">
      <alignment horizontal="right"/>
    </xf>
    <xf numFmtId="164" fontId="247" fillId="0" borderId="3" xfId="1" applyNumberFormat="1" applyFont="1" applyFill="1" applyBorder="1" applyAlignment="1"/>
    <xf numFmtId="164" fontId="247" fillId="0" borderId="59" xfId="1" applyNumberFormat="1" applyFont="1" applyBorder="1"/>
    <xf numFmtId="164" fontId="247" fillId="0" borderId="64" xfId="1" applyNumberFormat="1" applyFont="1" applyBorder="1"/>
    <xf numFmtId="37" fontId="11" fillId="0" borderId="92" xfId="4" applyNumberFormat="1" applyFont="1" applyFill="1" applyBorder="1"/>
    <xf numFmtId="37" fontId="11" fillId="0" borderId="151" xfId="4" applyNumberFormat="1" applyFont="1" applyFill="1" applyBorder="1"/>
    <xf numFmtId="37" fontId="11" fillId="0" borderId="150" xfId="4" applyNumberFormat="1" applyFont="1" applyFill="1" applyBorder="1"/>
    <xf numFmtId="164" fontId="257" fillId="0" borderId="92" xfId="0" applyNumberFormat="1" applyFont="1" applyBorder="1"/>
    <xf numFmtId="164" fontId="257" fillId="0" borderId="151" xfId="0" applyNumberFormat="1" applyFont="1" applyBorder="1"/>
    <xf numFmtId="164" fontId="257" fillId="0" borderId="133" xfId="0" applyNumberFormat="1" applyFont="1" applyBorder="1"/>
    <xf numFmtId="164" fontId="257" fillId="0" borderId="165" xfId="0" applyNumberFormat="1" applyFont="1" applyBorder="1"/>
    <xf numFmtId="164" fontId="257" fillId="0" borderId="144" xfId="0" applyNumberFormat="1" applyFont="1" applyBorder="1"/>
    <xf numFmtId="164" fontId="257" fillId="0" borderId="72" xfId="0" applyNumberFormat="1" applyFont="1" applyBorder="1"/>
    <xf numFmtId="164" fontId="257" fillId="0" borderId="95" xfId="0" applyNumberFormat="1" applyFont="1" applyBorder="1"/>
    <xf numFmtId="164" fontId="257" fillId="0" borderId="136" xfId="0" applyNumberFormat="1" applyFont="1" applyBorder="1"/>
    <xf numFmtId="164" fontId="257" fillId="0" borderId="58" xfId="0" applyNumberFormat="1" applyFont="1" applyBorder="1"/>
    <xf numFmtId="164" fontId="257" fillId="0" borderId="152" xfId="0" applyNumberFormat="1" applyFont="1" applyBorder="1"/>
    <xf numFmtId="164" fontId="257" fillId="0" borderId="98" xfId="0" applyNumberFormat="1" applyFont="1" applyBorder="1"/>
    <xf numFmtId="164" fontId="257" fillId="0" borderId="82" xfId="0" applyNumberFormat="1" applyFont="1" applyBorder="1"/>
    <xf numFmtId="164" fontId="11" fillId="0" borderId="150" xfId="1" applyNumberFormat="1" applyFont="1" applyFill="1" applyBorder="1"/>
    <xf numFmtId="3" fontId="0" fillId="0" borderId="74" xfId="0" applyNumberFormat="1" applyBorder="1" applyAlignment="1">
      <alignment horizontal="right"/>
    </xf>
    <xf numFmtId="331" fontId="247" fillId="0" borderId="164" xfId="4339" applyNumberFormat="1" applyFont="1" applyBorder="1" applyAlignment="1">
      <alignment horizontal="left"/>
    </xf>
    <xf numFmtId="164" fontId="247" fillId="0" borderId="63" xfId="4" applyNumberFormat="1" applyFont="1" applyFill="1" applyBorder="1" applyAlignment="1"/>
    <xf numFmtId="37" fontId="11" fillId="0" borderId="96" xfId="4" applyNumberFormat="1" applyFont="1" applyFill="1" applyBorder="1"/>
    <xf numFmtId="37" fontId="11" fillId="0" borderId="61" xfId="4" applyNumberFormat="1" applyFont="1" applyFill="1" applyBorder="1"/>
    <xf numFmtId="331" fontId="11" fillId="0" borderId="60" xfId="4339" applyNumberFormat="1" applyFont="1" applyFill="1" applyBorder="1"/>
    <xf numFmtId="331" fontId="11" fillId="0" borderId="96" xfId="4339" applyNumberFormat="1" applyFont="1" applyFill="1" applyBorder="1"/>
    <xf numFmtId="164" fontId="11" fillId="0" borderId="61" xfId="1" applyNumberFormat="1" applyFont="1" applyFill="1" applyBorder="1"/>
    <xf numFmtId="164" fontId="257" fillId="0" borderId="149" xfId="1" applyNumberFormat="1" applyFont="1" applyFill="1" applyBorder="1"/>
    <xf numFmtId="164" fontId="257" fillId="0" borderId="3" xfId="1" applyNumberFormat="1" applyFont="1" applyFill="1" applyBorder="1"/>
    <xf numFmtId="164" fontId="257" fillId="0" borderId="61" xfId="1" applyNumberFormat="1" applyFont="1" applyFill="1" applyBorder="1"/>
    <xf numFmtId="164" fontId="257" fillId="0" borderId="60" xfId="1" applyNumberFormat="1" applyFont="1" applyFill="1" applyBorder="1"/>
    <xf numFmtId="164" fontId="257" fillId="0" borderId="96" xfId="1" applyNumberFormat="1" applyFont="1" applyFill="1" applyBorder="1"/>
    <xf numFmtId="164" fontId="257" fillId="0" borderId="30" xfId="1" applyNumberFormat="1" applyFont="1" applyFill="1" applyBorder="1"/>
    <xf numFmtId="164" fontId="257" fillId="0" borderId="78" xfId="4" applyNumberFormat="1" applyFont="1" applyFill="1" applyBorder="1"/>
    <xf numFmtId="164" fontId="257" fillId="0" borderId="61" xfId="4" applyNumberFormat="1" applyFont="1" applyFill="1" applyBorder="1"/>
    <xf numFmtId="164" fontId="257" fillId="0" borderId="149" xfId="4" applyNumberFormat="1" applyFont="1" applyFill="1" applyBorder="1"/>
    <xf numFmtId="164" fontId="257" fillId="0" borderId="96" xfId="4" applyNumberFormat="1" applyFont="1" applyFill="1" applyBorder="1"/>
    <xf numFmtId="164" fontId="257" fillId="0" borderId="146" xfId="4" applyNumberFormat="1" applyFont="1" applyFill="1" applyBorder="1"/>
    <xf numFmtId="164" fontId="11" fillId="61" borderId="161" xfId="4" applyNumberFormat="1" applyFont="1" applyFill="1" applyBorder="1"/>
    <xf numFmtId="164" fontId="11" fillId="0" borderId="151" xfId="1" applyNumberFormat="1" applyFont="1" applyFill="1" applyBorder="1"/>
    <xf numFmtId="164" fontId="11" fillId="0" borderId="152" xfId="1" applyNumberFormat="1" applyFont="1" applyFill="1" applyBorder="1"/>
    <xf numFmtId="164" fontId="257" fillId="0" borderId="144" xfId="4" applyNumberFormat="1" applyFont="1" applyFill="1" applyBorder="1"/>
    <xf numFmtId="164" fontId="257" fillId="0" borderId="145" xfId="4" applyNumberFormat="1" applyFont="1" applyFill="1" applyBorder="1"/>
    <xf numFmtId="164" fontId="11" fillId="61" borderId="160" xfId="4" applyNumberFormat="1" applyFont="1" applyFill="1" applyBorder="1"/>
    <xf numFmtId="3" fontId="257" fillId="0" borderId="63" xfId="0" applyNumberFormat="1" applyFont="1" applyBorder="1"/>
    <xf numFmtId="3" fontId="257" fillId="0" borderId="58" xfId="0" applyNumberFormat="1" applyFont="1" applyBorder="1"/>
    <xf numFmtId="3" fontId="257" fillId="0" borderId="150" xfId="0" applyNumberFormat="1" applyFont="1" applyBorder="1"/>
    <xf numFmtId="331" fontId="257" fillId="0" borderId="150" xfId="4339" applyNumberFormat="1" applyFont="1" applyBorder="1"/>
    <xf numFmtId="164" fontId="257" fillId="0" borderId="3" xfId="1" applyNumberFormat="1" applyFont="1" applyFill="1" applyBorder="1" applyAlignment="1"/>
    <xf numFmtId="164" fontId="257" fillId="0" borderId="152" xfId="1" applyNumberFormat="1" applyFont="1" applyFill="1" applyBorder="1" applyAlignment="1"/>
    <xf numFmtId="164" fontId="257" fillId="0" borderId="61" xfId="1" applyNumberFormat="1" applyFont="1" applyFill="1" applyBorder="1" applyAlignment="1"/>
    <xf numFmtId="331" fontId="257" fillId="0" borderId="93" xfId="4339" applyNumberFormat="1" applyFont="1" applyFill="1" applyBorder="1"/>
    <xf numFmtId="331" fontId="257" fillId="0" borderId="57" xfId="4339" applyNumberFormat="1" applyFont="1" applyFill="1" applyBorder="1"/>
    <xf numFmtId="331" fontId="257" fillId="0" borderId="150" xfId="4339" applyNumberFormat="1" applyFont="1" applyBorder="1" applyAlignment="1">
      <alignment horizontal="right"/>
    </xf>
    <xf numFmtId="331" fontId="257" fillId="0" borderId="63" xfId="4339" applyNumberFormat="1" applyFont="1" applyBorder="1" applyAlignment="1">
      <alignment horizontal="right"/>
    </xf>
    <xf numFmtId="331" fontId="257" fillId="64" borderId="160" xfId="4339" applyNumberFormat="1" applyFont="1" applyFill="1" applyBorder="1"/>
    <xf numFmtId="331" fontId="257" fillId="0" borderId="88" xfId="4339" applyNumberFormat="1" applyFont="1" applyFill="1" applyBorder="1"/>
    <xf numFmtId="331" fontId="257" fillId="0" borderId="151" xfId="0" applyNumberFormat="1" applyFont="1" applyBorder="1" applyAlignment="1">
      <alignment horizontal="right"/>
    </xf>
    <xf numFmtId="331" fontId="257" fillId="0" borderId="133" xfId="0" applyNumberFormat="1" applyFont="1" applyBorder="1" applyAlignment="1">
      <alignment horizontal="right"/>
    </xf>
    <xf numFmtId="331" fontId="257" fillId="0" borderId="136" xfId="0" applyNumberFormat="1" applyFont="1" applyBorder="1" applyAlignment="1">
      <alignment horizontal="right"/>
    </xf>
    <xf numFmtId="331" fontId="257" fillId="0" borderId="85" xfId="4339" applyNumberFormat="1" applyFont="1" applyFill="1" applyBorder="1"/>
    <xf numFmtId="331" fontId="257" fillId="0" borderId="150" xfId="4339" applyNumberFormat="1" applyFont="1" applyFill="1" applyBorder="1" applyAlignment="1">
      <alignment horizontal="right"/>
    </xf>
    <xf numFmtId="331" fontId="257" fillId="0" borderId="104" xfId="4339" applyNumberFormat="1" applyFont="1" applyFill="1" applyBorder="1"/>
    <xf numFmtId="0" fontId="257" fillId="0" borderId="56" xfId="0" applyFont="1" applyBorder="1"/>
    <xf numFmtId="331" fontId="257" fillId="0" borderId="54" xfId="0" applyNumberFormat="1" applyFont="1" applyBorder="1" applyAlignment="1">
      <alignment horizontal="right"/>
    </xf>
    <xf numFmtId="331" fontId="257" fillId="0" borderId="69" xfId="4339" applyNumberFormat="1" applyFont="1" applyFill="1" applyBorder="1"/>
    <xf numFmtId="331" fontId="257" fillId="0" borderId="160" xfId="4339" applyNumberFormat="1" applyFont="1" applyBorder="1"/>
    <xf numFmtId="331" fontId="257" fillId="0" borderId="68" xfId="4339" applyNumberFormat="1" applyFont="1" applyBorder="1"/>
    <xf numFmtId="331" fontId="257" fillId="0" borderId="68" xfId="4339" applyNumberFormat="1" applyFont="1" applyFill="1" applyBorder="1"/>
    <xf numFmtId="331" fontId="257" fillId="0" borderId="75" xfId="4339" applyNumberFormat="1" applyFont="1" applyFill="1" applyBorder="1"/>
    <xf numFmtId="164" fontId="257" fillId="0" borderId="56" xfId="1" applyNumberFormat="1" applyFont="1" applyBorder="1" applyAlignment="1">
      <alignment horizontal="right"/>
    </xf>
    <xf numFmtId="164" fontId="257" fillId="0" borderId="68" xfId="1" applyNumberFormat="1" applyFont="1" applyFill="1" applyBorder="1"/>
    <xf numFmtId="164" fontId="257" fillId="0" borderId="69" xfId="1" applyNumberFormat="1" applyFont="1" applyFill="1" applyBorder="1"/>
    <xf numFmtId="44" fontId="257" fillId="0" borderId="59" xfId="1" applyFont="1" applyFill="1" applyBorder="1" applyAlignment="1">
      <alignment horizontal="right"/>
    </xf>
    <xf numFmtId="331" fontId="0" fillId="0" borderId="116" xfId="0" applyNumberFormat="1" applyBorder="1"/>
    <xf numFmtId="332" fontId="11" fillId="0" borderId="129" xfId="0" applyNumberFormat="1" applyFont="1" applyBorder="1" applyAlignment="1">
      <alignment horizontal="center" vertical="center"/>
    </xf>
    <xf numFmtId="332" fontId="11" fillId="0" borderId="123" xfId="0" applyNumberFormat="1" applyFont="1" applyBorder="1" applyAlignment="1">
      <alignment horizontal="center" vertical="center"/>
    </xf>
    <xf numFmtId="332" fontId="11" fillId="0" borderId="126" xfId="0" applyNumberFormat="1" applyFont="1" applyBorder="1" applyAlignment="1">
      <alignment horizontal="center" vertical="center"/>
    </xf>
    <xf numFmtId="330" fontId="0" fillId="0" borderId="166" xfId="0" applyNumberFormat="1" applyBorder="1"/>
    <xf numFmtId="164" fontId="0" fillId="0" borderId="166" xfId="4" applyNumberFormat="1" applyFont="1" applyFill="1" applyBorder="1"/>
    <xf numFmtId="330" fontId="247" fillId="0" borderId="58" xfId="1" applyNumberFormat="1" applyFont="1" applyFill="1" applyBorder="1" applyAlignment="1"/>
    <xf numFmtId="330" fontId="247" fillId="0" borderId="59" xfId="1" applyNumberFormat="1" applyFont="1" applyFill="1" applyBorder="1" applyAlignment="1"/>
    <xf numFmtId="330" fontId="247" fillId="0" borderId="90" xfId="1" applyNumberFormat="1" applyFont="1" applyFill="1" applyBorder="1" applyAlignment="1"/>
    <xf numFmtId="330" fontId="247" fillId="0" borderId="61" xfId="1" applyNumberFormat="1" applyFont="1" applyFill="1" applyBorder="1" applyAlignment="1"/>
    <xf numFmtId="330" fontId="247" fillId="0" borderId="133" xfId="1" applyNumberFormat="1" applyFont="1" applyFill="1" applyBorder="1"/>
    <xf numFmtId="330" fontId="247" fillId="0" borderId="134" xfId="1" applyNumberFormat="1" applyFont="1" applyFill="1" applyBorder="1"/>
    <xf numFmtId="164" fontId="0" fillId="0" borderId="0" xfId="4343" applyNumberFormat="1" applyFont="1" applyFill="1" applyBorder="1" applyAlignment="1"/>
    <xf numFmtId="0" fontId="1" fillId="0" borderId="0" xfId="0" applyFont="1" applyAlignment="1">
      <alignment horizontal="right"/>
    </xf>
    <xf numFmtId="0" fontId="0" fillId="54" borderId="121" xfId="0" applyFill="1" applyBorder="1" applyAlignment="1">
      <alignment horizontal="center"/>
    </xf>
    <xf numFmtId="0" fontId="0" fillId="53" borderId="0" xfId="0" applyFill="1" applyAlignment="1">
      <alignment horizontal="left"/>
    </xf>
    <xf numFmtId="164" fontId="257" fillId="0" borderId="4" xfId="0" applyNumberFormat="1" applyFont="1" applyBorder="1"/>
    <xf numFmtId="9" fontId="0" fillId="0" borderId="4" xfId="2" applyFont="1" applyFill="1" applyBorder="1" applyAlignment="1">
      <alignment horizontal="center"/>
    </xf>
    <xf numFmtId="0" fontId="254" fillId="0" borderId="0" xfId="0" applyFont="1" applyAlignment="1">
      <alignment horizontal="center"/>
    </xf>
    <xf numFmtId="0" fontId="257" fillId="0" borderId="168" xfId="0" applyFont="1" applyBorder="1" applyAlignment="1">
      <alignment horizontal="left"/>
    </xf>
    <xf numFmtId="5" fontId="0" fillId="0" borderId="168" xfId="1" applyNumberFormat="1" applyFont="1" applyFill="1" applyBorder="1"/>
    <xf numFmtId="5" fontId="257" fillId="0" borderId="168" xfId="1" applyNumberFormat="1" applyFont="1" applyFill="1" applyBorder="1"/>
    <xf numFmtId="9" fontId="11" fillId="62" borderId="0" xfId="2" applyFont="1" applyFill="1" applyBorder="1" applyAlignment="1">
      <alignment horizontal="left"/>
    </xf>
    <xf numFmtId="0" fontId="282" fillId="0" borderId="0" xfId="11" applyFont="1"/>
    <xf numFmtId="0" fontId="283" fillId="0" borderId="0" xfId="11" applyFont="1"/>
    <xf numFmtId="0" fontId="18" fillId="53" borderId="74" xfId="0" applyFont="1" applyFill="1" applyBorder="1"/>
    <xf numFmtId="0" fontId="18" fillId="60" borderId="73" xfId="0" applyFont="1" applyFill="1" applyBorder="1" applyAlignment="1" applyProtection="1">
      <alignment horizontal="center"/>
      <protection locked="0"/>
    </xf>
    <xf numFmtId="331" fontId="257" fillId="0" borderId="150" xfId="0" applyNumberFormat="1" applyFont="1" applyBorder="1"/>
    <xf numFmtId="331" fontId="257" fillId="0" borderId="134" xfId="0" applyNumberFormat="1" applyFont="1" applyBorder="1"/>
    <xf numFmtId="44" fontId="257" fillId="0" borderId="21" xfId="4343" applyFont="1" applyFill="1" applyBorder="1"/>
    <xf numFmtId="44" fontId="257" fillId="0" borderId="59" xfId="1" applyFont="1" applyFill="1" applyBorder="1" applyAlignment="1">
      <alignment horizontal="right" vertical="center"/>
    </xf>
    <xf numFmtId="330" fontId="257" fillId="0" borderId="96" xfId="1" applyNumberFormat="1" applyFont="1" applyFill="1" applyBorder="1" applyAlignment="1"/>
    <xf numFmtId="330" fontId="257" fillId="0" borderId="3" xfId="1" applyNumberFormat="1" applyFont="1" applyFill="1" applyBorder="1" applyAlignment="1"/>
    <xf numFmtId="330" fontId="257" fillId="0" borderId="59" xfId="1" applyNumberFormat="1" applyFont="1" applyFill="1" applyBorder="1"/>
    <xf numFmtId="164" fontId="257" fillId="0" borderId="59" xfId="1" applyNumberFormat="1" applyFont="1" applyBorder="1"/>
    <xf numFmtId="330" fontId="257" fillId="0" borderId="57" xfId="1" applyNumberFormat="1" applyFont="1" applyFill="1" applyBorder="1"/>
    <xf numFmtId="330" fontId="257" fillId="0" borderId="21" xfId="1" applyNumberFormat="1" applyFont="1" applyFill="1" applyBorder="1"/>
    <xf numFmtId="330" fontId="257" fillId="0" borderId="151" xfId="1" applyNumberFormat="1" applyFont="1" applyFill="1" applyBorder="1"/>
    <xf numFmtId="330" fontId="257" fillId="0" borderId="150" xfId="1" applyNumberFormat="1" applyFont="1" applyFill="1" applyBorder="1"/>
    <xf numFmtId="330" fontId="257" fillId="0" borderId="93" xfId="1" applyNumberFormat="1" applyFont="1" applyFill="1" applyBorder="1"/>
    <xf numFmtId="330" fontId="257" fillId="0" borderId="64" xfId="1" applyNumberFormat="1" applyFont="1" applyFill="1" applyBorder="1"/>
    <xf numFmtId="330" fontId="257" fillId="0" borderId="92" xfId="1" applyNumberFormat="1" applyFont="1" applyFill="1" applyBorder="1"/>
    <xf numFmtId="330" fontId="257" fillId="0" borderId="89" xfId="1" applyNumberFormat="1" applyFont="1" applyFill="1" applyBorder="1"/>
    <xf numFmtId="330" fontId="257" fillId="0" borderId="133" xfId="1" applyNumberFormat="1" applyFont="1" applyFill="1" applyBorder="1"/>
    <xf numFmtId="330" fontId="257" fillId="0" borderId="134" xfId="1" applyNumberFormat="1" applyFont="1" applyFill="1" applyBorder="1"/>
    <xf numFmtId="330" fontId="257" fillId="0" borderId="56" xfId="1" applyNumberFormat="1" applyFont="1" applyFill="1" applyBorder="1"/>
    <xf numFmtId="330" fontId="257" fillId="0" borderId="54" xfId="1" applyNumberFormat="1" applyFont="1" applyFill="1" applyBorder="1"/>
    <xf numFmtId="164" fontId="257" fillId="0" borderId="70" xfId="4" applyNumberFormat="1" applyFont="1" applyFill="1" applyBorder="1"/>
    <xf numFmtId="164" fontId="257" fillId="0" borderId="151" xfId="4" applyNumberFormat="1" applyFont="1" applyFill="1" applyBorder="1"/>
    <xf numFmtId="330" fontId="257" fillId="0" borderId="133" xfId="4" applyNumberFormat="1" applyFont="1" applyFill="1" applyBorder="1"/>
    <xf numFmtId="330" fontId="257" fillId="0" borderId="63" xfId="1" applyNumberFormat="1" applyFont="1" applyFill="1" applyBorder="1" applyAlignment="1"/>
    <xf numFmtId="330" fontId="257" fillId="0" borderId="150" xfId="1" applyNumberFormat="1" applyFont="1" applyFill="1" applyBorder="1" applyAlignment="1"/>
    <xf numFmtId="44" fontId="257" fillId="0" borderId="63" xfId="1" applyFont="1" applyFill="1" applyBorder="1" applyAlignment="1"/>
    <xf numFmtId="164" fontId="257" fillId="0" borderId="134" xfId="1" applyNumberFormat="1" applyFont="1" applyFill="1" applyBorder="1" applyAlignment="1"/>
    <xf numFmtId="0" fontId="0" fillId="55" borderId="60" xfId="0" applyFill="1" applyBorder="1" applyAlignment="1" applyProtection="1">
      <alignment horizontal="center" wrapText="1" readingOrder="1"/>
      <protection locked="0"/>
    </xf>
    <xf numFmtId="0" fontId="0" fillId="57" borderId="169" xfId="0" applyFill="1" applyBorder="1" applyAlignment="1">
      <alignment horizontal="center" vertical="center"/>
    </xf>
    <xf numFmtId="331" fontId="0" fillId="0" borderId="169" xfId="4339" applyNumberFormat="1" applyFont="1" applyFill="1" applyBorder="1" applyAlignment="1"/>
    <xf numFmtId="9" fontId="0" fillId="0" borderId="169" xfId="3458" applyFont="1" applyFill="1" applyBorder="1" applyAlignment="1"/>
    <xf numFmtId="9" fontId="0" fillId="0" borderId="171" xfId="3458" applyFont="1" applyFill="1" applyBorder="1" applyAlignment="1"/>
    <xf numFmtId="0" fontId="0" fillId="57" borderId="151" xfId="0" applyFill="1" applyBorder="1" applyAlignment="1">
      <alignment horizontal="center" vertical="center"/>
    </xf>
    <xf numFmtId="0" fontId="0" fillId="57" borderId="57" xfId="0" applyFill="1" applyBorder="1" applyAlignment="1">
      <alignment horizontal="center" vertical="center"/>
    </xf>
    <xf numFmtId="0" fontId="15" fillId="58" borderId="60" xfId="0" applyFont="1" applyFill="1" applyBorder="1" applyAlignment="1" applyProtection="1">
      <alignment readingOrder="1"/>
      <protection locked="0"/>
    </xf>
    <xf numFmtId="0" fontId="0" fillId="57" borderId="166" xfId="0" applyFill="1" applyBorder="1" applyAlignment="1">
      <alignment horizontal="center" vertical="center"/>
    </xf>
    <xf numFmtId="331" fontId="0" fillId="0" borderId="166" xfId="4339" applyNumberFormat="1" applyFont="1" applyFill="1" applyBorder="1" applyAlignment="1"/>
    <xf numFmtId="9" fontId="0" fillId="0" borderId="166" xfId="3458" applyFont="1" applyFill="1" applyBorder="1" applyAlignment="1"/>
    <xf numFmtId="0" fontId="18" fillId="58" borderId="116" xfId="0" applyFont="1" applyFill="1" applyBorder="1" applyAlignment="1" applyProtection="1">
      <alignment readingOrder="1"/>
      <protection locked="0"/>
    </xf>
    <xf numFmtId="37" fontId="0" fillId="12" borderId="131" xfId="0" applyNumberFormat="1" applyFill="1" applyBorder="1"/>
    <xf numFmtId="37" fontId="0" fillId="12" borderId="109" xfId="0" applyNumberFormat="1" applyFill="1" applyBorder="1"/>
    <xf numFmtId="37" fontId="0" fillId="12" borderId="174" xfId="0" applyNumberFormat="1" applyFill="1" applyBorder="1"/>
    <xf numFmtId="164" fontId="0" fillId="12" borderId="131" xfId="1" applyNumberFormat="1" applyFont="1" applyFill="1" applyBorder="1"/>
    <xf numFmtId="164" fontId="0" fillId="12" borderId="109" xfId="1" applyNumberFormat="1" applyFont="1" applyFill="1" applyBorder="1"/>
    <xf numFmtId="331" fontId="11" fillId="0" borderId="172" xfId="4339" applyNumberFormat="1" applyFont="1" applyFill="1" applyBorder="1" applyAlignment="1">
      <alignment horizontal="right" vertical="center"/>
    </xf>
    <xf numFmtId="331" fontId="11" fillId="0" borderId="169" xfId="4339" applyNumberFormat="1" applyFont="1" applyFill="1" applyBorder="1" applyAlignment="1">
      <alignment horizontal="center" vertical="center"/>
    </xf>
    <xf numFmtId="333" fontId="11" fillId="0" borderId="172" xfId="4" applyNumberFormat="1" applyFont="1" applyFill="1" applyBorder="1" applyAlignment="1">
      <alignment horizontal="center" vertical="center"/>
    </xf>
    <xf numFmtId="164" fontId="0" fillId="0" borderId="172" xfId="4" applyNumberFormat="1" applyFont="1" applyFill="1" applyBorder="1"/>
    <xf numFmtId="333" fontId="11" fillId="0" borderId="171" xfId="4" applyNumberFormat="1" applyFont="1" applyFill="1" applyBorder="1" applyAlignment="1">
      <alignment horizontal="center" vertical="center"/>
    </xf>
    <xf numFmtId="164" fontId="0" fillId="0" borderId="121" xfId="4" applyNumberFormat="1" applyFont="1" applyFill="1" applyBorder="1"/>
    <xf numFmtId="333" fontId="11" fillId="0" borderId="89" xfId="4" applyNumberFormat="1" applyFont="1" applyFill="1" applyBorder="1" applyAlignment="1">
      <alignment horizontal="center" vertical="center"/>
    </xf>
    <xf numFmtId="333" fontId="11" fillId="0" borderId="150" xfId="4" applyNumberFormat="1" applyFont="1" applyFill="1" applyBorder="1" applyAlignment="1">
      <alignment horizontal="center" vertical="center"/>
    </xf>
    <xf numFmtId="164" fontId="0" fillId="0" borderId="150" xfId="4" applyNumberFormat="1" applyFont="1" applyFill="1" applyBorder="1"/>
    <xf numFmtId="333" fontId="11" fillId="0" borderId="175" xfId="4" applyNumberFormat="1" applyFont="1" applyFill="1" applyBorder="1" applyAlignment="1">
      <alignment horizontal="center" vertical="center"/>
    </xf>
    <xf numFmtId="333" fontId="11" fillId="0" borderId="121" xfId="4" applyNumberFormat="1" applyFont="1" applyFill="1" applyBorder="1" applyAlignment="1">
      <alignment horizontal="center" vertical="center"/>
    </xf>
    <xf numFmtId="333" fontId="11" fillId="0" borderId="173" xfId="4" applyNumberFormat="1" applyFont="1" applyFill="1" applyBorder="1" applyAlignment="1">
      <alignment horizontal="center" vertical="center"/>
    </xf>
    <xf numFmtId="333" fontId="11" fillId="0" borderId="166" xfId="4" applyNumberFormat="1" applyFont="1" applyFill="1" applyBorder="1" applyAlignment="1">
      <alignment horizontal="center" vertical="center"/>
    </xf>
    <xf numFmtId="330" fontId="0" fillId="0" borderId="0" xfId="0" applyNumberFormat="1"/>
    <xf numFmtId="0" fontId="11" fillId="0" borderId="150" xfId="0" applyFont="1" applyBorder="1" applyAlignment="1" applyProtection="1">
      <alignment horizontal="center" vertical="center"/>
      <protection locked="0"/>
    </xf>
    <xf numFmtId="331" fontId="0" fillId="0" borderId="150" xfId="0" applyNumberFormat="1" applyBorder="1" applyAlignment="1">
      <alignment horizontal="right"/>
    </xf>
    <xf numFmtId="0" fontId="2" fillId="0" borderId="150" xfId="0" applyFont="1" applyBorder="1" applyAlignment="1">
      <alignment horizontal="center" vertical="center"/>
    </xf>
    <xf numFmtId="0" fontId="0" fillId="0" borderId="150" xfId="0" applyBorder="1" applyAlignment="1" applyProtection="1">
      <alignment vertical="center"/>
      <protection locked="0"/>
    </xf>
    <xf numFmtId="0" fontId="0" fillId="0" borderId="169" xfId="0" applyBorder="1" applyAlignment="1" applyProtection="1">
      <alignment horizontal="center"/>
      <protection locked="0"/>
    </xf>
    <xf numFmtId="331" fontId="0" fillId="0" borderId="166" xfId="0" applyNumberFormat="1" applyBorder="1" applyAlignment="1">
      <alignment horizontal="center" vertical="center"/>
    </xf>
    <xf numFmtId="331" fontId="0" fillId="0" borderId="150" xfId="0" applyNumberFormat="1" applyBorder="1" applyAlignment="1">
      <alignment horizontal="center" vertical="center"/>
    </xf>
    <xf numFmtId="331" fontId="0" fillId="0" borderId="171" xfId="0" applyNumberFormat="1" applyBorder="1" applyAlignment="1">
      <alignment horizontal="center" vertical="center"/>
    </xf>
    <xf numFmtId="164" fontId="0" fillId="0" borderId="166" xfId="4" applyNumberFormat="1" applyFont="1" applyFill="1" applyBorder="1" applyAlignment="1">
      <alignment horizontal="center" vertical="center"/>
    </xf>
    <xf numFmtId="164" fontId="0" fillId="0" borderId="150" xfId="4" applyNumberFormat="1" applyFont="1" applyFill="1" applyBorder="1" applyAlignment="1">
      <alignment horizontal="center" vertical="center"/>
    </xf>
    <xf numFmtId="164" fontId="0" fillId="0" borderId="167" xfId="4" applyNumberFormat="1" applyFont="1" applyFill="1" applyBorder="1" applyAlignment="1">
      <alignment horizontal="right"/>
    </xf>
    <xf numFmtId="164" fontId="257" fillId="0" borderId="150" xfId="4" applyNumberFormat="1" applyFont="1" applyFill="1" applyBorder="1" applyAlignment="1">
      <alignment horizontal="center" vertical="center"/>
    </xf>
    <xf numFmtId="164" fontId="257" fillId="0" borderId="150" xfId="1" applyNumberFormat="1" applyFont="1" applyFill="1" applyBorder="1" applyAlignment="1">
      <alignment horizontal="right"/>
    </xf>
    <xf numFmtId="164" fontId="257" fillId="0" borderId="169" xfId="4" applyNumberFormat="1" applyFont="1" applyFill="1" applyBorder="1" applyAlignment="1">
      <alignment horizontal="right"/>
    </xf>
    <xf numFmtId="164" fontId="11" fillId="0" borderId="150" xfId="1" applyNumberFormat="1" applyFont="1" applyFill="1" applyBorder="1" applyAlignment="1">
      <alignment horizontal="right"/>
    </xf>
    <xf numFmtId="164" fontId="11" fillId="0" borderId="169" xfId="4" applyNumberFormat="1" applyFont="1" applyFill="1" applyBorder="1" applyAlignment="1">
      <alignment horizontal="right"/>
    </xf>
    <xf numFmtId="0" fontId="11" fillId="0" borderId="150" xfId="0" applyFont="1" applyBorder="1" applyAlignment="1" applyProtection="1">
      <alignment vertical="center"/>
      <protection locked="0"/>
    </xf>
    <xf numFmtId="9" fontId="0" fillId="0" borderId="170" xfId="2" applyFont="1" applyBorder="1"/>
    <xf numFmtId="0" fontId="0" fillId="54" borderId="167" xfId="0" applyFill="1" applyBorder="1" applyAlignment="1">
      <alignment horizontal="center"/>
    </xf>
    <xf numFmtId="0" fontId="0" fillId="54" borderId="169" xfId="0" applyFill="1" applyBorder="1" applyAlignment="1">
      <alignment horizontal="center"/>
    </xf>
    <xf numFmtId="0" fontId="0" fillId="54" borderId="166" xfId="0" applyFill="1" applyBorder="1" applyAlignment="1">
      <alignment horizontal="center"/>
    </xf>
    <xf numFmtId="9" fontId="0" fillId="0" borderId="176" xfId="2" applyFont="1" applyBorder="1"/>
    <xf numFmtId="0" fontId="0" fillId="54" borderId="177" xfId="0" applyFill="1" applyBorder="1" applyAlignment="1">
      <alignment horizontal="center"/>
    </xf>
    <xf numFmtId="5" fontId="257" fillId="0" borderId="177" xfId="1" applyNumberFormat="1" applyFont="1" applyFill="1" applyBorder="1"/>
    <xf numFmtId="5" fontId="257" fillId="53" borderId="177" xfId="1" applyNumberFormat="1" applyFont="1" applyFill="1" applyBorder="1"/>
    <xf numFmtId="5" fontId="0" fillId="0" borderId="177" xfId="1" applyNumberFormat="1" applyFont="1" applyFill="1" applyBorder="1"/>
    <xf numFmtId="5" fontId="272" fillId="0" borderId="177" xfId="0" applyNumberFormat="1" applyFont="1" applyBorder="1"/>
    <xf numFmtId="0" fontId="0" fillId="54" borderId="171" xfId="0" applyFill="1" applyBorder="1" applyAlignment="1">
      <alignment horizontal="center"/>
    </xf>
    <xf numFmtId="5" fontId="257" fillId="0" borderId="171" xfId="1" applyNumberFormat="1" applyFont="1" applyFill="1" applyBorder="1"/>
    <xf numFmtId="5" fontId="257" fillId="53" borderId="171" xfId="1" applyNumberFormat="1" applyFont="1" applyFill="1" applyBorder="1"/>
    <xf numFmtId="5" fontId="0" fillId="0" borderId="171" xfId="1" applyNumberFormat="1" applyFont="1" applyFill="1" applyBorder="1"/>
    <xf numFmtId="5" fontId="272" fillId="0" borderId="171" xfId="0" applyNumberFormat="1" applyFont="1" applyBorder="1"/>
    <xf numFmtId="164" fontId="0" fillId="0" borderId="177" xfId="1" applyNumberFormat="1" applyFont="1" applyBorder="1"/>
    <xf numFmtId="164" fontId="0" fillId="0" borderId="177" xfId="1" applyNumberFormat="1" applyFont="1" applyFill="1" applyBorder="1"/>
    <xf numFmtId="164" fontId="18" fillId="0" borderId="177" xfId="1" applyNumberFormat="1" applyFont="1" applyBorder="1"/>
    <xf numFmtId="164" fontId="0" fillId="0" borderId="171" xfId="1" applyNumberFormat="1" applyFont="1" applyBorder="1"/>
    <xf numFmtId="164" fontId="0" fillId="0" borderId="171" xfId="1" applyNumberFormat="1" applyFont="1" applyFill="1" applyBorder="1"/>
    <xf numFmtId="164" fontId="18" fillId="0" borderId="171" xfId="1" applyNumberFormat="1" applyFont="1" applyBorder="1"/>
    <xf numFmtId="5" fontId="0" fillId="53" borderId="177" xfId="1" applyNumberFormat="1" applyFont="1" applyFill="1" applyBorder="1"/>
    <xf numFmtId="5" fontId="11" fillId="0" borderId="177" xfId="1" applyNumberFormat="1" applyFont="1" applyFill="1" applyBorder="1"/>
    <xf numFmtId="5" fontId="0" fillId="53" borderId="171" xfId="1" applyNumberFormat="1" applyFont="1" applyFill="1" applyBorder="1"/>
    <xf numFmtId="5" fontId="11" fillId="0" borderId="171" xfId="1" applyNumberFormat="1" applyFont="1" applyFill="1" applyBorder="1"/>
    <xf numFmtId="5" fontId="257" fillId="0" borderId="170" xfId="1" applyNumberFormat="1" applyFont="1" applyFill="1" applyBorder="1"/>
    <xf numFmtId="5" fontId="257" fillId="0" borderId="177" xfId="0" applyNumberFormat="1" applyFont="1" applyBorder="1"/>
    <xf numFmtId="5" fontId="257" fillId="0" borderId="171" xfId="0" applyNumberFormat="1" applyFont="1" applyBorder="1"/>
    <xf numFmtId="0" fontId="0" fillId="0" borderId="0" xfId="2" applyNumberFormat="1" applyFont="1"/>
    <xf numFmtId="9" fontId="268" fillId="54" borderId="1" xfId="2" applyFont="1" applyFill="1" applyBorder="1" applyAlignment="1">
      <alignment horizontal="center"/>
    </xf>
    <xf numFmtId="0" fontId="18" fillId="59" borderId="170" xfId="0" applyFont="1" applyFill="1" applyBorder="1" applyProtection="1">
      <protection locked="0"/>
    </xf>
    <xf numFmtId="0" fontId="18" fillId="60" borderId="149" xfId="0" applyFont="1" applyFill="1" applyBorder="1" applyAlignment="1">
      <alignment horizontal="center" vertical="center"/>
    </xf>
    <xf numFmtId="37" fontId="0" fillId="12" borderId="78" xfId="0" applyNumberFormat="1" applyFill="1" applyBorder="1"/>
    <xf numFmtId="37" fontId="0" fillId="12" borderId="3" xfId="0" applyNumberFormat="1" applyFill="1" applyBorder="1"/>
    <xf numFmtId="37" fontId="0" fillId="0" borderId="169" xfId="0" applyNumberFormat="1" applyBorder="1" applyAlignment="1">
      <alignment horizontal="right"/>
    </xf>
    <xf numFmtId="37" fontId="0" fillId="12" borderId="43" xfId="0" applyNumberFormat="1" applyFill="1" applyBorder="1"/>
    <xf numFmtId="37" fontId="0" fillId="12" borderId="0" xfId="0" applyNumberFormat="1" applyFill="1"/>
    <xf numFmtId="331" fontId="0" fillId="0" borderId="169" xfId="0" applyNumberFormat="1" applyBorder="1"/>
    <xf numFmtId="37" fontId="0" fillId="12" borderId="169" xfId="0" applyNumberFormat="1" applyFill="1" applyBorder="1" applyAlignment="1">
      <alignment horizontal="right"/>
    </xf>
    <xf numFmtId="331" fontId="0" fillId="0" borderId="174" xfId="4339" applyNumberFormat="1" applyFont="1" applyFill="1" applyBorder="1" applyAlignment="1"/>
    <xf numFmtId="0" fontId="18" fillId="63" borderId="140" xfId="0" applyFont="1" applyFill="1" applyBorder="1" applyAlignment="1" applyProtection="1">
      <alignment horizontal="center"/>
      <protection locked="0"/>
    </xf>
    <xf numFmtId="0" fontId="18" fillId="63" borderId="68" xfId="0" applyFont="1" applyFill="1" applyBorder="1" applyAlignment="1" applyProtection="1">
      <alignment horizontal="center"/>
      <protection locked="0"/>
    </xf>
    <xf numFmtId="331" fontId="0" fillId="0" borderId="21" xfId="4339" applyNumberFormat="1" applyFont="1" applyFill="1" applyBorder="1" applyAlignment="1"/>
    <xf numFmtId="9" fontId="0" fillId="0" borderId="150" xfId="3458" applyFont="1" applyFill="1" applyBorder="1" applyAlignment="1"/>
    <xf numFmtId="331" fontId="0" fillId="0" borderId="108" xfId="4339" applyNumberFormat="1" applyFont="1" applyFill="1" applyBorder="1" applyAlignment="1"/>
    <xf numFmtId="331" fontId="0" fillId="0" borderId="109" xfId="4339" applyNumberFormat="1" applyFont="1" applyFill="1" applyBorder="1" applyAlignment="1"/>
    <xf numFmtId="37" fontId="0" fillId="12" borderId="121" xfId="0" applyNumberFormat="1" applyFill="1" applyBorder="1" applyAlignment="1">
      <alignment horizontal="right"/>
    </xf>
    <xf numFmtId="331" fontId="0" fillId="0" borderId="64" xfId="4339" applyNumberFormat="1" applyFont="1" applyFill="1" applyBorder="1" applyAlignment="1"/>
    <xf numFmtId="331" fontId="0" fillId="0" borderId="54" xfId="4339" applyNumberFormat="1" applyFont="1" applyFill="1" applyBorder="1" applyAlignment="1"/>
    <xf numFmtId="37" fontId="0" fillId="12" borderId="150" xfId="0" applyNumberFormat="1" applyFill="1" applyBorder="1" applyAlignment="1">
      <alignment horizontal="right"/>
    </xf>
    <xf numFmtId="37" fontId="0" fillId="0" borderId="121" xfId="0" applyNumberFormat="1" applyBorder="1" applyAlignment="1">
      <alignment horizontal="right"/>
    </xf>
    <xf numFmtId="37" fontId="0" fillId="12" borderId="178" xfId="0" applyNumberFormat="1" applyFill="1" applyBorder="1"/>
    <xf numFmtId="37" fontId="0" fillId="12" borderId="124" xfId="0" applyNumberFormat="1" applyFill="1" applyBorder="1"/>
    <xf numFmtId="331" fontId="0" fillId="0" borderId="124" xfId="0" applyNumberFormat="1" applyBorder="1"/>
    <xf numFmtId="331" fontId="0" fillId="0" borderId="176" xfId="0" applyNumberFormat="1" applyBorder="1"/>
    <xf numFmtId="37" fontId="0" fillId="0" borderId="167" xfId="0" applyNumberFormat="1" applyBorder="1" applyAlignment="1">
      <alignment horizontal="right"/>
    </xf>
    <xf numFmtId="331" fontId="0" fillId="0" borderId="121" xfId="0" applyNumberFormat="1" applyBorder="1"/>
    <xf numFmtId="331" fontId="0" fillId="0" borderId="21" xfId="4339" applyNumberFormat="1" applyFont="1" applyFill="1" applyBorder="1" applyAlignment="1">
      <alignment vertical="center"/>
    </xf>
    <xf numFmtId="331" fontId="11" fillId="0" borderId="96" xfId="4339" applyNumberFormat="1" applyFont="1" applyFill="1" applyBorder="1" applyAlignment="1">
      <alignment horizontal="right" vertical="center"/>
    </xf>
    <xf numFmtId="331" fontId="11" fillId="0" borderId="169" xfId="4339" applyNumberFormat="1" applyFont="1" applyFill="1" applyBorder="1" applyAlignment="1">
      <alignment horizontal="right" vertical="center"/>
    </xf>
    <xf numFmtId="331" fontId="11" fillId="0" borderId="175" xfId="4339" applyNumberFormat="1" applyFont="1" applyFill="1" applyBorder="1" applyAlignment="1">
      <alignment horizontal="right" vertical="center"/>
    </xf>
    <xf numFmtId="331" fontId="11" fillId="0" borderId="121" xfId="4339" applyNumberFormat="1" applyFont="1" applyFill="1" applyBorder="1" applyAlignment="1">
      <alignment horizontal="right" vertical="center"/>
    </xf>
    <xf numFmtId="331" fontId="11" fillId="0" borderId="121" xfId="4339" applyNumberFormat="1" applyFont="1" applyFill="1" applyBorder="1" applyAlignment="1">
      <alignment horizontal="center" vertical="center"/>
    </xf>
    <xf numFmtId="331" fontId="11" fillId="0" borderId="89" xfId="4339" applyNumberFormat="1" applyFont="1" applyFill="1" applyBorder="1" applyAlignment="1">
      <alignment horizontal="right" vertical="center"/>
    </xf>
    <xf numFmtId="331" fontId="11" fillId="0" borderId="150" xfId="4339" applyNumberFormat="1" applyFont="1" applyFill="1" applyBorder="1" applyAlignment="1">
      <alignment horizontal="right" vertical="center"/>
    </xf>
    <xf numFmtId="164" fontId="0" fillId="0" borderId="3" xfId="4343" applyNumberFormat="1" applyFont="1" applyFill="1" applyBorder="1" applyAlignment="1"/>
    <xf numFmtId="164" fontId="0" fillId="12" borderId="30" xfId="4343" applyNumberFormat="1" applyFont="1" applyFill="1" applyBorder="1"/>
    <xf numFmtId="164" fontId="0" fillId="12" borderId="3" xfId="4343" applyNumberFormat="1" applyFont="1" applyFill="1" applyBorder="1"/>
    <xf numFmtId="164" fontId="0" fillId="12" borderId="109" xfId="4343" applyNumberFormat="1" applyFont="1" applyFill="1" applyBorder="1"/>
    <xf numFmtId="164" fontId="0" fillId="12" borderId="174" xfId="4343" applyNumberFormat="1" applyFont="1" applyFill="1" applyBorder="1"/>
    <xf numFmtId="164" fontId="0" fillId="12" borderId="54" xfId="4343" applyNumberFormat="1" applyFont="1" applyFill="1" applyBorder="1"/>
    <xf numFmtId="164" fontId="0" fillId="12" borderId="21" xfId="4343" applyNumberFormat="1" applyFont="1" applyFill="1" applyBorder="1"/>
    <xf numFmtId="164" fontId="0" fillId="12" borderId="167" xfId="4" applyNumberFormat="1" applyFont="1" applyFill="1" applyBorder="1" applyAlignment="1">
      <alignment horizontal="right"/>
    </xf>
    <xf numFmtId="164" fontId="0" fillId="12" borderId="0" xfId="1" applyNumberFormat="1" applyFont="1" applyFill="1" applyBorder="1"/>
    <xf numFmtId="164" fontId="0" fillId="12" borderId="78" xfId="1" applyNumberFormat="1" applyFont="1" applyFill="1" applyBorder="1"/>
    <xf numFmtId="164" fontId="0" fillId="12" borderId="30" xfId="1" applyNumberFormat="1" applyFont="1" applyFill="1" applyBorder="1"/>
    <xf numFmtId="164" fontId="0" fillId="12" borderId="3" xfId="1" applyNumberFormat="1" applyFont="1" applyFill="1" applyBorder="1"/>
    <xf numFmtId="164" fontId="0" fillId="0" borderId="169" xfId="1" applyNumberFormat="1" applyFont="1" applyBorder="1" applyAlignment="1">
      <alignment horizontal="right"/>
    </xf>
    <xf numFmtId="164" fontId="0" fillId="0" borderId="121" xfId="1" applyNumberFormat="1" applyFont="1" applyBorder="1" applyAlignment="1">
      <alignment horizontal="right"/>
    </xf>
    <xf numFmtId="330" fontId="0" fillId="12" borderId="0" xfId="4" applyNumberFormat="1" applyFont="1" applyFill="1" applyBorder="1"/>
    <xf numFmtId="0" fontId="18" fillId="0" borderId="0" xfId="0" applyFont="1" applyAlignment="1">
      <alignment horizontal="center" vertical="center"/>
    </xf>
    <xf numFmtId="330" fontId="0" fillId="0" borderId="0" xfId="4" applyNumberFormat="1" applyFont="1" applyFill="1" applyBorder="1"/>
    <xf numFmtId="330" fontId="0" fillId="0" borderId="169" xfId="0" applyNumberFormat="1" applyBorder="1" applyAlignment="1">
      <alignment horizontal="right"/>
    </xf>
    <xf numFmtId="330" fontId="0" fillId="12" borderId="109" xfId="4" applyNumberFormat="1" applyFont="1" applyFill="1" applyBorder="1"/>
    <xf numFmtId="330" fontId="0" fillId="0" borderId="121" xfId="0" applyNumberFormat="1" applyBorder="1" applyAlignment="1">
      <alignment horizontal="right"/>
    </xf>
    <xf numFmtId="330" fontId="0" fillId="12" borderId="71" xfId="4" applyNumberFormat="1" applyFont="1" applyFill="1" applyBorder="1"/>
    <xf numFmtId="330" fontId="0" fillId="0" borderId="150" xfId="0" applyNumberFormat="1" applyBorder="1" applyAlignment="1">
      <alignment horizontal="right"/>
    </xf>
    <xf numFmtId="164" fontId="0" fillId="12" borderId="43" xfId="1" applyNumberFormat="1" applyFont="1" applyFill="1" applyBorder="1"/>
    <xf numFmtId="164" fontId="0" fillId="0" borderId="169" xfId="1" applyNumberFormat="1" applyFont="1" applyFill="1" applyBorder="1"/>
    <xf numFmtId="164" fontId="0" fillId="0" borderId="121" xfId="1" applyNumberFormat="1" applyFont="1" applyFill="1" applyBorder="1"/>
    <xf numFmtId="332" fontId="11" fillId="0" borderId="78" xfId="0" applyNumberFormat="1" applyFont="1" applyBorder="1" applyAlignment="1">
      <alignment horizontal="center" vertical="center"/>
    </xf>
    <xf numFmtId="332" fontId="11" fillId="0" borderId="30" xfId="0" applyNumberFormat="1" applyFont="1" applyBorder="1" applyAlignment="1">
      <alignment horizontal="center" vertical="center"/>
    </xf>
    <xf numFmtId="332" fontId="11" fillId="0" borderId="3" xfId="0" applyNumberFormat="1" applyFont="1" applyBorder="1" applyAlignment="1">
      <alignment horizontal="center" vertical="center"/>
    </xf>
    <xf numFmtId="330" fontId="0" fillId="0" borderId="169" xfId="0" applyNumberFormat="1" applyBorder="1"/>
    <xf numFmtId="332" fontId="11" fillId="0" borderId="131" xfId="0" applyNumberFormat="1" applyFont="1" applyBorder="1" applyAlignment="1">
      <alignment horizontal="center" vertical="center"/>
    </xf>
    <xf numFmtId="332" fontId="11" fillId="0" borderId="109" xfId="0" applyNumberFormat="1" applyFont="1" applyBorder="1" applyAlignment="1">
      <alignment horizontal="center" vertical="center"/>
    </xf>
    <xf numFmtId="332" fontId="11" fillId="0" borderId="174" xfId="0" applyNumberFormat="1" applyFont="1" applyBorder="1" applyAlignment="1">
      <alignment horizontal="center" vertical="center"/>
    </xf>
    <xf numFmtId="330" fontId="0" fillId="0" borderId="121" xfId="0" applyNumberFormat="1" applyBorder="1"/>
    <xf numFmtId="330" fontId="0" fillId="0" borderId="150" xfId="0" applyNumberFormat="1" applyBorder="1"/>
    <xf numFmtId="333" fontId="11" fillId="0" borderId="164" xfId="4" applyNumberFormat="1" applyFont="1" applyFill="1" applyBorder="1" applyAlignment="1">
      <alignment horizontal="center" vertical="center"/>
    </xf>
    <xf numFmtId="333" fontId="11" fillId="0" borderId="170" xfId="4" applyNumberFormat="1" applyFont="1" applyFill="1" applyBorder="1" applyAlignment="1">
      <alignment horizontal="center" vertical="center"/>
    </xf>
    <xf numFmtId="164" fontId="0" fillId="0" borderId="170" xfId="4" applyNumberFormat="1" applyFont="1" applyFill="1" applyBorder="1"/>
    <xf numFmtId="332" fontId="11" fillId="0" borderId="96" xfId="0" applyNumberFormat="1" applyFont="1" applyBorder="1" applyAlignment="1">
      <alignment horizontal="center" vertical="center"/>
    </xf>
    <xf numFmtId="332" fontId="11" fillId="0" borderId="169" xfId="0" applyNumberFormat="1" applyFont="1" applyBorder="1" applyAlignment="1">
      <alignment horizontal="center" vertical="center"/>
    </xf>
    <xf numFmtId="332" fontId="0" fillId="0" borderId="169" xfId="4" applyNumberFormat="1" applyFont="1" applyFill="1" applyBorder="1"/>
    <xf numFmtId="332" fontId="0" fillId="0" borderId="169" xfId="0" applyNumberFormat="1" applyBorder="1"/>
    <xf numFmtId="333" fontId="0" fillId="0" borderId="169" xfId="0" applyNumberFormat="1" applyBorder="1"/>
    <xf numFmtId="330" fontId="0" fillId="0" borderId="169" xfId="4" applyNumberFormat="1" applyFont="1" applyFill="1" applyBorder="1"/>
    <xf numFmtId="332" fontId="11" fillId="0" borderId="175" xfId="0" applyNumberFormat="1" applyFont="1" applyBorder="1" applyAlignment="1">
      <alignment horizontal="center" vertical="center"/>
    </xf>
    <xf numFmtId="332" fontId="11" fillId="0" borderId="121" xfId="0" applyNumberFormat="1" applyFont="1" applyBorder="1" applyAlignment="1">
      <alignment horizontal="center" vertical="center"/>
    </xf>
    <xf numFmtId="332" fontId="0" fillId="0" borderId="121" xfId="4" applyNumberFormat="1" applyFont="1" applyFill="1" applyBorder="1"/>
    <xf numFmtId="332" fontId="0" fillId="0" borderId="121" xfId="0" applyNumberFormat="1" applyBorder="1"/>
    <xf numFmtId="333" fontId="0" fillId="0" borderId="121" xfId="0" applyNumberFormat="1" applyBorder="1"/>
    <xf numFmtId="330" fontId="0" fillId="0" borderId="121" xfId="4" applyNumberFormat="1" applyFont="1" applyFill="1" applyBorder="1"/>
    <xf numFmtId="332" fontId="11" fillId="0" borderId="150" xfId="0" applyNumberFormat="1" applyFont="1" applyBorder="1" applyAlignment="1">
      <alignment horizontal="center" vertical="center"/>
    </xf>
    <xf numFmtId="332" fontId="0" fillId="0" borderId="150" xfId="4" applyNumberFormat="1" applyFont="1" applyFill="1" applyBorder="1"/>
    <xf numFmtId="332" fontId="0" fillId="0" borderId="150" xfId="0" applyNumberFormat="1" applyBorder="1"/>
    <xf numFmtId="333" fontId="0" fillId="0" borderId="150" xfId="0" applyNumberFormat="1" applyBorder="1"/>
    <xf numFmtId="330" fontId="0" fillId="0" borderId="150" xfId="4" applyNumberFormat="1" applyFont="1" applyFill="1" applyBorder="1"/>
    <xf numFmtId="190" fontId="0" fillId="0" borderId="0" xfId="2" applyNumberFormat="1" applyFont="1" applyFill="1" applyAlignment="1">
      <alignment horizontal="center"/>
    </xf>
    <xf numFmtId="190" fontId="257" fillId="0" borderId="0" xfId="2" applyNumberFormat="1" applyFont="1" applyFill="1" applyBorder="1" applyAlignment="1">
      <alignment horizontal="center"/>
    </xf>
    <xf numFmtId="164" fontId="257" fillId="0" borderId="58" xfId="1" applyNumberFormat="1" applyFont="1" applyFill="1" applyBorder="1" applyAlignment="1">
      <alignment horizontal="right"/>
    </xf>
    <xf numFmtId="164" fontId="0" fillId="0" borderId="0" xfId="4" applyNumberFormat="1" applyFont="1" applyFill="1" applyBorder="1" applyAlignment="1">
      <alignment horizontal="right"/>
    </xf>
    <xf numFmtId="330" fontId="257" fillId="0" borderId="38" xfId="1" applyNumberFormat="1" applyFont="1" applyFill="1" applyBorder="1"/>
    <xf numFmtId="164" fontId="0" fillId="0" borderId="169" xfId="4" applyNumberFormat="1" applyFont="1" applyFill="1" applyBorder="1" applyAlignment="1">
      <alignment horizontal="right"/>
    </xf>
    <xf numFmtId="0" fontId="0" fillId="0" borderId="0" xfId="0" applyAlignment="1">
      <alignment vertical="top"/>
    </xf>
    <xf numFmtId="0" fontId="247" fillId="0" borderId="0" xfId="0" applyFont="1" applyAlignment="1">
      <alignment horizontal="right" vertical="top"/>
    </xf>
    <xf numFmtId="0" fontId="18" fillId="0" borderId="0" xfId="0" applyFont="1" applyAlignment="1">
      <alignment horizontal="right"/>
    </xf>
    <xf numFmtId="0" fontId="247" fillId="0" borderId="0" xfId="11" applyFont="1" applyAlignment="1">
      <alignment horizontal="left"/>
    </xf>
    <xf numFmtId="0" fontId="283" fillId="0" borderId="38" xfId="11" applyFont="1" applyBorder="1"/>
    <xf numFmtId="330" fontId="257" fillId="0" borderId="21" xfId="4343" applyNumberFormat="1" applyFont="1" applyFill="1" applyBorder="1"/>
    <xf numFmtId="330" fontId="257" fillId="0" borderId="58" xfId="4343" applyNumberFormat="1" applyFont="1" applyFill="1" applyBorder="1"/>
    <xf numFmtId="331" fontId="257" fillId="0" borderId="167" xfId="0" applyNumberFormat="1" applyFont="1" applyBorder="1" applyAlignment="1">
      <alignment horizontal="right"/>
    </xf>
    <xf numFmtId="330" fontId="257" fillId="0" borderId="90" xfId="1" applyNumberFormat="1" applyFont="1" applyFill="1" applyBorder="1" applyAlignment="1">
      <alignment horizontal="right"/>
    </xf>
    <xf numFmtId="330" fontId="257" fillId="0" borderId="59" xfId="1" applyNumberFormat="1" applyFont="1" applyFill="1" applyBorder="1" applyAlignment="1">
      <alignment horizontal="right" vertical="center"/>
    </xf>
    <xf numFmtId="330" fontId="257" fillId="0" borderId="90" xfId="1" applyNumberFormat="1" applyFont="1" applyFill="1" applyBorder="1" applyAlignment="1">
      <alignment horizontal="right" vertical="center"/>
    </xf>
    <xf numFmtId="330" fontId="257" fillId="0" borderId="64" xfId="1" applyNumberFormat="1" applyFont="1" applyFill="1" applyBorder="1" applyAlignment="1">
      <alignment horizontal="right" vertical="center"/>
    </xf>
    <xf numFmtId="330" fontId="257" fillId="0" borderId="95" xfId="1" applyNumberFormat="1" applyFont="1" applyFill="1" applyBorder="1" applyAlignment="1">
      <alignment horizontal="right" vertical="center"/>
    </xf>
    <xf numFmtId="3" fontId="257" fillId="0" borderId="152" xfId="0" applyNumberFormat="1" applyFont="1" applyBorder="1"/>
    <xf numFmtId="44" fontId="257" fillId="0" borderId="98" xfId="1" applyFont="1" applyFill="1" applyBorder="1" applyAlignment="1"/>
    <xf numFmtId="330" fontId="257" fillId="0" borderId="58" xfId="1" applyNumberFormat="1" applyFont="1" applyFill="1" applyBorder="1" applyAlignment="1"/>
    <xf numFmtId="330" fontId="257" fillId="0" borderId="59" xfId="1" applyNumberFormat="1" applyFont="1" applyFill="1" applyBorder="1" applyAlignment="1"/>
    <xf numFmtId="330" fontId="257" fillId="0" borderId="90" xfId="1" applyNumberFormat="1" applyFont="1" applyFill="1" applyBorder="1" applyAlignment="1"/>
    <xf numFmtId="330" fontId="257" fillId="0" borderId="61" xfId="1" applyNumberFormat="1" applyFont="1" applyFill="1" applyBorder="1" applyAlignment="1"/>
    <xf numFmtId="330" fontId="257" fillId="0" borderId="153" xfId="1" applyNumberFormat="1" applyFont="1" applyFill="1" applyBorder="1"/>
    <xf numFmtId="330" fontId="257" fillId="0" borderId="136" xfId="1" applyNumberFormat="1" applyFont="1" applyFill="1" applyBorder="1"/>
    <xf numFmtId="330" fontId="257" fillId="0" borderId="53" xfId="1" applyNumberFormat="1" applyFont="1" applyFill="1" applyBorder="1"/>
    <xf numFmtId="330" fontId="257" fillId="0" borderId="58" xfId="1" applyNumberFormat="1" applyFont="1" applyFill="1" applyBorder="1"/>
    <xf numFmtId="330" fontId="257" fillId="0" borderId="63" xfId="1" applyNumberFormat="1" applyFont="1" applyFill="1" applyBorder="1"/>
    <xf numFmtId="330" fontId="257" fillId="0" borderId="152" xfId="1" applyNumberFormat="1" applyFont="1" applyFill="1" applyBorder="1"/>
    <xf numFmtId="330" fontId="257" fillId="0" borderId="94" xfId="1" applyNumberFormat="1" applyFont="1" applyFill="1" applyBorder="1"/>
    <xf numFmtId="330" fontId="257" fillId="0" borderId="95" xfId="1" applyNumberFormat="1" applyFont="1" applyFill="1" applyBorder="1"/>
    <xf numFmtId="330" fontId="257" fillId="0" borderId="97" xfId="1" applyNumberFormat="1" applyFont="1" applyFill="1" applyBorder="1"/>
    <xf numFmtId="330" fontId="257" fillId="0" borderId="98" xfId="1" applyNumberFormat="1" applyFont="1" applyFill="1" applyBorder="1"/>
    <xf numFmtId="330" fontId="257" fillId="0" borderId="55" xfId="1" applyNumberFormat="1" applyFont="1" applyFill="1" applyBorder="1"/>
    <xf numFmtId="3" fontId="257" fillId="0" borderId="97" xfId="0" applyNumberFormat="1" applyFont="1" applyBorder="1" applyAlignment="1">
      <alignment horizontal="left"/>
    </xf>
    <xf numFmtId="37" fontId="0" fillId="12" borderId="176" xfId="0" applyNumberFormat="1" applyFill="1" applyBorder="1"/>
    <xf numFmtId="37" fontId="0" fillId="12" borderId="53" xfId="0" applyNumberFormat="1" applyFill="1" applyBorder="1"/>
    <xf numFmtId="164" fontId="0" fillId="12" borderId="176" xfId="1" applyNumberFormat="1" applyFont="1" applyFill="1" applyBorder="1"/>
    <xf numFmtId="164" fontId="0" fillId="12" borderId="53" xfId="1" applyNumberFormat="1" applyFont="1" applyFill="1" applyBorder="1"/>
    <xf numFmtId="0" fontId="0" fillId="0" borderId="0" xfId="0" quotePrefix="1" applyAlignment="1">
      <alignment horizontal="center"/>
    </xf>
    <xf numFmtId="5" fontId="247" fillId="0" borderId="0" xfId="0" applyNumberFormat="1" applyFont="1" applyAlignment="1">
      <alignment horizontal="left"/>
    </xf>
    <xf numFmtId="0" fontId="11" fillId="0" borderId="0" xfId="0" applyFont="1"/>
    <xf numFmtId="164" fontId="11" fillId="0" borderId="0" xfId="0" applyNumberFormat="1" applyFont="1"/>
    <xf numFmtId="0" fontId="0" fillId="0" borderId="0" xfId="0" applyAlignment="1">
      <alignment horizontal="center" vertical="center"/>
    </xf>
    <xf numFmtId="0" fontId="0" fillId="0" borderId="0" xfId="0" applyAlignment="1" applyProtection="1">
      <alignment horizontal="left" readingOrder="1"/>
      <protection locked="0"/>
    </xf>
    <xf numFmtId="42" fontId="0" fillId="0" borderId="0" xfId="0" applyNumberFormat="1"/>
    <xf numFmtId="9" fontId="0" fillId="0" borderId="0" xfId="2" applyFont="1" applyFill="1" applyBorder="1" applyAlignment="1">
      <alignment horizontal="center"/>
    </xf>
    <xf numFmtId="3" fontId="0" fillId="0" borderId="75" xfId="0" applyNumberFormat="1" applyBorder="1" applyAlignment="1">
      <alignment horizontal="right"/>
    </xf>
    <xf numFmtId="3" fontId="0" fillId="0" borderId="68" xfId="0" applyNumberFormat="1" applyBorder="1" applyAlignment="1">
      <alignment horizontal="right"/>
    </xf>
    <xf numFmtId="331" fontId="247" fillId="0" borderId="170" xfId="4339" applyNumberFormat="1" applyFont="1" applyBorder="1" applyAlignment="1">
      <alignment horizontal="right"/>
    </xf>
    <xf numFmtId="331" fontId="257" fillId="0" borderId="170" xfId="4339" applyNumberFormat="1" applyFont="1" applyBorder="1" applyAlignment="1">
      <alignment horizontal="right"/>
    </xf>
    <xf numFmtId="3" fontId="257" fillId="0" borderId="170" xfId="0" applyNumberFormat="1" applyFont="1" applyBorder="1" applyAlignment="1">
      <alignment horizontal="right"/>
    </xf>
    <xf numFmtId="3" fontId="0" fillId="0" borderId="161" xfId="0" applyNumberFormat="1" applyBorder="1" applyAlignment="1">
      <alignment horizontal="right"/>
    </xf>
    <xf numFmtId="331" fontId="247" fillId="0" borderId="98" xfId="4339" applyNumberFormat="1" applyFont="1" applyBorder="1" applyAlignment="1">
      <alignment horizontal="right"/>
    </xf>
    <xf numFmtId="331" fontId="247" fillId="0" borderId="152" xfId="4339" applyNumberFormat="1" applyFont="1" applyBorder="1" applyAlignment="1">
      <alignment horizontal="right"/>
    </xf>
    <xf numFmtId="331" fontId="257" fillId="0" borderId="152" xfId="4339" applyNumberFormat="1" applyFont="1" applyBorder="1" applyAlignment="1">
      <alignment horizontal="right"/>
    </xf>
    <xf numFmtId="3" fontId="257" fillId="0" borderId="152" xfId="0" applyNumberFormat="1" applyFont="1" applyBorder="1" applyAlignment="1">
      <alignment horizontal="right"/>
    </xf>
    <xf numFmtId="3" fontId="0" fillId="0" borderId="69" xfId="0" applyNumberFormat="1" applyBorder="1" applyAlignment="1">
      <alignment horizontal="right"/>
    </xf>
    <xf numFmtId="0" fontId="18" fillId="53" borderId="161" xfId="0" applyFont="1" applyFill="1" applyBorder="1"/>
    <xf numFmtId="330" fontId="257" fillId="0" borderId="152" xfId="1" applyNumberFormat="1" applyFont="1" applyFill="1" applyBorder="1" applyAlignment="1"/>
    <xf numFmtId="164" fontId="257" fillId="0" borderId="136" xfId="1" applyNumberFormat="1" applyFont="1" applyFill="1" applyBorder="1" applyAlignment="1"/>
    <xf numFmtId="164" fontId="247" fillId="0" borderId="98" xfId="1" applyNumberFormat="1" applyFont="1" applyBorder="1" applyAlignment="1">
      <alignment horizontal="right"/>
    </xf>
    <xf numFmtId="164" fontId="0" fillId="0" borderId="179" xfId="4" applyNumberFormat="1" applyFont="1" applyFill="1" applyBorder="1" applyAlignment="1">
      <alignment horizontal="right"/>
    </xf>
    <xf numFmtId="164" fontId="0" fillId="0" borderId="180" xfId="4" applyNumberFormat="1" applyFont="1" applyFill="1" applyBorder="1" applyAlignment="1">
      <alignment horizontal="right"/>
    </xf>
    <xf numFmtId="164" fontId="0" fillId="0" borderId="181" xfId="4" applyNumberFormat="1" applyFont="1" applyFill="1" applyBorder="1" applyAlignment="1">
      <alignment horizontal="right"/>
    </xf>
    <xf numFmtId="164" fontId="0" fillId="0" borderId="157" xfId="4" applyNumberFormat="1" applyFont="1" applyFill="1" applyBorder="1" applyAlignment="1">
      <alignment horizontal="right"/>
    </xf>
    <xf numFmtId="164" fontId="0" fillId="0" borderId="158" xfId="4" applyNumberFormat="1" applyFont="1" applyFill="1" applyBorder="1" applyAlignment="1">
      <alignment horizontal="right"/>
    </xf>
    <xf numFmtId="164" fontId="0" fillId="0" borderId="171" xfId="4" applyNumberFormat="1" applyFont="1" applyFill="1" applyBorder="1" applyAlignment="1">
      <alignment horizontal="right"/>
    </xf>
    <xf numFmtId="164" fontId="0" fillId="0" borderId="153" xfId="4" applyNumberFormat="1" applyFont="1" applyFill="1" applyBorder="1" applyAlignment="1">
      <alignment horizontal="right"/>
    </xf>
    <xf numFmtId="0" fontId="18" fillId="60" borderId="179" xfId="0" applyFont="1" applyFill="1" applyBorder="1" applyAlignment="1" applyProtection="1">
      <alignment horizontal="center"/>
      <protection locked="0"/>
    </xf>
    <xf numFmtId="0" fontId="18" fillId="60" borderId="180" xfId="0" applyFont="1" applyFill="1" applyBorder="1" applyAlignment="1" applyProtection="1">
      <alignment horizontal="center"/>
      <protection locked="0"/>
    </xf>
    <xf numFmtId="0" fontId="18" fillId="60" borderId="181" xfId="0" applyFont="1" applyFill="1" applyBorder="1" applyAlignment="1" applyProtection="1">
      <alignment horizontal="center"/>
      <protection locked="0"/>
    </xf>
    <xf numFmtId="0" fontId="18" fillId="60" borderId="182" xfId="0" applyFont="1" applyFill="1" applyBorder="1" applyAlignment="1" applyProtection="1">
      <alignment horizontal="center"/>
      <protection locked="0"/>
    </xf>
    <xf numFmtId="0" fontId="18" fillId="63" borderId="181" xfId="0" applyFont="1" applyFill="1" applyBorder="1" applyAlignment="1" applyProtection="1">
      <alignment horizontal="center"/>
      <protection locked="0"/>
    </xf>
    <xf numFmtId="0" fontId="18" fillId="63" borderId="180" xfId="0" applyFont="1" applyFill="1" applyBorder="1" applyAlignment="1" applyProtection="1">
      <alignment horizontal="center"/>
      <protection locked="0"/>
    </xf>
    <xf numFmtId="0" fontId="18" fillId="53" borderId="43" xfId="0" applyFont="1" applyFill="1" applyBorder="1"/>
    <xf numFmtId="0" fontId="18" fillId="53" borderId="80" xfId="0" applyFont="1" applyFill="1" applyBorder="1"/>
    <xf numFmtId="331" fontId="257" fillId="0" borderId="53" xfId="4339" applyNumberFormat="1" applyFont="1" applyBorder="1"/>
    <xf numFmtId="0" fontId="18" fillId="63" borderId="183" xfId="0" applyFont="1" applyFill="1" applyBorder="1" applyAlignment="1" applyProtection="1">
      <alignment horizontal="center"/>
      <protection locked="0"/>
    </xf>
    <xf numFmtId="164" fontId="257" fillId="0" borderId="152" xfId="4343" applyNumberFormat="1" applyFont="1" applyFill="1" applyBorder="1"/>
    <xf numFmtId="164" fontId="247" fillId="0" borderId="3" xfId="1" applyNumberFormat="1" applyFont="1" applyFill="1" applyBorder="1" applyAlignment="1">
      <alignment horizontal="right"/>
    </xf>
    <xf numFmtId="331" fontId="257" fillId="0" borderId="149" xfId="0" applyNumberFormat="1" applyFont="1" applyBorder="1" applyAlignment="1">
      <alignment horizontal="right"/>
    </xf>
    <xf numFmtId="331" fontId="257" fillId="0" borderId="3" xfId="0" applyNumberFormat="1" applyFont="1" applyBorder="1" applyAlignment="1">
      <alignment horizontal="right"/>
    </xf>
    <xf numFmtId="331" fontId="247" fillId="0" borderId="3" xfId="0" applyNumberFormat="1" applyFont="1" applyBorder="1" applyAlignment="1">
      <alignment horizontal="right"/>
    </xf>
    <xf numFmtId="331" fontId="257" fillId="0" borderId="30" xfId="0" applyNumberFormat="1" applyFont="1" applyBorder="1" applyAlignment="1">
      <alignment horizontal="right"/>
    </xf>
    <xf numFmtId="331" fontId="0" fillId="0" borderId="146" xfId="0" applyNumberFormat="1" applyBorder="1" applyAlignment="1">
      <alignment horizontal="right"/>
    </xf>
    <xf numFmtId="331" fontId="0" fillId="0" borderId="145" xfId="0" applyNumberFormat="1" applyBorder="1" applyAlignment="1">
      <alignment horizontal="center" vertical="center"/>
    </xf>
    <xf numFmtId="164" fontId="247" fillId="0" borderId="97" xfId="4" applyNumberFormat="1" applyFont="1" applyFill="1" applyBorder="1" applyAlignment="1">
      <alignment horizontal="right"/>
    </xf>
    <xf numFmtId="164" fontId="247" fillId="0" borderId="171" xfId="1" applyNumberFormat="1" applyFont="1" applyFill="1" applyBorder="1" applyAlignment="1">
      <alignment horizontal="right"/>
    </xf>
    <xf numFmtId="164" fontId="257" fillId="0" borderId="153" xfId="1" applyNumberFormat="1" applyFont="1" applyFill="1" applyBorder="1" applyAlignment="1">
      <alignment horizontal="right"/>
    </xf>
    <xf numFmtId="164" fontId="257" fillId="0" borderId="53" xfId="1" applyNumberFormat="1" applyFont="1" applyFill="1" applyBorder="1" applyAlignment="1">
      <alignment horizontal="right"/>
    </xf>
    <xf numFmtId="164" fontId="257" fillId="0" borderId="171" xfId="1" applyNumberFormat="1" applyFont="1" applyFill="1" applyBorder="1" applyAlignment="1">
      <alignment horizontal="right"/>
    </xf>
    <xf numFmtId="164" fontId="257" fillId="0" borderId="94" xfId="1" applyNumberFormat="1" applyFont="1" applyFill="1" applyBorder="1" applyAlignment="1">
      <alignment horizontal="center" vertical="center"/>
    </xf>
    <xf numFmtId="164" fontId="247" fillId="12" borderId="76" xfId="1" applyNumberFormat="1" applyFont="1" applyFill="1" applyBorder="1" applyAlignment="1">
      <alignment horizontal="center" vertical="center"/>
    </xf>
    <xf numFmtId="164" fontId="257" fillId="0" borderId="54" xfId="1" applyNumberFormat="1" applyFont="1" applyFill="1" applyBorder="1" applyAlignment="1">
      <alignment horizontal="right"/>
    </xf>
    <xf numFmtId="164" fontId="247" fillId="0" borderId="134" xfId="1" applyNumberFormat="1" applyFont="1" applyFill="1" applyBorder="1" applyAlignment="1">
      <alignment horizontal="right"/>
    </xf>
    <xf numFmtId="164" fontId="247" fillId="0" borderId="145" xfId="1" applyNumberFormat="1" applyFont="1" applyFill="1" applyBorder="1" applyAlignment="1">
      <alignment horizontal="right"/>
    </xf>
    <xf numFmtId="164" fontId="247" fillId="0" borderId="171" xfId="4" applyNumberFormat="1" applyFont="1" applyFill="1" applyBorder="1" applyAlignment="1">
      <alignment horizontal="right"/>
    </xf>
    <xf numFmtId="164" fontId="11" fillId="0" borderId="153" xfId="4" applyNumberFormat="1" applyFont="1" applyFill="1" applyBorder="1" applyAlignment="1">
      <alignment horizontal="right"/>
    </xf>
    <xf numFmtId="164" fontId="11" fillId="0" borderId="53" xfId="4" applyNumberFormat="1" applyFont="1" applyFill="1" applyBorder="1" applyAlignment="1">
      <alignment horizontal="right"/>
    </xf>
    <xf numFmtId="164" fontId="11" fillId="0" borderId="171" xfId="4" applyNumberFormat="1" applyFont="1" applyFill="1" applyBorder="1" applyAlignment="1">
      <alignment horizontal="right"/>
    </xf>
    <xf numFmtId="164" fontId="11" fillId="0" borderId="171" xfId="4" applyNumberFormat="1" applyFont="1" applyBorder="1" applyAlignment="1"/>
    <xf numFmtId="164" fontId="11" fillId="12" borderId="76" xfId="4343" applyNumberFormat="1" applyFont="1" applyFill="1" applyBorder="1" applyAlignment="1">
      <alignment horizontal="center" vertical="center"/>
    </xf>
    <xf numFmtId="164" fontId="11" fillId="12" borderId="180" xfId="4343" applyNumberFormat="1" applyFont="1" applyFill="1" applyBorder="1" applyAlignment="1">
      <alignment horizontal="center" vertical="center"/>
    </xf>
    <xf numFmtId="164" fontId="247" fillId="0" borderId="152" xfId="4" applyNumberFormat="1" applyFont="1" applyFill="1" applyBorder="1" applyAlignment="1">
      <alignment horizontal="right"/>
    </xf>
    <xf numFmtId="164" fontId="11" fillId="0" borderId="58" xfId="4" applyNumberFormat="1" applyFont="1" applyFill="1" applyBorder="1" applyAlignment="1">
      <alignment horizontal="right"/>
    </xf>
    <xf numFmtId="164" fontId="11" fillId="0" borderId="152" xfId="4" applyNumberFormat="1" applyFont="1" applyFill="1" applyBorder="1" applyAlignment="1">
      <alignment horizontal="right"/>
    </xf>
    <xf numFmtId="164" fontId="11" fillId="12" borderId="181" xfId="4343" applyNumberFormat="1" applyFont="1" applyFill="1" applyBorder="1" applyAlignment="1">
      <alignment horizontal="center" vertical="center"/>
    </xf>
    <xf numFmtId="0" fontId="18" fillId="60" borderId="184" xfId="0" applyFont="1" applyFill="1" applyBorder="1" applyAlignment="1" applyProtection="1">
      <alignment horizontal="center"/>
      <protection locked="0"/>
    </xf>
    <xf numFmtId="164" fontId="257" fillId="0" borderId="149" xfId="4343" applyNumberFormat="1" applyFont="1" applyFill="1" applyBorder="1" applyAlignment="1">
      <alignment horizontal="right"/>
    </xf>
    <xf numFmtId="164" fontId="11" fillId="0" borderId="3" xfId="1" applyNumberFormat="1" applyFont="1" applyFill="1" applyBorder="1" applyAlignment="1">
      <alignment horizontal="right"/>
    </xf>
    <xf numFmtId="164" fontId="11" fillId="0" borderId="149" xfId="1" applyNumberFormat="1" applyFont="1" applyFill="1" applyBorder="1" applyAlignment="1">
      <alignment horizontal="right"/>
    </xf>
    <xf numFmtId="164" fontId="11" fillId="0" borderId="146" xfId="1" applyNumberFormat="1" applyFont="1" applyFill="1" applyBorder="1" applyAlignment="1">
      <alignment horizontal="right"/>
    </xf>
    <xf numFmtId="164" fontId="247" fillId="0" borderId="92" xfId="4" applyNumberFormat="1" applyFont="1" applyFill="1" applyBorder="1" applyAlignment="1">
      <alignment horizontal="right"/>
    </xf>
    <xf numFmtId="164" fontId="247" fillId="0" borderId="58" xfId="1" applyNumberFormat="1" applyFont="1" applyFill="1" applyBorder="1" applyAlignment="1">
      <alignment horizontal="right"/>
    </xf>
    <xf numFmtId="164" fontId="247" fillId="0" borderId="151" xfId="4" applyNumberFormat="1" applyFont="1" applyFill="1" applyBorder="1" applyAlignment="1">
      <alignment horizontal="right"/>
    </xf>
    <xf numFmtId="164" fontId="11" fillId="0" borderId="133" xfId="4" applyNumberFormat="1" applyFont="1" applyFill="1" applyBorder="1" applyAlignment="1">
      <alignment horizontal="right"/>
    </xf>
    <xf numFmtId="164" fontId="11" fillId="0" borderId="136" xfId="1" applyNumberFormat="1" applyFont="1" applyFill="1" applyBorder="1" applyAlignment="1">
      <alignment horizontal="right"/>
    </xf>
    <xf numFmtId="164" fontId="11" fillId="0" borderId="57" xfId="4" applyNumberFormat="1" applyFont="1" applyFill="1" applyBorder="1" applyAlignment="1">
      <alignment horizontal="right"/>
    </xf>
    <xf numFmtId="164" fontId="11" fillId="0" borderId="58" xfId="1" applyNumberFormat="1" applyFont="1" applyFill="1" applyBorder="1" applyAlignment="1">
      <alignment horizontal="right"/>
    </xf>
    <xf numFmtId="164" fontId="11" fillId="0" borderId="151" xfId="4" applyNumberFormat="1" applyFont="1" applyFill="1" applyBorder="1" applyAlignment="1">
      <alignment horizontal="right"/>
    </xf>
    <xf numFmtId="164" fontId="11" fillId="0" borderId="151" xfId="4" applyNumberFormat="1" applyFont="1" applyBorder="1" applyAlignment="1"/>
    <xf numFmtId="164" fontId="11" fillId="12" borderId="179" xfId="4343" applyNumberFormat="1" applyFont="1" applyFill="1" applyBorder="1" applyAlignment="1">
      <alignment horizontal="center" vertical="center"/>
    </xf>
    <xf numFmtId="164" fontId="11" fillId="0" borderId="82" xfId="1" applyNumberFormat="1" applyFont="1" applyFill="1" applyBorder="1" applyAlignment="1">
      <alignment horizontal="right"/>
    </xf>
    <xf numFmtId="0" fontId="18" fillId="60" borderId="74" xfId="0" applyFont="1" applyFill="1" applyBorder="1" applyAlignment="1" applyProtection="1">
      <alignment horizontal="center"/>
      <protection locked="0"/>
    </xf>
    <xf numFmtId="164" fontId="257" fillId="0" borderId="133" xfId="4" applyNumberFormat="1" applyFont="1" applyFill="1" applyBorder="1" applyAlignment="1">
      <alignment horizontal="right"/>
    </xf>
    <xf numFmtId="164" fontId="257" fillId="0" borderId="136" xfId="1" applyNumberFormat="1" applyFont="1" applyFill="1" applyBorder="1" applyAlignment="1">
      <alignment horizontal="right"/>
    </xf>
    <xf numFmtId="164" fontId="257" fillId="0" borderId="57" xfId="4" applyNumberFormat="1" applyFont="1" applyFill="1" applyBorder="1" applyAlignment="1">
      <alignment horizontal="right"/>
    </xf>
    <xf numFmtId="164" fontId="257" fillId="0" borderId="151" xfId="4" applyNumberFormat="1" applyFont="1" applyBorder="1" applyAlignment="1"/>
    <xf numFmtId="164" fontId="11" fillId="0" borderId="30" xfId="1" applyNumberFormat="1" applyFont="1" applyFill="1" applyBorder="1" applyAlignment="1">
      <alignment horizontal="right"/>
    </xf>
    <xf numFmtId="164" fontId="247" fillId="0" borderId="53" xfId="1" applyNumberFormat="1" applyFont="1" applyFill="1" applyBorder="1" applyAlignment="1">
      <alignment horizontal="right"/>
    </xf>
    <xf numFmtId="164" fontId="257" fillId="0" borderId="171" xfId="1" applyNumberFormat="1" applyFont="1" applyBorder="1" applyAlignment="1"/>
    <xf numFmtId="164" fontId="257" fillId="0" borderId="171" xfId="1" applyNumberFormat="1" applyFont="1" applyFill="1" applyBorder="1" applyAlignment="1">
      <alignment horizontal="center" vertical="center"/>
    </xf>
    <xf numFmtId="164" fontId="247" fillId="0" borderId="94" xfId="1" applyNumberFormat="1" applyFont="1" applyFill="1" applyBorder="1" applyAlignment="1">
      <alignment horizontal="center" vertical="center"/>
    </xf>
    <xf numFmtId="164" fontId="257" fillId="0" borderId="151" xfId="4" applyNumberFormat="1" applyFont="1" applyFill="1" applyBorder="1" applyAlignment="1">
      <alignment horizontal="center" vertical="center"/>
    </xf>
    <xf numFmtId="164" fontId="257" fillId="0" borderId="93" xfId="4" applyNumberFormat="1" applyFont="1" applyFill="1" applyBorder="1" applyAlignment="1">
      <alignment horizontal="center" vertical="center"/>
    </xf>
    <xf numFmtId="164" fontId="257" fillId="0" borderId="55" xfId="1" applyNumberFormat="1" applyFont="1" applyFill="1" applyBorder="1" applyAlignment="1">
      <alignment horizontal="right"/>
    </xf>
    <xf numFmtId="164" fontId="257" fillId="0" borderId="82" xfId="1" applyNumberFormat="1" applyFont="1" applyFill="1" applyBorder="1" applyAlignment="1">
      <alignment horizontal="right"/>
    </xf>
    <xf numFmtId="164" fontId="11" fillId="0" borderId="171" xfId="4" applyNumberFormat="1" applyFont="1" applyFill="1" applyBorder="1" applyAlignment="1">
      <alignment horizontal="center" vertical="center"/>
    </xf>
    <xf numFmtId="164" fontId="11" fillId="0" borderId="94" xfId="4" applyNumberFormat="1" applyFont="1" applyFill="1" applyBorder="1" applyAlignment="1">
      <alignment horizontal="center" vertical="center"/>
    </xf>
    <xf numFmtId="164" fontId="11" fillId="0" borderId="55" xfId="1" applyNumberFormat="1" applyFont="1" applyFill="1" applyBorder="1" applyAlignment="1">
      <alignment horizontal="right"/>
    </xf>
    <xf numFmtId="331" fontId="257" fillId="0" borderId="153" xfId="0" applyNumberFormat="1" applyFont="1" applyBorder="1" applyAlignment="1">
      <alignment horizontal="right"/>
    </xf>
    <xf numFmtId="331" fontId="257" fillId="0" borderId="171" xfId="0" applyNumberFormat="1" applyFont="1" applyBorder="1" applyAlignment="1">
      <alignment horizontal="right"/>
    </xf>
    <xf numFmtId="331" fontId="257" fillId="0" borderId="171" xfId="0" applyNumberFormat="1" applyFont="1" applyBorder="1" applyAlignment="1">
      <alignment horizontal="left" vertical="center"/>
    </xf>
    <xf numFmtId="331" fontId="257" fillId="0" borderId="94" xfId="0" applyNumberFormat="1" applyFont="1" applyBorder="1" applyAlignment="1">
      <alignment horizontal="right"/>
    </xf>
    <xf numFmtId="331" fontId="0" fillId="0" borderId="103" xfId="0" applyNumberFormat="1" applyBorder="1" applyAlignment="1">
      <alignment horizontal="center" vertical="center"/>
    </xf>
    <xf numFmtId="331" fontId="0" fillId="0" borderId="136" xfId="0" applyNumberFormat="1" applyBorder="1" applyAlignment="1">
      <alignment horizontal="right"/>
    </xf>
    <xf numFmtId="331" fontId="11" fillId="0" borderId="57" xfId="0" applyNumberFormat="1" applyFont="1" applyBorder="1" applyAlignment="1">
      <alignment horizontal="right"/>
    </xf>
    <xf numFmtId="331" fontId="11" fillId="0" borderId="151" xfId="0" applyNumberFormat="1" applyFont="1" applyBorder="1" applyAlignment="1">
      <alignment horizontal="left" vertical="center"/>
    </xf>
    <xf numFmtId="331" fontId="11" fillId="0" borderId="93" xfId="0" applyNumberFormat="1" applyFont="1" applyBorder="1" applyAlignment="1">
      <alignment horizontal="right"/>
    </xf>
    <xf numFmtId="331" fontId="0" fillId="0" borderId="55" xfId="0" applyNumberFormat="1" applyBorder="1" applyAlignment="1">
      <alignment horizontal="right"/>
    </xf>
    <xf numFmtId="331" fontId="0" fillId="0" borderId="144" xfId="0" applyNumberFormat="1" applyBorder="1" applyAlignment="1">
      <alignment horizontal="center" vertical="center"/>
    </xf>
    <xf numFmtId="331" fontId="0" fillId="0" borderId="82" xfId="0" applyNumberFormat="1" applyBorder="1" applyAlignment="1">
      <alignment horizontal="right"/>
    </xf>
    <xf numFmtId="331" fontId="247" fillId="0" borderId="171" xfId="0" applyNumberFormat="1" applyFont="1" applyBorder="1" applyAlignment="1">
      <alignment horizontal="right"/>
    </xf>
    <xf numFmtId="331" fontId="257" fillId="0" borderId="55" xfId="0" applyNumberFormat="1" applyFont="1" applyBorder="1" applyAlignment="1">
      <alignment horizontal="right"/>
    </xf>
    <xf numFmtId="0" fontId="18" fillId="63" borderId="185" xfId="0" applyFont="1" applyFill="1" applyBorder="1" applyAlignment="1" applyProtection="1">
      <alignment horizontal="center"/>
      <protection locked="0"/>
    </xf>
    <xf numFmtId="9" fontId="0" fillId="0" borderId="167" xfId="3458" applyFont="1" applyFill="1" applyBorder="1" applyAlignment="1"/>
    <xf numFmtId="0" fontId="257" fillId="64" borderId="67" xfId="0" applyFont="1" applyFill="1" applyBorder="1" applyAlignment="1">
      <alignment horizontal="center" vertical="top" wrapText="1"/>
    </xf>
    <xf numFmtId="0" fontId="0" fillId="0" borderId="77" xfId="0" applyBorder="1" applyAlignment="1">
      <alignment horizontal="left"/>
    </xf>
    <xf numFmtId="0" fontId="0" fillId="12" borderId="0" xfId="0" applyFill="1" applyAlignment="1">
      <alignment wrapText="1"/>
    </xf>
    <xf numFmtId="0" fontId="11" fillId="12" borderId="0" xfId="0" applyFont="1" applyFill="1" applyAlignment="1">
      <alignment wrapText="1"/>
    </xf>
    <xf numFmtId="0" fontId="0" fillId="0" borderId="0" xfId="0" applyAlignment="1">
      <alignment wrapText="1"/>
    </xf>
    <xf numFmtId="0" fontId="277" fillId="0" borderId="0" xfId="0" applyFont="1" applyAlignment="1">
      <alignment horizontal="center"/>
    </xf>
    <xf numFmtId="0" fontId="251" fillId="55" borderId="172" xfId="0" applyFont="1" applyFill="1" applyBorder="1" applyAlignment="1">
      <alignment horizontal="center"/>
    </xf>
    <xf numFmtId="0" fontId="251" fillId="55" borderId="170" xfId="0" applyFont="1" applyFill="1" applyBorder="1" applyAlignment="1">
      <alignment horizontal="center"/>
    </xf>
    <xf numFmtId="0" fontId="251" fillId="55" borderId="157" xfId="0" applyFont="1" applyFill="1" applyBorder="1" applyAlignment="1">
      <alignment horizontal="center"/>
    </xf>
    <xf numFmtId="0" fontId="18" fillId="0" borderId="170" xfId="0" applyFont="1" applyBorder="1" applyAlignment="1">
      <alignment horizontal="center"/>
    </xf>
    <xf numFmtId="0" fontId="18" fillId="55" borderId="110" xfId="0" applyFont="1" applyFill="1" applyBorder="1" applyAlignment="1">
      <alignment horizontal="center"/>
    </xf>
    <xf numFmtId="0" fontId="18" fillId="58" borderId="117" xfId="0" applyFont="1" applyFill="1" applyBorder="1" applyAlignment="1" applyProtection="1">
      <alignment horizontal="left" readingOrder="1"/>
      <protection locked="0"/>
    </xf>
    <xf numFmtId="0" fontId="18" fillId="58" borderId="116" xfId="0" applyFont="1" applyFill="1" applyBorder="1" applyAlignment="1" applyProtection="1">
      <alignment horizontal="left" readingOrder="1"/>
      <protection locked="0"/>
    </xf>
    <xf numFmtId="0" fontId="18" fillId="53" borderId="161" xfId="0" applyFont="1" applyFill="1" applyBorder="1" applyAlignment="1">
      <alignment horizontal="center"/>
    </xf>
    <xf numFmtId="0" fontId="18" fillId="53" borderId="140" xfId="0" applyFont="1" applyFill="1" applyBorder="1" applyAlignment="1">
      <alignment horizontal="center"/>
    </xf>
    <xf numFmtId="0" fontId="0" fillId="0" borderId="134" xfId="0" applyBorder="1" applyAlignment="1">
      <alignment horizontal="center" vertical="center" wrapText="1"/>
    </xf>
    <xf numFmtId="0" fontId="0" fillId="0" borderId="81" xfId="0" applyBorder="1" applyAlignment="1">
      <alignment horizontal="center" vertical="center" wrapText="1"/>
    </xf>
    <xf numFmtId="0" fontId="275" fillId="0" borderId="0" xfId="0" applyFont="1" applyAlignment="1">
      <alignment horizontal="left" wrapText="1"/>
    </xf>
    <xf numFmtId="0" fontId="0" fillId="0" borderId="146" xfId="0" applyBorder="1" applyAlignment="1" applyProtection="1">
      <alignment horizontal="right" vertical="center" wrapText="1"/>
      <protection locked="0"/>
    </xf>
    <xf numFmtId="0" fontId="0" fillId="0" borderId="101" xfId="0" applyBorder="1" applyAlignment="1">
      <alignment horizontal="right"/>
    </xf>
    <xf numFmtId="0" fontId="0" fillId="0" borderId="103" xfId="0" applyBorder="1" applyAlignment="1">
      <alignment horizontal="right"/>
    </xf>
    <xf numFmtId="0" fontId="0" fillId="0" borderId="77" xfId="0" applyBorder="1" applyAlignment="1">
      <alignment horizontal="left" vertical="center" wrapText="1" indent="1"/>
    </xf>
    <xf numFmtId="0" fontId="0" fillId="0" borderId="74" xfId="0" applyBorder="1" applyAlignment="1">
      <alignment horizontal="left" vertical="center" wrapText="1" indent="1"/>
    </xf>
    <xf numFmtId="0" fontId="0" fillId="0" borderId="182" xfId="0" applyBorder="1" applyAlignment="1">
      <alignment horizontal="left" indent="1"/>
    </xf>
    <xf numFmtId="0" fontId="0" fillId="0" borderId="75" xfId="0" applyBorder="1" applyAlignment="1">
      <alignment horizontal="left" indent="1"/>
    </xf>
    <xf numFmtId="0" fontId="0" fillId="0" borderId="73" xfId="0" applyBorder="1" applyAlignment="1">
      <alignment horizontal="left" indent="1"/>
    </xf>
    <xf numFmtId="0" fontId="0" fillId="0" borderId="74" xfId="0" applyBorder="1" applyAlignment="1">
      <alignment horizontal="left" indent="1"/>
    </xf>
    <xf numFmtId="0" fontId="18" fillId="0" borderId="0" xfId="0" applyFont="1" applyAlignment="1">
      <alignment horizontal="center"/>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12">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CC"/>
      <color rgb="FFFFFFCC"/>
      <color rgb="FFCCFFFF"/>
      <color rgb="FFFFCCCC"/>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2912767137133"/>
          <c:y val="4.224542982491631E-2"/>
          <c:w val="0.85651502922101985"/>
          <c:h val="0.78869828678408682"/>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Summary!$W$37:$AP$37</c:f>
              <c:strCache>
                <c:ptCount val="20"/>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pt idx="18">
                  <c:v>3Q 23E</c:v>
                </c:pt>
                <c:pt idx="19">
                  <c:v>4Q 23E</c:v>
                </c:pt>
              </c:strCache>
            </c:strRef>
          </c:cat>
          <c:val>
            <c:numRef>
              <c:f>Summary!$W$38:$AP$38</c:f>
              <c:numCache>
                <c:formatCode>_("$"* #,##0_);_("$"* \(#,##0\);_("$"* "-"??_);_(@_)</c:formatCode>
                <c:ptCount val="20"/>
                <c:pt idx="0">
                  <c:v>1290.5626814312532</c:v>
                </c:pt>
                <c:pt idx="1">
                  <c:v>1373.0390357217766</c:v>
                </c:pt>
                <c:pt idx="2">
                  <c:v>1437.803196756154</c:v>
                </c:pt>
                <c:pt idx="3">
                  <c:v>1645.6340858693904</c:v>
                </c:pt>
                <c:pt idx="4">
                  <c:v>1255.1067706752262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71268224"/>
        <c:axId val="71269760"/>
      </c:barChart>
      <c:catAx>
        <c:axId val="71268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1269760"/>
        <c:crossesAt val="0"/>
        <c:auto val="1"/>
        <c:lblAlgn val="ctr"/>
        <c:lblOffset val="100"/>
        <c:tickLblSkip val="1"/>
        <c:tickMarkSkip val="1"/>
        <c:noMultiLvlLbl val="0"/>
      </c:catAx>
      <c:valAx>
        <c:axId val="71269760"/>
        <c:scaling>
          <c:orientation val="minMax"/>
          <c:max val="3000"/>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1268224"/>
        <c:crosses val="autoZero"/>
        <c:crossBetween val="between"/>
        <c:majorUnit val="5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Summary!$C$102:$V$102</c:f>
              <c:strCache>
                <c:ptCount val="20"/>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pt idx="18">
                  <c:v>3Q 23E</c:v>
                </c:pt>
                <c:pt idx="19">
                  <c:v>4Q 23E</c:v>
                </c:pt>
              </c:strCache>
            </c:strRef>
          </c:cat>
          <c:val>
            <c:numRef>
              <c:f>Summary!$C$108:$V$108</c:f>
              <c:numCache>
                <c:formatCode>#,##0_);\(#,##0\)</c:formatCode>
                <c:ptCount val="20"/>
                <c:pt idx="0">
                  <c:v>27929.857142857141</c:v>
                </c:pt>
                <c:pt idx="1">
                  <c:v>32533.76923076923</c:v>
                </c:pt>
                <c:pt idx="2">
                  <c:v>54471</c:v>
                </c:pt>
                <c:pt idx="3">
                  <c:v>75571</c:v>
                </c:pt>
                <c:pt idx="4">
                  <c:v>124994</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130251776"/>
        <c:axId val="130278144"/>
      </c:lineChart>
      <c:catAx>
        <c:axId val="13025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0278144"/>
        <c:crosses val="autoZero"/>
        <c:auto val="1"/>
        <c:lblAlgn val="ctr"/>
        <c:lblOffset val="100"/>
        <c:noMultiLvlLbl val="0"/>
      </c:catAx>
      <c:valAx>
        <c:axId val="130278144"/>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30251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Summary!$C$102:$V$102</c:f>
              <c:strCache>
                <c:ptCount val="20"/>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pt idx="18">
                  <c:v>3Q 23E</c:v>
                </c:pt>
                <c:pt idx="19">
                  <c:v>4Q 23E</c:v>
                </c:pt>
              </c:strCache>
            </c:strRef>
          </c:cat>
          <c:val>
            <c:numRef>
              <c:f>Summary!$C$109:$V$109</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130307200"/>
        <c:axId val="130308736"/>
      </c:lineChart>
      <c:catAx>
        <c:axId val="13030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0308736"/>
        <c:crosses val="autoZero"/>
        <c:auto val="1"/>
        <c:lblAlgn val="ctr"/>
        <c:lblOffset val="100"/>
        <c:noMultiLvlLbl val="0"/>
      </c:catAx>
      <c:valAx>
        <c:axId val="130308736"/>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30307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 and estimates)</a:t>
            </a:r>
            <a:r>
              <a:rPr lang="en-US" baseline="0"/>
              <a:t> </a:t>
            </a:r>
            <a:endParaRPr lang="en-US"/>
          </a:p>
        </c:rich>
      </c:tx>
      <c:overlay val="0"/>
    </c:title>
    <c:autoTitleDeleted val="0"/>
    <c:plotArea>
      <c:layout>
        <c:manualLayout>
          <c:layoutTarget val="inner"/>
          <c:xMode val="edge"/>
          <c:yMode val="edge"/>
          <c:x val="0.1349630292058368"/>
          <c:y val="0.12491432387796446"/>
          <c:w val="0.85016645036752692"/>
          <c:h val="0.69194550932884702"/>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slides'!$AP$235:$BH$235</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pt idx="17">
                  <c:v>2Q23</c:v>
                </c:pt>
                <c:pt idx="18">
                  <c:v>3Q23</c:v>
                </c:pt>
              </c:strCache>
            </c:strRef>
          </c:cat>
          <c:val>
            <c:numRef>
              <c:f>'Charts for slides'!$AP$243:$BH$243</c:f>
              <c:numCache>
                <c:formatCode>_("$"* #,##0_);_("$"* \(#,##0\);_("$"* "-"??_);_(@_)</c:formatCode>
                <c:ptCount val="19"/>
                <c:pt idx="0">
                  <c:v>1290.5626814312532</c:v>
                </c:pt>
                <c:pt idx="1">
                  <c:v>1373.0390357217766</c:v>
                </c:pt>
                <c:pt idx="2">
                  <c:v>1437.803196756154</c:v>
                </c:pt>
                <c:pt idx="3">
                  <c:v>1645.6340858693904</c:v>
                </c:pt>
                <c:pt idx="4">
                  <c:v>1255.1067706752262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131408640"/>
        <c:axId val="131410176"/>
      </c:barChart>
      <c:catAx>
        <c:axId val="13140864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31410176"/>
        <c:crosses val="autoZero"/>
        <c:auto val="1"/>
        <c:lblAlgn val="ctr"/>
        <c:lblOffset val="100"/>
        <c:noMultiLvlLbl val="0"/>
      </c:catAx>
      <c:valAx>
        <c:axId val="13141017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2.7071018823478089E-3"/>
              <c:y val="0.22009896530009054"/>
            </c:manualLayout>
          </c:layout>
          <c:overlay val="0"/>
        </c:title>
        <c:numFmt formatCode="_(&quot;$&quot;* #,##0_);_(&quot;$&quot;* \(#,##0\);_(&quot;$&quot;* &quot;-&quot;??_);_(@_)" sourceLinked="1"/>
        <c:majorTickMark val="out"/>
        <c:minorTickMark val="none"/>
        <c:tickLblPos val="nextTo"/>
        <c:txPr>
          <a:bodyPr/>
          <a:lstStyle/>
          <a:p>
            <a:pPr>
              <a:defRPr sz="1200" b="0">
                <a:solidFill>
                  <a:sysClr val="windowText" lastClr="000000"/>
                </a:solidFill>
              </a:defRPr>
            </a:pPr>
            <a:endParaRPr lang="en-US"/>
          </a:p>
        </c:txPr>
        <c:crossAx val="13140864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slides'!$AC$118:$BG$118</c:f>
              <c:strCache>
                <c:ptCount val="31"/>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strCache>
            </c:strRef>
          </c:cat>
          <c:val>
            <c:numRef>
              <c:f>'Charts for slides'!$AC$119:$BG$119</c:f>
              <c:numCache>
                <c:formatCode>_("$"* #,##0.0_);_("$"* \(#,##0.0\);_("$"* "-"??_);_(@_)</c:formatCode>
                <c:ptCount val="31"/>
                <c:pt idx="0">
                  <c:v>163.39930527184882</c:v>
                </c:pt>
                <c:pt idx="1">
                  <c:v>163.33121217966382</c:v>
                </c:pt>
                <c:pt idx="2">
                  <c:v>169.10857217887155</c:v>
                </c:pt>
                <c:pt idx="3">
                  <c:v>228.19238617558759</c:v>
                </c:pt>
                <c:pt idx="4">
                  <c:v>188.35600610021788</c:v>
                </c:pt>
                <c:pt idx="5">
                  <c:v>195.07993838862561</c:v>
                </c:pt>
                <c:pt idx="6">
                  <c:v>212.08691124473302</c:v>
                </c:pt>
                <c:pt idx="7">
                  <c:v>287.1885976574527</c:v>
                </c:pt>
                <c:pt idx="8">
                  <c:v>243.72466114112751</c:v>
                </c:pt>
                <c:pt idx="9">
                  <c:v>253.04329716323252</c:v>
                </c:pt>
                <c:pt idx="10">
                  <c:v>260.61329792624559</c:v>
                </c:pt>
                <c:pt idx="11">
                  <c:v>321.43729676124661</c:v>
                </c:pt>
                <c:pt idx="12">
                  <c:v>271.38513509911718</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131448832"/>
        <c:axId val="131450368"/>
      </c:barChart>
      <c:catAx>
        <c:axId val="131448832"/>
        <c:scaling>
          <c:orientation val="minMax"/>
        </c:scaling>
        <c:delete val="0"/>
        <c:axPos val="b"/>
        <c:numFmt formatCode="General" sourceLinked="0"/>
        <c:majorTickMark val="out"/>
        <c:minorTickMark val="none"/>
        <c:tickLblPos val="nextTo"/>
        <c:crossAx val="131450368"/>
        <c:crosses val="autoZero"/>
        <c:auto val="1"/>
        <c:lblAlgn val="ctr"/>
        <c:lblOffset val="100"/>
        <c:noMultiLvlLbl val="0"/>
      </c:catAx>
      <c:valAx>
        <c:axId val="131450368"/>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13144883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a:t>
            </a:r>
          </a:p>
        </c:rich>
      </c:tx>
      <c:overlay val="0"/>
    </c:title>
    <c:autoTitleDeleted val="0"/>
    <c:plotArea>
      <c:layout>
        <c:manualLayout>
          <c:layoutTarget val="inner"/>
          <c:xMode val="edge"/>
          <c:yMode val="edge"/>
          <c:x val="0.10626616710352625"/>
          <c:y val="0.15374319727952543"/>
          <c:w val="0.86502094751254444"/>
          <c:h val="0.7063668446314052"/>
        </c:manualLayout>
      </c:layout>
      <c:barChart>
        <c:barDir val="col"/>
        <c:grouping val="clustered"/>
        <c:varyColors val="0"/>
        <c:ser>
          <c:idx val="0"/>
          <c:order val="0"/>
          <c:invertIfNegative val="0"/>
          <c:trendline>
            <c:trendlineType val="linear"/>
            <c:dispRSqr val="0"/>
            <c:dispEq val="0"/>
          </c:trendline>
          <c:cat>
            <c:strRef>
              <c:f>'Charts for slides'!$AC$118:$BG$118</c:f>
              <c:strCache>
                <c:ptCount val="31"/>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strCache>
            </c:strRef>
          </c:cat>
          <c:val>
            <c:numRef>
              <c:f>'Charts for slides'!$AC$120:$BG$120</c:f>
              <c:numCache>
                <c:formatCode>_("$"* #,##0.0_);_("$"* \(#,##0.0\);_("$"* "-"??_);_(@_)</c:formatCode>
                <c:ptCount val="31"/>
                <c:pt idx="0">
                  <c:v>10.852160571218885</c:v>
                </c:pt>
                <c:pt idx="1">
                  <c:v>11.98731732035149</c:v>
                </c:pt>
                <c:pt idx="2">
                  <c:v>13.848835684273709</c:v>
                </c:pt>
                <c:pt idx="3">
                  <c:v>14.744237460642893</c:v>
                </c:pt>
                <c:pt idx="4">
                  <c:v>12.131564705882353</c:v>
                </c:pt>
                <c:pt idx="5">
                  <c:v>14.69336208530806</c:v>
                </c:pt>
                <c:pt idx="6">
                  <c:v>16.52934557531173</c:v>
                </c:pt>
                <c:pt idx="7">
                  <c:v>19.550559576800129</c:v>
                </c:pt>
                <c:pt idx="8">
                  <c:v>23.785373360018106</c:v>
                </c:pt>
                <c:pt idx="9">
                  <c:v>23.383631448447723</c:v>
                </c:pt>
                <c:pt idx="10">
                  <c:v>23.568846238632418</c:v>
                </c:pt>
                <c:pt idx="11">
                  <c:v>25.506483331049125</c:v>
                </c:pt>
                <c:pt idx="12">
                  <c:v>20.252588296296295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131492480"/>
        <c:axId val="131498368"/>
      </c:barChart>
      <c:dateAx>
        <c:axId val="131492480"/>
        <c:scaling>
          <c:orientation val="minMax"/>
        </c:scaling>
        <c:delete val="0"/>
        <c:axPos val="b"/>
        <c:numFmt formatCode="General" sourceLinked="0"/>
        <c:majorTickMark val="out"/>
        <c:minorTickMark val="none"/>
        <c:tickLblPos val="nextTo"/>
        <c:txPr>
          <a:bodyPr/>
          <a:lstStyle/>
          <a:p>
            <a:pPr>
              <a:defRPr sz="900"/>
            </a:pPr>
            <a:endParaRPr lang="en-US"/>
          </a:p>
        </c:txPr>
        <c:crossAx val="131498368"/>
        <c:crosses val="autoZero"/>
        <c:auto val="0"/>
        <c:lblOffset val="100"/>
        <c:baseTimeUnit val="days"/>
        <c:majorUnit val="1"/>
      </c:dateAx>
      <c:valAx>
        <c:axId val="131498368"/>
        <c:scaling>
          <c:orientation val="minMax"/>
          <c:max val="50"/>
          <c:min val="0"/>
        </c:scaling>
        <c:delete val="0"/>
        <c:axPos val="l"/>
        <c:majorGridlines/>
        <c:title>
          <c:tx>
            <c:rich>
              <a:bodyPr rot="-5400000" vert="horz"/>
              <a:lstStyle/>
              <a:p>
                <a:pPr>
                  <a:defRPr/>
                </a:pPr>
                <a:r>
                  <a:rPr lang="en-US"/>
                  <a:t>$ billions</a:t>
                </a:r>
              </a:p>
            </c:rich>
          </c:tx>
          <c:layout>
            <c:manualLayout>
              <c:xMode val="edge"/>
              <c:yMode val="edge"/>
              <c:x val="1.0836506452134265E-2"/>
              <c:y val="0.35645004650934081"/>
            </c:manualLayout>
          </c:layout>
          <c:overlay val="0"/>
        </c:title>
        <c:numFmt formatCode="&quot;$&quot;#,##0" sourceLinked="0"/>
        <c:majorTickMark val="out"/>
        <c:minorTickMark val="none"/>
        <c:tickLblPos val="nextTo"/>
        <c:txPr>
          <a:bodyPr/>
          <a:lstStyle/>
          <a:p>
            <a:pPr>
              <a:defRPr sz="900"/>
            </a:pPr>
            <a:endParaRPr lang="en-US"/>
          </a:p>
        </c:txPr>
        <c:crossAx val="13149248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400">
                <a:latin typeface="+mn-lt"/>
              </a:rPr>
              <a:t>Large</a:t>
            </a:r>
            <a:r>
              <a:rPr lang="en-US" sz="1400" baseline="0">
                <a:latin typeface="+mn-lt"/>
              </a:rPr>
              <a:t> C</a:t>
            </a:r>
            <a:r>
              <a:rPr lang="en-US" sz="1400">
                <a:latin typeface="+mn-lt"/>
              </a:rPr>
              <a:t>ompany </a:t>
            </a:r>
            <a:r>
              <a:rPr lang="en-US" sz="1400" b="1" i="0" u="none" strike="noStrike" baseline="0">
                <a:effectLst/>
                <a:latin typeface="+mn-lt"/>
              </a:rPr>
              <a:t>Revenue ($ Million) </a:t>
            </a:r>
            <a:endParaRPr lang="en-US" sz="1400">
              <a:latin typeface="+mn-lt"/>
            </a:endParaRPr>
          </a:p>
        </c:rich>
      </c:tx>
      <c:layout>
        <c:manualLayout>
          <c:xMode val="edge"/>
          <c:yMode val="edge"/>
          <c:x val="0.31727146808089096"/>
          <c:y val="8.0442155807995287E-3"/>
        </c:manualLayout>
      </c:layout>
      <c:overlay val="0"/>
    </c:title>
    <c:autoTitleDeleted val="0"/>
    <c:plotArea>
      <c:layout>
        <c:manualLayout>
          <c:layoutTarget val="inner"/>
          <c:xMode val="edge"/>
          <c:yMode val="edge"/>
          <c:x val="0.11638411528715024"/>
          <c:y val="9.6189778429684375E-2"/>
          <c:w val="0.85190319868365594"/>
          <c:h val="0.66463329157203332"/>
        </c:manualLayout>
      </c:layout>
      <c:lineChart>
        <c:grouping val="standard"/>
        <c:varyColors val="0"/>
        <c:ser>
          <c:idx val="6"/>
          <c:order val="0"/>
          <c:tx>
            <c:strRef>
              <c:f>'Network equip'!$B$15</c:f>
              <c:strCache>
                <c:ptCount val="1"/>
                <c:pt idx="0">
                  <c:v>Huawei (Carrier &amp; Enterprise) </c:v>
                </c:pt>
              </c:strCache>
            </c:strRef>
          </c:tx>
          <c:spPr>
            <a:ln>
              <a:solidFill>
                <a:schemeClr val="accent1"/>
              </a:solidFill>
            </a:ln>
          </c:spPr>
          <c:marker>
            <c:symbol val="diamond"/>
            <c:size val="7"/>
            <c:spPr>
              <a:solidFill>
                <a:schemeClr val="accent1"/>
              </a:solidFill>
              <a:ln>
                <a:solidFill>
                  <a:schemeClr val="accent1"/>
                </a:solidFill>
              </a:ln>
            </c:spPr>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equip'!$C$15:$AG$15</c:f>
              <c:numCache>
                <c:formatCode>"$"#,##0_);\("$"#,##0\)</c:formatCode>
                <c:ptCount val="19"/>
                <c:pt idx="0">
                  <c:v>13124.884155884305</c:v>
                </c:pt>
              </c:numCache>
            </c:numRef>
          </c:val>
          <c:smooth val="0"/>
          <c:extLst>
            <c:ext xmlns:c16="http://schemas.microsoft.com/office/drawing/2014/chart" uri="{C3380CC4-5D6E-409C-BE32-E72D297353CC}">
              <c16:uniqueId val="{00000000-30FD-DD4C-A21F-54102342C9B1}"/>
            </c:ext>
          </c:extLst>
        </c:ser>
        <c:ser>
          <c:idx val="8"/>
          <c:order val="1"/>
          <c:tx>
            <c:strRef>
              <c:f>'Network equip'!$B$17</c:f>
              <c:strCache>
                <c:ptCount val="1"/>
                <c:pt idx="0">
                  <c:v>Nokia Networks</c:v>
                </c:pt>
              </c:strCache>
            </c:strRef>
          </c:tx>
          <c:spPr>
            <a:ln cap="sq">
              <a:solidFill>
                <a:schemeClr val="accent3"/>
              </a:solidFill>
            </a:ln>
          </c:spPr>
          <c:marker>
            <c:symbol val="square"/>
            <c:size val="7"/>
            <c:spPr>
              <a:solidFill>
                <a:schemeClr val="accent3"/>
              </a:solidFill>
              <a:ln>
                <a:solidFill>
                  <a:schemeClr val="accent3"/>
                </a:solidFill>
              </a:ln>
            </c:spPr>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equip'!$C$17:$AG$17</c:f>
              <c:numCache>
                <c:formatCode>"$"#,##0_);\("$"#,##0\)</c:formatCode>
                <c:ptCount val="19"/>
                <c:pt idx="0">
                  <c:v>4478.2559327807421</c:v>
                </c:pt>
              </c:numCache>
            </c:numRef>
          </c:val>
          <c:smooth val="0"/>
          <c:extLst>
            <c:ext xmlns:c16="http://schemas.microsoft.com/office/drawing/2014/chart" uri="{C3380CC4-5D6E-409C-BE32-E72D297353CC}">
              <c16:uniqueId val="{00000001-30FD-DD4C-A21F-54102342C9B1}"/>
            </c:ext>
          </c:extLst>
        </c:ser>
        <c:ser>
          <c:idx val="4"/>
          <c:order val="2"/>
          <c:tx>
            <c:strRef>
              <c:f>'Network equip'!$B$12</c:f>
              <c:strCache>
                <c:ptCount val="1"/>
                <c:pt idx="0">
                  <c:v>Ericsson (Networks)</c:v>
                </c:pt>
              </c:strCache>
            </c:strRef>
          </c:tx>
          <c:spPr>
            <a:ln>
              <a:solidFill>
                <a:schemeClr val="accent6"/>
              </a:solidFill>
            </a:ln>
          </c:spPr>
          <c:marker>
            <c:symbol val="circle"/>
            <c:size val="7"/>
            <c:spPr>
              <a:solidFill>
                <a:schemeClr val="accent6"/>
              </a:solidFill>
              <a:ln>
                <a:solidFill>
                  <a:schemeClr val="accent6"/>
                </a:solidFill>
              </a:ln>
            </c:spPr>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equip'!$C$12:$AG$12</c:f>
              <c:numCache>
                <c:formatCode>"$"#,##0_);\("$"#,##0\)</c:formatCode>
                <c:ptCount val="19"/>
                <c:pt idx="0">
                  <c:v>3649.0757694655163</c:v>
                </c:pt>
              </c:numCache>
            </c:numRef>
          </c:val>
          <c:smooth val="0"/>
          <c:extLst>
            <c:ext xmlns:c16="http://schemas.microsoft.com/office/drawing/2014/chart" uri="{C3380CC4-5D6E-409C-BE32-E72D297353CC}">
              <c16:uniqueId val="{00000002-30FD-DD4C-A21F-54102342C9B1}"/>
            </c:ext>
          </c:extLst>
        </c:ser>
        <c:ser>
          <c:idx val="10"/>
          <c:order val="3"/>
          <c:tx>
            <c:strRef>
              <c:f>'Network equip'!$B$19</c:f>
              <c:strCache>
                <c:ptCount val="1"/>
                <c:pt idx="0">
                  <c:v>ZTE (Carrier segment)</c:v>
                </c:pt>
              </c:strCache>
            </c:strRef>
          </c:tx>
          <c:spPr>
            <a:ln>
              <a:solidFill>
                <a:schemeClr val="accent4"/>
              </a:solidFill>
            </a:ln>
          </c:spPr>
          <c:marker>
            <c:symbol val="triangle"/>
            <c:size val="7"/>
            <c:spPr>
              <a:solidFill>
                <a:schemeClr val="accent4"/>
              </a:solidFill>
              <a:ln w="19050">
                <a:solidFill>
                  <a:schemeClr val="accent4"/>
                </a:solidFill>
              </a:ln>
            </c:spPr>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equip'!$C$19:$AG$19</c:f>
              <c:numCache>
                <c:formatCode>"$"#,##0_);\("$"#,##0\)</c:formatCode>
                <c:ptCount val="19"/>
                <c:pt idx="0">
                  <c:v>2468.4391538313293</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132394368"/>
        <c:axId val="132396544"/>
      </c:lineChart>
      <c:dateAx>
        <c:axId val="132394368"/>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32396544"/>
        <c:crosses val="autoZero"/>
        <c:auto val="0"/>
        <c:lblOffset val="100"/>
        <c:baseTimeUnit val="days"/>
        <c:majorUnit val="1"/>
      </c:dateAx>
      <c:valAx>
        <c:axId val="132396544"/>
        <c:scaling>
          <c:orientation val="minMax"/>
        </c:scaling>
        <c:delete val="0"/>
        <c:axPos val="l"/>
        <c:majorGridlines/>
        <c:numFmt formatCode="&quot;$&quot;#,##0" sourceLinked="0"/>
        <c:majorTickMark val="out"/>
        <c:minorTickMark val="none"/>
        <c:tickLblPos val="nextTo"/>
        <c:txPr>
          <a:bodyPr/>
          <a:lstStyle/>
          <a:p>
            <a:pPr>
              <a:defRPr sz="1100" b="0"/>
            </a:pPr>
            <a:endParaRPr lang="en-US"/>
          </a:p>
        </c:txPr>
        <c:crossAx val="132394368"/>
        <c:crosses val="autoZero"/>
        <c:crossBetween val="between"/>
      </c:valAx>
      <c:spPr>
        <a:noFill/>
        <a:ln w="25400">
          <a:noFill/>
        </a:ln>
      </c:spPr>
    </c:plotArea>
    <c:legend>
      <c:legendPos val="b"/>
      <c:layout>
        <c:manualLayout>
          <c:xMode val="edge"/>
          <c:yMode val="edge"/>
          <c:x val="3.5312067612830331E-2"/>
          <c:y val="0.91549768641137841"/>
          <c:w val="0.93855564632679356"/>
          <c:h val="7.3132081215092862E-2"/>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 Top 15 CSPs</a:t>
            </a:r>
            <a:endParaRPr lang="en-US" b="0"/>
          </a:p>
        </c:rich>
      </c:tx>
      <c:overlay val="0"/>
    </c:title>
    <c:autoTitleDeleted val="0"/>
    <c:plotArea>
      <c:layout>
        <c:manualLayout>
          <c:layoutTarget val="inner"/>
          <c:xMode val="edge"/>
          <c:yMode val="edge"/>
          <c:x val="0.14647932635761401"/>
          <c:y val="0.16066819857018899"/>
          <c:w val="0.82480750024563854"/>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slides'!$AC$41:$BG$41</c:f>
              <c:strCache>
                <c:ptCount val="31"/>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strCache>
            </c:strRef>
          </c:cat>
          <c:val>
            <c:numRef>
              <c:f>'Charts for slides'!$AC$43:$BG$43</c:f>
              <c:numCache>
                <c:formatCode>_("$"* #,##0.0_);_("$"* \(#,##0.0\);_("$"* "-"??_);_(@_)</c:formatCode>
                <c:ptCount val="31"/>
                <c:pt idx="0" formatCode="_(&quot;$&quot;* #,##0_);_(&quot;$&quot;* \(#,##0\);_(&quot;$&quot;* &quot;-&quot;??_);_(@_)">
                  <c:v>41.543394289447761</c:v>
                </c:pt>
                <c:pt idx="1">
                  <c:v>38.63223808056361</c:v>
                </c:pt>
                <c:pt idx="2">
                  <c:v>46.199286706666406</c:v>
                </c:pt>
                <c:pt idx="3">
                  <c:v>52.676094867784478</c:v>
                </c:pt>
                <c:pt idx="4">
                  <c:v>40.726748128220464</c:v>
                </c:pt>
                <c:pt idx="5">
                  <c:v>39.879170995759523</c:v>
                </c:pt>
                <c:pt idx="6">
                  <c:v>44.992731110024629</c:v>
                </c:pt>
                <c:pt idx="7">
                  <c:v>48.358931244240559</c:v>
                </c:pt>
                <c:pt idx="8">
                  <c:v>43.031263112969</c:v>
                </c:pt>
                <c:pt idx="9">
                  <c:v>39.70196664750258</c:v>
                </c:pt>
                <c:pt idx="10">
                  <c:v>43.620230928798811</c:v>
                </c:pt>
                <c:pt idx="11">
                  <c:v>44.324395250174234</c:v>
                </c:pt>
                <c:pt idx="12">
                  <c:v>44.228585234910057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132430848"/>
        <c:axId val="132436736"/>
      </c:barChart>
      <c:catAx>
        <c:axId val="132430848"/>
        <c:scaling>
          <c:orientation val="minMax"/>
        </c:scaling>
        <c:delete val="0"/>
        <c:axPos val="b"/>
        <c:numFmt formatCode="General" sourceLinked="0"/>
        <c:majorTickMark val="out"/>
        <c:minorTickMark val="none"/>
        <c:tickLblPos val="nextTo"/>
        <c:txPr>
          <a:bodyPr/>
          <a:lstStyle/>
          <a:p>
            <a:pPr>
              <a:defRPr sz="900"/>
            </a:pPr>
            <a:endParaRPr lang="en-US"/>
          </a:p>
        </c:txPr>
        <c:crossAx val="132436736"/>
        <c:crosses val="autoZero"/>
        <c:auto val="1"/>
        <c:lblAlgn val="ctr"/>
        <c:lblOffset val="100"/>
        <c:tickLblSkip val="2"/>
        <c:noMultiLvlLbl val="0"/>
      </c:catAx>
      <c:valAx>
        <c:axId val="132436736"/>
        <c:scaling>
          <c:orientation val="minMax"/>
        </c:scaling>
        <c:delete val="0"/>
        <c:axPos val="l"/>
        <c:majorGridlines/>
        <c:title>
          <c:tx>
            <c:rich>
              <a:bodyPr rot="-5400000" vert="horz"/>
              <a:lstStyle/>
              <a:p>
                <a:pPr>
                  <a:defRPr/>
                </a:pPr>
                <a:r>
                  <a:rPr lang="en-US"/>
                  <a:t>$ billions</a:t>
                </a:r>
              </a:p>
            </c:rich>
          </c:tx>
          <c:layout>
            <c:manualLayout>
              <c:xMode val="edge"/>
              <c:yMode val="edge"/>
              <c:x val="2.9978056292471106E-2"/>
              <c:y val="0.37498854250835162"/>
            </c:manualLayout>
          </c:layout>
          <c:overlay val="0"/>
        </c:title>
        <c:numFmt formatCode="&quot;$&quot;#,##0" sourceLinked="0"/>
        <c:majorTickMark val="out"/>
        <c:minorTickMark val="none"/>
        <c:tickLblPos val="nextTo"/>
        <c:crossAx val="132430848"/>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r>
              <a:rPr lang="en-US" baseline="0"/>
              <a:t> </a:t>
            </a:r>
            <a:r>
              <a:rPr lang="en-US"/>
              <a:t>Top 15 CSPs</a:t>
            </a:r>
          </a:p>
        </c:rich>
      </c:tx>
      <c:layout>
        <c:manualLayout>
          <c:xMode val="edge"/>
          <c:yMode val="edge"/>
          <c:x val="0.30410692115213656"/>
          <c:y val="1.2322290600980714E-2"/>
        </c:manualLayout>
      </c:layout>
      <c:overlay val="0"/>
    </c:title>
    <c:autoTitleDeleted val="0"/>
    <c:plotArea>
      <c:layout>
        <c:manualLayout>
          <c:layoutTarget val="inner"/>
          <c:xMode val="edge"/>
          <c:yMode val="edge"/>
          <c:x val="0.12587326231090923"/>
          <c:y val="0.156738633749711"/>
          <c:w val="0.83982221664140055"/>
          <c:h val="0.65832807151988104"/>
        </c:manualLayout>
      </c:layout>
      <c:barChart>
        <c:barDir val="col"/>
        <c:grouping val="clustered"/>
        <c:varyColors val="0"/>
        <c:ser>
          <c:idx val="0"/>
          <c:order val="0"/>
          <c:invertIfNegative val="0"/>
          <c:trendline>
            <c:spPr>
              <a:ln w="25400"/>
            </c:spPr>
            <c:trendlineType val="linear"/>
            <c:dispRSqr val="0"/>
            <c:dispEq val="0"/>
          </c:trendline>
          <c:cat>
            <c:strRef>
              <c:f>'Charts for slides'!$AC$41:$BG$41</c:f>
              <c:strCache>
                <c:ptCount val="31"/>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strCache>
            </c:strRef>
          </c:cat>
          <c:val>
            <c:numRef>
              <c:f>'Charts for slides'!$AC$42:$BG$42</c:f>
              <c:numCache>
                <c:formatCode>_("$"* #,##0_);_("$"* \(#,##0\);_("$"* "-"??_);_(@_)</c:formatCode>
                <c:ptCount val="31"/>
                <c:pt idx="0">
                  <c:v>266.13446598778597</c:v>
                </c:pt>
                <c:pt idx="1">
                  <c:v>267.42236291425485</c:v>
                </c:pt>
                <c:pt idx="2">
                  <c:v>268.03736104130104</c:v>
                </c:pt>
                <c:pt idx="3">
                  <c:v>272.60502706930936</c:v>
                </c:pt>
                <c:pt idx="4">
                  <c:v>258.57524159976583</c:v>
                </c:pt>
                <c:pt idx="5">
                  <c:v>264.6196843036526</c:v>
                </c:pt>
                <c:pt idx="6">
                  <c:v>267.78465743659547</c:v>
                </c:pt>
                <c:pt idx="7">
                  <c:v>277.47923938465806</c:v>
                </c:pt>
                <c:pt idx="8">
                  <c:v>279.2968013971568</c:v>
                </c:pt>
                <c:pt idx="9">
                  <c:v>274.53721138773528</c:v>
                </c:pt>
                <c:pt idx="10">
                  <c:v>277.11820147654913</c:v>
                </c:pt>
                <c:pt idx="11">
                  <c:v>281.45343653197421</c:v>
                </c:pt>
                <c:pt idx="12">
                  <c:v>278.37398347482076</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132470656"/>
        <c:axId val="132472192"/>
      </c:barChart>
      <c:catAx>
        <c:axId val="132470656"/>
        <c:scaling>
          <c:orientation val="minMax"/>
        </c:scaling>
        <c:delete val="0"/>
        <c:axPos val="b"/>
        <c:numFmt formatCode="General" sourceLinked="0"/>
        <c:majorTickMark val="out"/>
        <c:minorTickMark val="none"/>
        <c:tickLblPos val="nextTo"/>
        <c:txPr>
          <a:bodyPr/>
          <a:lstStyle/>
          <a:p>
            <a:pPr>
              <a:defRPr sz="900"/>
            </a:pPr>
            <a:endParaRPr lang="en-US"/>
          </a:p>
        </c:txPr>
        <c:crossAx val="132472192"/>
        <c:crosses val="autoZero"/>
        <c:auto val="1"/>
        <c:lblAlgn val="ctr"/>
        <c:lblOffset val="100"/>
        <c:tickLblSkip val="2"/>
        <c:noMultiLvlLbl val="0"/>
      </c:catAx>
      <c:valAx>
        <c:axId val="132472192"/>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132470656"/>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Top 7</a:t>
            </a:r>
            <a:endParaRPr lang="en-US" sz="1400" b="1">
              <a:effectLst/>
            </a:endParaRPr>
          </a:p>
        </c:rich>
      </c:tx>
      <c:overlay val="0"/>
    </c:title>
    <c:autoTitleDeleted val="0"/>
    <c:plotArea>
      <c:layout>
        <c:manualLayout>
          <c:layoutTarget val="inner"/>
          <c:xMode val="edge"/>
          <c:yMode val="edge"/>
          <c:x val="9.4022556005867383E-2"/>
          <c:y val="0.10290819864984807"/>
          <c:w val="0.85464320589780152"/>
          <c:h val="0.58944604076844553"/>
        </c:manualLayout>
      </c:layout>
      <c:lineChart>
        <c:grouping val="standard"/>
        <c:varyColors val="0"/>
        <c:ser>
          <c:idx val="6"/>
          <c:order val="0"/>
          <c:tx>
            <c:strRef>
              <c:f>'Datacom equip'!$B$10</c:f>
              <c:strCache>
                <c:ptCount val="1"/>
                <c:pt idx="0">
                  <c:v>Cisco - Infrastructure Platforms</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equip'!$K$10:$AG$10</c:f>
              <c:numCache>
                <c:formatCode>"$"#,##0_);\("$"#,##0\)</c:formatCode>
                <c:ptCount val="19"/>
              </c:numCache>
            </c:numRef>
          </c:val>
          <c:smooth val="0"/>
          <c:extLst>
            <c:ext xmlns:c16="http://schemas.microsoft.com/office/drawing/2014/chart" uri="{C3380CC4-5D6E-409C-BE32-E72D297353CC}">
              <c16:uniqueId val="{00000000-4A7B-5040-8905-D48BF48BB234}"/>
            </c:ext>
          </c:extLst>
        </c:ser>
        <c:ser>
          <c:idx val="0"/>
          <c:order val="1"/>
          <c:tx>
            <c:strRef>
              <c:f>'Datacom equip'!$B$11</c:f>
              <c:strCache>
                <c:ptCount val="1"/>
                <c:pt idx="0">
                  <c:v>Dell - Servers, Networking, Storage</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equip'!$K$11:$AG$11</c:f>
              <c:numCache>
                <c:formatCode>"$"#,##0_);\("$"#,##0\)</c:formatCode>
                <c:ptCount val="19"/>
              </c:numCache>
            </c:numRef>
          </c:val>
          <c:smooth val="0"/>
          <c:extLst>
            <c:ext xmlns:c16="http://schemas.microsoft.com/office/drawing/2014/chart" uri="{C3380CC4-5D6E-409C-BE32-E72D297353CC}">
              <c16:uniqueId val="{00000001-4A7B-5040-8905-D48BF48BB234}"/>
            </c:ext>
          </c:extLst>
        </c:ser>
        <c:ser>
          <c:idx val="3"/>
          <c:order val="2"/>
          <c:tx>
            <c:strRef>
              <c:f>'Datacom equip'!$B$14</c:f>
              <c:strCache>
                <c:ptCount val="1"/>
                <c:pt idx="0">
                  <c:v>HPE - Hybrid IT &amp; IE</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equip'!$K$14:$AG$14</c:f>
              <c:numCache>
                <c:formatCode>"$"#,##0_);\("$"#,##0\)</c:formatCode>
                <c:ptCount val="19"/>
              </c:numCache>
            </c:numRef>
          </c:val>
          <c:smooth val="0"/>
          <c:extLst>
            <c:ext xmlns:c16="http://schemas.microsoft.com/office/drawing/2014/chart" uri="{C3380CC4-5D6E-409C-BE32-E72D297353CC}">
              <c16:uniqueId val="{00000003-4A7B-5040-8905-D48BF48BB234}"/>
            </c:ext>
          </c:extLst>
        </c:ser>
        <c:ser>
          <c:idx val="2"/>
          <c:order val="3"/>
          <c:tx>
            <c:strRef>
              <c:f>'Datacom equip'!$B$13</c:f>
              <c:strCache>
                <c:ptCount val="1"/>
                <c:pt idx="0">
                  <c:v>H3C</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equip'!$K$13:$AG$13</c:f>
              <c:numCache>
                <c:formatCode>"$"#,##0_);\("$"#,##0\)</c:formatCode>
                <c:ptCount val="19"/>
              </c:numCache>
            </c:numRef>
          </c:val>
          <c:smooth val="0"/>
          <c:extLst>
            <c:ext xmlns:c16="http://schemas.microsoft.com/office/drawing/2014/chart" uri="{C3380CC4-5D6E-409C-BE32-E72D297353CC}">
              <c16:uniqueId val="{00000002-4A7B-5040-8905-D48BF48BB234}"/>
            </c:ext>
          </c:extLst>
        </c:ser>
        <c:ser>
          <c:idx val="4"/>
          <c:order val="4"/>
          <c:tx>
            <c:strRef>
              <c:f>'Datacom equip'!$B$15</c:f>
              <c:strCache>
                <c:ptCount val="1"/>
                <c:pt idx="0">
                  <c:v>IBM - Systems</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equip'!$K$15:$AG$15</c:f>
              <c:numCache>
                <c:formatCode>"$"#,##0_);\("$"#,##0\)</c:formatCode>
                <c:ptCount val="19"/>
              </c:numCache>
            </c:numRef>
          </c:val>
          <c:smooth val="0"/>
          <c:extLst>
            <c:ext xmlns:c16="http://schemas.microsoft.com/office/drawing/2014/chart" uri="{C3380CC4-5D6E-409C-BE32-E72D297353CC}">
              <c16:uniqueId val="{00000002-9B46-46F4-A9E1-A54DA6A57CEF}"/>
            </c:ext>
          </c:extLst>
        </c:ser>
        <c:ser>
          <c:idx val="5"/>
          <c:order val="5"/>
          <c:tx>
            <c:strRef>
              <c:f>'Datacom equip'!$B$16</c:f>
              <c:strCache>
                <c:ptCount val="1"/>
                <c:pt idx="0">
                  <c:v>Inspur</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equip'!$K$16:$AG$16</c:f>
              <c:numCache>
                <c:formatCode>"$"#,##0_);\("$"#,##0\)</c:formatCode>
                <c:ptCount val="19"/>
              </c:numCache>
            </c:numRef>
          </c:val>
          <c:smooth val="0"/>
          <c:extLst>
            <c:ext xmlns:c16="http://schemas.microsoft.com/office/drawing/2014/chart" uri="{C3380CC4-5D6E-409C-BE32-E72D297353CC}">
              <c16:uniqueId val="{00000004-4A7B-5040-8905-D48BF48BB234}"/>
            </c:ext>
          </c:extLst>
        </c:ser>
        <c:ser>
          <c:idx val="1"/>
          <c:order val="6"/>
          <c:tx>
            <c:strRef>
              <c:f>'Datacom equip'!$B$18</c:f>
              <c:strCache>
                <c:ptCount val="1"/>
                <c:pt idx="0">
                  <c:v>Lenovo - Datacenter Group</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equip'!$K$18:$AG$18</c:f>
              <c:numCache>
                <c:formatCode>"$"#,##0_);\("$"#,##0\)</c:formatCode>
                <c:ptCount val="19"/>
              </c:numCache>
            </c:numRef>
          </c:val>
          <c:smooth val="0"/>
          <c:extLst>
            <c:ext xmlns:c16="http://schemas.microsoft.com/office/drawing/2014/chart" uri="{C3380CC4-5D6E-409C-BE32-E72D297353CC}">
              <c16:uniqueId val="{00000001-9B46-46F4-A9E1-A54DA6A57CEF}"/>
            </c:ext>
          </c:extLst>
        </c:ser>
        <c:dLbls>
          <c:showLegendKey val="0"/>
          <c:showVal val="0"/>
          <c:showCatName val="0"/>
          <c:showSerName val="0"/>
          <c:showPercent val="0"/>
          <c:showBubbleSize val="0"/>
        </c:dLbls>
        <c:marker val="1"/>
        <c:smooth val="0"/>
        <c:axId val="132536960"/>
        <c:axId val="132542848"/>
      </c:lineChart>
      <c:catAx>
        <c:axId val="132536960"/>
        <c:scaling>
          <c:orientation val="minMax"/>
        </c:scaling>
        <c:delete val="0"/>
        <c:axPos val="b"/>
        <c:numFmt formatCode="General" sourceLinked="0"/>
        <c:majorTickMark val="out"/>
        <c:minorTickMark val="none"/>
        <c:tickLblPos val="nextTo"/>
        <c:txPr>
          <a:bodyPr/>
          <a:lstStyle/>
          <a:p>
            <a:pPr>
              <a:defRPr sz="1200" b="0"/>
            </a:pPr>
            <a:endParaRPr lang="en-US"/>
          </a:p>
        </c:txPr>
        <c:crossAx val="132542848"/>
        <c:crosses val="autoZero"/>
        <c:auto val="1"/>
        <c:lblAlgn val="ctr"/>
        <c:lblOffset val="100"/>
        <c:noMultiLvlLbl val="0"/>
      </c:catAx>
      <c:valAx>
        <c:axId val="132542848"/>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2536960"/>
        <c:crosses val="autoZero"/>
        <c:crossBetween val="midCat"/>
      </c:valAx>
    </c:plotArea>
    <c:legend>
      <c:legendPos val="b"/>
      <c:layout>
        <c:manualLayout>
          <c:xMode val="edge"/>
          <c:yMode val="edge"/>
          <c:x val="1.8118490147344565E-2"/>
          <c:y val="0.83159634925659598"/>
          <c:w val="0.97058627724479718"/>
          <c:h val="0.16155587352678821"/>
        </c:manualLayout>
      </c:layout>
      <c:overlay val="0"/>
      <c:txPr>
        <a:bodyPr anchor="b" anchorCtr="1"/>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t>Optical Revenue $100 to $200 mn</a:t>
            </a:r>
          </a:p>
        </c:rich>
      </c:tx>
      <c:layout>
        <c:manualLayout>
          <c:xMode val="edge"/>
          <c:yMode val="edge"/>
          <c:x val="0.32267644176056937"/>
          <c:y val="8.0515297906602248E-3"/>
        </c:manualLayout>
      </c:layout>
      <c:overlay val="1"/>
    </c:title>
    <c:autoTitleDeleted val="0"/>
    <c:plotArea>
      <c:layout>
        <c:manualLayout>
          <c:layoutTarget val="inner"/>
          <c:xMode val="edge"/>
          <c:yMode val="edge"/>
          <c:x val="8.7886778619199163E-2"/>
          <c:y val="9.9369511696683038E-2"/>
          <c:w val="0.89401728672572711"/>
          <c:h val="0.65938093810312204"/>
        </c:manualLayout>
      </c:layout>
      <c:lineChart>
        <c:grouping val="standard"/>
        <c:varyColors val="0"/>
        <c:ser>
          <c:idx val="0"/>
          <c:order val="0"/>
          <c:tx>
            <c:v>HGG</c:v>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vendors'!$O$17:$AG$17</c:f>
              <c:numCache>
                <c:formatCode>"$"#,##0_);\("$"#,##0\)</c:formatCode>
                <c:ptCount val="19"/>
                <c:pt idx="0">
                  <c:v>72</c:v>
                </c:pt>
              </c:numCache>
            </c:numRef>
          </c:val>
          <c:smooth val="0"/>
          <c:extLst>
            <c:ext xmlns:c16="http://schemas.microsoft.com/office/drawing/2014/chart" uri="{C3380CC4-5D6E-409C-BE32-E72D297353CC}">
              <c16:uniqueId val="{00000001-5E60-4D90-ADFD-21F716B244E6}"/>
            </c:ext>
          </c:extLst>
        </c:ser>
        <c:ser>
          <c:idx val="5"/>
          <c:order val="1"/>
          <c:tx>
            <c:v>Hisense</c:v>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vendors'!$O$16:$AG$16</c:f>
              <c:numCache>
                <c:formatCode>"$"#,##0_);\("$"#,##0\)</c:formatCode>
                <c:ptCount val="19"/>
                <c:pt idx="0">
                  <c:v>137.75</c:v>
                </c:pt>
              </c:numCache>
            </c:numRef>
          </c:val>
          <c:smooth val="0"/>
          <c:extLst>
            <c:ext xmlns:c16="http://schemas.microsoft.com/office/drawing/2014/chart" uri="{C3380CC4-5D6E-409C-BE32-E72D297353CC}">
              <c16:uniqueId val="{00000002-16C8-48EC-A3EC-FAEAFE42ADF3}"/>
            </c:ext>
          </c:extLst>
        </c:ser>
        <c:ser>
          <c:idx val="7"/>
          <c:order val="2"/>
          <c:tx>
            <c:v>Sumitomo</c:v>
          </c:tx>
          <c:marker>
            <c:symbol val="diamond"/>
            <c:size val="7"/>
          </c:marker>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vendors'!$O$25:$AG$25</c:f>
              <c:numCache>
                <c:formatCode>"$"#,##0_);\("$"#,##0\)</c:formatCode>
                <c:ptCount val="19"/>
                <c:pt idx="0">
                  <c:v>157</c:v>
                </c:pt>
              </c:numCache>
            </c:numRef>
          </c:val>
          <c:smooth val="0"/>
          <c:extLst>
            <c:ext xmlns:c16="http://schemas.microsoft.com/office/drawing/2014/chart" uri="{C3380CC4-5D6E-409C-BE32-E72D297353CC}">
              <c16:uniqueId val="{00000000-5E60-4D90-ADFD-21F716B244E6}"/>
            </c:ext>
          </c:extLst>
        </c:ser>
        <c:ser>
          <c:idx val="4"/>
          <c:order val="3"/>
          <c:tx>
            <c:strRef>
              <c:f>'OC vendors'!$B$14</c:f>
              <c:strCache>
                <c:ptCount val="1"/>
                <c:pt idx="0">
                  <c:v>Eoptolink</c:v>
                </c:pt>
              </c:strCache>
            </c:strRef>
          </c:tx>
          <c:marker>
            <c:symbol val="square"/>
            <c:size val="7"/>
          </c:marker>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vendors'!$O$14:$AG$14</c:f>
              <c:numCache>
                <c:formatCode>"$"#,##0_);\("$"#,##0\)</c:formatCode>
                <c:ptCount val="19"/>
                <c:pt idx="0">
                  <c:v>33.206338852898881</c:v>
                </c:pt>
              </c:numCache>
            </c:numRef>
          </c:val>
          <c:smooth val="0"/>
          <c:extLst>
            <c:ext xmlns:c16="http://schemas.microsoft.com/office/drawing/2014/chart" uri="{C3380CC4-5D6E-409C-BE32-E72D297353CC}">
              <c16:uniqueId val="{00000001-16C8-48EC-A3EC-FAEAFE42ADF3}"/>
            </c:ext>
          </c:extLst>
        </c:ser>
        <c:ser>
          <c:idx val="1"/>
          <c:order val="4"/>
          <c:tx>
            <c:strRef>
              <c:f>'OC vendors'!$B$13</c:f>
              <c:strCache>
                <c:ptCount val="1"/>
                <c:pt idx="0">
                  <c:v>CIG</c:v>
                </c:pt>
              </c:strCache>
            </c:strRef>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vendors'!$O$13:$AG$13</c:f>
              <c:numCache>
                <c:formatCode>"$"#,##0_);\("$"#,##0\)</c:formatCode>
                <c:ptCount val="19"/>
                <c:pt idx="0">
                  <c:v>102.28738307366173</c:v>
                </c:pt>
              </c:numCache>
            </c:numRef>
          </c:val>
          <c:smooth val="0"/>
          <c:extLst>
            <c:ext xmlns:c16="http://schemas.microsoft.com/office/drawing/2014/chart" uri="{C3380CC4-5D6E-409C-BE32-E72D297353CC}">
              <c16:uniqueId val="{00000000-16C8-48EC-A3EC-FAEAFE42ADF3}"/>
            </c:ext>
          </c:extLst>
        </c:ser>
        <c:dLbls>
          <c:showLegendKey val="0"/>
          <c:showVal val="0"/>
          <c:showCatName val="0"/>
          <c:showSerName val="0"/>
          <c:showPercent val="0"/>
          <c:showBubbleSize val="0"/>
        </c:dLbls>
        <c:marker val="1"/>
        <c:smooth val="0"/>
        <c:axId val="132358144"/>
        <c:axId val="132359680"/>
      </c:lineChart>
      <c:catAx>
        <c:axId val="132358144"/>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2359680"/>
        <c:crosses val="autoZero"/>
        <c:auto val="1"/>
        <c:lblAlgn val="ctr"/>
        <c:lblOffset val="100"/>
        <c:tickLblSkip val="1"/>
        <c:noMultiLvlLbl val="0"/>
      </c:catAx>
      <c:valAx>
        <c:axId val="132359680"/>
        <c:scaling>
          <c:orientation val="minMax"/>
          <c:min val="0"/>
        </c:scaling>
        <c:delete val="0"/>
        <c:axPos val="l"/>
        <c:majorGridlines/>
        <c:numFmt formatCode="&quot;$&quot;#,##0_);\(&quot;$&quot;#,##0\)" sourceLinked="1"/>
        <c:majorTickMark val="out"/>
        <c:minorTickMark val="none"/>
        <c:tickLblPos val="nextTo"/>
        <c:txPr>
          <a:bodyPr/>
          <a:lstStyle/>
          <a:p>
            <a:pPr>
              <a:defRPr sz="1200"/>
            </a:pPr>
            <a:endParaRPr lang="en-US"/>
          </a:p>
        </c:txPr>
        <c:crossAx val="132358144"/>
        <c:crosses val="autoZero"/>
        <c:crossBetween val="between"/>
      </c:valAx>
    </c:plotArea>
    <c:legend>
      <c:legendPos val="b"/>
      <c:layout>
        <c:manualLayout>
          <c:xMode val="edge"/>
          <c:yMode val="edge"/>
          <c:x val="0.15253049910081551"/>
          <c:y val="0.90817027119807758"/>
          <c:w val="0.6949388386514076"/>
          <c:h val="7.6062037794037946E-2"/>
        </c:manualLayout>
      </c:layout>
      <c:overlay val="0"/>
      <c:txPr>
        <a:bodyPr/>
        <a:lstStyle/>
        <a:p>
          <a:pPr>
            <a:defRPr sz="1100"/>
          </a:pPr>
          <a:endParaRPr lang="en-US"/>
        </a:p>
      </c:txPr>
    </c:legend>
    <c:plotVisOnly val="1"/>
    <c:dispBlanksAs val="gap"/>
    <c:showDLblsOverMax val="0"/>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Summary!$AA$72:$AP$72</c:f>
              <c:numCache>
                <c:formatCode>_("$"* #,##0_);_("$"* \(#,##0\);_("$"* "-"_);_(@_)</c:formatCode>
                <c:ptCount val="16"/>
                <c:pt idx="0" formatCode="_(&quot;$&quot;* #,##0_);_(&quot;$&quot;* \(#,##0\);_(&quot;$&quot;* &quot;-&quot;??_);_(@_)">
                  <c:v>195.56157702314923</c:v>
                </c:pt>
                <c:pt idx="1">
                  <c:v>0</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pt idx="12" formatCode="_(&quot;$&quot;* #,##0_);_(&quot;$&quot;* \(#,##0\);_(&quot;$&quot;* &quot;-&quot;??_);_(@_)">
                  <c:v>0</c:v>
                </c:pt>
                <c:pt idx="13" formatCode="_(&quot;$&quot;* #,##0_);_(&quot;$&quot;* \(#,##0\);_(&quot;$&quot;* &quot;-&quot;??_);_(@_)">
                  <c:v>0</c:v>
                </c:pt>
                <c:pt idx="14" formatCode="_(&quot;$&quot;* #,##0_);_(&quot;$&quot;* \(#,##0\);_(&quot;$&quot;* &quot;-&quot;??_);_(@_)">
                  <c:v>0</c:v>
                </c:pt>
                <c:pt idx="15" formatCode="_(&quot;$&quot;* #,##0_);_(&quot;$&quot;* \(#,##0\);_(&quot;$&quot;* &quot;-&quot;??_);_(@_)">
                  <c:v>0</c:v>
                </c:pt>
              </c:numCache>
            </c:numRef>
          </c:val>
          <c:extLst>
            <c:ext xmlns:c16="http://schemas.microsoft.com/office/drawing/2014/chart" uri="{C3380CC4-5D6E-409C-BE32-E72D297353CC}">
              <c16:uniqueId val="{00000001-7309-A54F-81AF-13FFEA82969D}"/>
            </c:ext>
          </c:extLst>
        </c:ser>
        <c:ser>
          <c:idx val="1"/>
          <c:order val="1"/>
          <c:tx>
            <c:strRef>
              <c:f>Summary!$B$73</c:f>
              <c:strCache>
                <c:ptCount val="1"/>
                <c:pt idx="0">
                  <c:v>Wireless</c:v>
                </c:pt>
              </c:strCache>
            </c:strRef>
          </c:tx>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Summary!$AA$73:$AP$73</c:f>
              <c:numCache>
                <c:formatCode>_("$"* #,##0_);_("$"* \(#,##0\);_("$"* "-"??_);_(@_)</c:formatCode>
                <c:ptCount val="16"/>
                <c:pt idx="0">
                  <c:v>169.72976611778057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309-A54F-81AF-13FFEA82969D}"/>
            </c:ext>
          </c:extLst>
        </c:ser>
        <c:ser>
          <c:idx val="3"/>
          <c:order val="2"/>
          <c:tx>
            <c:strRef>
              <c:f>Summary!$B$74</c:f>
              <c:strCache>
                <c:ptCount val="1"/>
                <c:pt idx="0">
                  <c:v>FTTx modules</c:v>
                </c:pt>
              </c:strCache>
            </c:strRef>
          </c:tx>
          <c:spPr>
            <a:solidFill>
              <a:srgbClr val="00B050"/>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Summary!$AA$74:$AP$74</c:f>
              <c:numCache>
                <c:formatCode>_("$"* #,##0_);_("$"* \(#,##0\);_("$"* "-"??_);_(@_)</c:formatCode>
                <c:ptCount val="16"/>
                <c:pt idx="0">
                  <c:v>69.299291605562587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309-A54F-81AF-13FFEA82969D}"/>
            </c:ext>
          </c:extLst>
        </c:ser>
        <c:dLbls>
          <c:showLegendKey val="0"/>
          <c:showVal val="0"/>
          <c:showCatName val="0"/>
          <c:showSerName val="0"/>
          <c:showPercent val="0"/>
          <c:showBubbleSize val="0"/>
        </c:dLbls>
        <c:gapWidth val="150"/>
        <c:axId val="129779584"/>
        <c:axId val="129781120"/>
      </c:barChart>
      <c:catAx>
        <c:axId val="12977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129781120"/>
        <c:crosses val="autoZero"/>
        <c:auto val="1"/>
        <c:lblAlgn val="ctr"/>
        <c:lblOffset val="100"/>
        <c:tickLblSkip val="1"/>
        <c:tickMarkSkip val="1"/>
        <c:noMultiLvlLbl val="0"/>
      </c:catAx>
      <c:valAx>
        <c:axId val="129781120"/>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29779584"/>
        <c:crosses val="autoZero"/>
        <c:crossBetween val="between"/>
        <c:majorUnit val="10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slides'!$E$267</c:f>
              <c:strCache>
                <c:ptCount val="1"/>
                <c:pt idx="0">
                  <c:v>Datacom</c:v>
                </c:pt>
              </c:strCache>
            </c:strRef>
          </c:tx>
          <c:cat>
            <c:strRef>
              <c:f>'Charts for slides'!$N$266:$BH$266</c:f>
              <c:strCache>
                <c:ptCount val="47"/>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pt idx="45">
                  <c:v>2Q23</c:v>
                </c:pt>
                <c:pt idx="46">
                  <c:v>3Q23</c:v>
                </c:pt>
              </c:strCache>
            </c:strRef>
          </c:cat>
          <c:val>
            <c:numRef>
              <c:f>'Charts for slides'!$N$271:$BH$271</c:f>
              <c:numCache>
                <c:formatCode>0%</c:formatCode>
                <c:ptCount val="47"/>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-4.1993135096125012E-2</c:v>
                </c:pt>
                <c:pt idx="27">
                  <c:v>-0.11552558311810768</c:v>
                </c:pt>
                <c:pt idx="28">
                  <c:v>-0.1256171560529038</c:v>
                </c:pt>
                <c:pt idx="29">
                  <c:v>-0.13032029665219846</c:v>
                </c:pt>
                <c:pt idx="30">
                  <c:v>-0.10117877528561292</c:v>
                </c:pt>
                <c:pt idx="31">
                  <c:v>0.14307680590937299</c:v>
                </c:pt>
                <c:pt idx="32">
                  <c:v>3.998349454939798E-2</c:v>
                </c:pt>
                <c:pt idx="33">
                  <c:v>-1</c:v>
                </c:pt>
                <c:pt idx="34">
                  <c:v>-1</c:v>
                </c:pt>
                <c:pt idx="35">
                  <c:v>-1</c:v>
                </c:pt>
                <c:pt idx="36">
                  <c:v>-1</c:v>
                </c:pt>
                <c:pt idx="37">
                  <c:v>0</c:v>
                </c:pt>
                <c:pt idx="38">
                  <c:v>0</c:v>
                </c:pt>
                <c:pt idx="39">
                  <c:v>0</c:v>
                </c:pt>
                <c:pt idx="40">
                  <c:v>0</c:v>
                </c:pt>
                <c:pt idx="41">
                  <c:v>0</c:v>
                </c:pt>
                <c:pt idx="42">
                  <c:v>0</c:v>
                </c:pt>
                <c:pt idx="43">
                  <c:v>0</c:v>
                </c:pt>
                <c:pt idx="44">
                  <c:v>0</c:v>
                </c:pt>
                <c:pt idx="45">
                  <c:v>0</c:v>
                </c:pt>
                <c:pt idx="46">
                  <c:v>0</c:v>
                </c:pt>
              </c:numCache>
            </c:numRef>
          </c:val>
          <c:smooth val="0"/>
          <c:extLst>
            <c:ext xmlns:c16="http://schemas.microsoft.com/office/drawing/2014/chart" uri="{C3380CC4-5D6E-409C-BE32-E72D297353CC}">
              <c16:uniqueId val="{00000000-982D-CC43-9DB6-5ECB34B064D6}"/>
            </c:ext>
          </c:extLst>
        </c:ser>
        <c:ser>
          <c:idx val="0"/>
          <c:order val="1"/>
          <c:tx>
            <c:strRef>
              <c:f>'Charts for slides'!$M$272</c:f>
              <c:strCache>
                <c:ptCount val="1"/>
                <c:pt idx="0">
                  <c:v>Telecom</c:v>
                </c:pt>
              </c:strCache>
            </c:strRef>
          </c:tx>
          <c:cat>
            <c:strRef>
              <c:f>'Charts for slides'!$N$266:$BH$266</c:f>
              <c:strCache>
                <c:ptCount val="47"/>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pt idx="45">
                  <c:v>2Q23</c:v>
                </c:pt>
                <c:pt idx="46">
                  <c:v>3Q23</c:v>
                </c:pt>
              </c:strCache>
            </c:strRef>
          </c:cat>
          <c:val>
            <c:numRef>
              <c:f>'Charts for slides'!$N$272:$BH$272</c:f>
              <c:numCache>
                <c:formatCode>0%</c:formatCode>
                <c:ptCount val="47"/>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0.13205826670349174</c:v>
                </c:pt>
                <c:pt idx="27" formatCode="0.0%">
                  <c:v>0.20644966547353705</c:v>
                </c:pt>
                <c:pt idx="28" formatCode="0.0%">
                  <c:v>0.3526178550298662</c:v>
                </c:pt>
                <c:pt idx="29" formatCode="0.0%">
                  <c:v>0.46486924151375675</c:v>
                </c:pt>
                <c:pt idx="30" formatCode="0.0%">
                  <c:v>0.46362839922286181</c:v>
                </c:pt>
                <c:pt idx="31" formatCode="0.0%">
                  <c:v>0.58799382880225526</c:v>
                </c:pt>
                <c:pt idx="32" formatCode="0.0%">
                  <c:v>-0.13357800206475301</c:v>
                </c:pt>
                <c:pt idx="33" formatCode="0.0%">
                  <c:v>-1</c:v>
                </c:pt>
                <c:pt idx="34" formatCode="0.0%">
                  <c:v>-1</c:v>
                </c:pt>
                <c:pt idx="35" formatCode="0.0%">
                  <c:v>-1</c:v>
                </c:pt>
                <c:pt idx="36" formatCode="0.0%">
                  <c:v>-1</c:v>
                </c:pt>
                <c:pt idx="37" formatCode="0.0%">
                  <c:v>0</c:v>
                </c:pt>
                <c:pt idx="38" formatCode="0.0%">
                  <c:v>0</c:v>
                </c:pt>
                <c:pt idx="39" formatCode="0.0%">
                  <c:v>0</c:v>
                </c:pt>
                <c:pt idx="40" formatCode="0.0%">
                  <c:v>0</c:v>
                </c:pt>
                <c:pt idx="41" formatCode="0.0%">
                  <c:v>0</c:v>
                </c:pt>
                <c:pt idx="42" formatCode="0.0%">
                  <c:v>0</c:v>
                </c:pt>
                <c:pt idx="43" formatCode="0.0%">
                  <c:v>0</c:v>
                </c:pt>
                <c:pt idx="44" formatCode="0.0%">
                  <c:v>0</c:v>
                </c:pt>
                <c:pt idx="45" formatCode="0.0%">
                  <c:v>0</c:v>
                </c:pt>
                <c:pt idx="46"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132255744"/>
        <c:axId val="132257280"/>
      </c:lineChart>
      <c:catAx>
        <c:axId val="132255744"/>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32257280"/>
        <c:crossesAt val="-40"/>
        <c:auto val="1"/>
        <c:lblAlgn val="ctr"/>
        <c:lblOffset val="100"/>
        <c:noMultiLvlLbl val="0"/>
      </c:catAx>
      <c:valAx>
        <c:axId val="132257280"/>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7.3795931758530208E-3"/>
              <c:y val="0.21988463226888721"/>
            </c:manualLayout>
          </c:layout>
          <c:overlay val="0"/>
        </c:title>
        <c:numFmt formatCode="0%" sourceLinked="0"/>
        <c:majorTickMark val="out"/>
        <c:minorTickMark val="none"/>
        <c:tickLblPos val="nextTo"/>
        <c:txPr>
          <a:bodyPr/>
          <a:lstStyle/>
          <a:p>
            <a:pPr>
              <a:defRPr sz="1200"/>
            </a:pPr>
            <a:endParaRPr lang="en-US"/>
          </a:p>
        </c:txPr>
        <c:crossAx val="132255744"/>
        <c:crossesAt val="1"/>
        <c:crossBetween val="between"/>
      </c:valAx>
    </c:plotArea>
    <c:legend>
      <c:legendPos val="t"/>
      <c:layout>
        <c:manualLayout>
          <c:xMode val="edge"/>
          <c:yMode val="edge"/>
          <c:x val="0.14506217191601051"/>
          <c:y val="0.68387497007235665"/>
          <c:w val="0.37632070209973756"/>
          <c:h val="0.10530984379741699"/>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2163923047396566"/>
          <c:y val="0.12266209160658306"/>
          <c:w val="0.68406903098785687"/>
          <c:h val="0.67182832787494484"/>
        </c:manualLayout>
      </c:layout>
      <c:lineChart>
        <c:grouping val="standard"/>
        <c:varyColors val="0"/>
        <c:ser>
          <c:idx val="0"/>
          <c:order val="0"/>
          <c:tx>
            <c:strRef>
              <c:f>'Charts for slides'!$E$237</c:f>
              <c:strCache>
                <c:ptCount val="1"/>
                <c:pt idx="0">
                  <c:v>Ethernet </c:v>
                </c:pt>
              </c:strCache>
            </c:strRef>
          </c:tx>
          <c:marker>
            <c:symbol val="diamond"/>
            <c:size val="5"/>
          </c:marker>
          <c:cat>
            <c:strRef>
              <c:f>'Charts for slides'!$J$235:$BH$235</c:f>
              <c:strCache>
                <c:ptCount val="51"/>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strCache>
            </c:strRef>
          </c:cat>
          <c:val>
            <c:numRef>
              <c:f>'Charts for slides'!$J$237:$BH$237</c:f>
              <c:numCache>
                <c:formatCode>_("$"* #,##0_);_("$"* \(#,##0\);_("$"* "-"??_);_(@_)</c:formatCode>
                <c:ptCount val="51"/>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768.03543336762743</c:v>
                </c:pt>
                <c:pt idx="31">
                  <c:v>700.76919376630656</c:v>
                </c:pt>
                <c:pt idx="32">
                  <c:v>621.50911974132771</c:v>
                </c:pt>
                <c:pt idx="33">
                  <c:v>653.39323587627814</c:v>
                </c:pt>
                <c:pt idx="34">
                  <c:v>646.77647917863715</c:v>
                </c:pt>
                <c:pt idx="35">
                  <c:v>771.26596163619001</c:v>
                </c:pt>
                <c:pt idx="36">
                  <c:v>717.2642359701008</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marker>
            <c:symbol val="triangle"/>
            <c:size val="5"/>
          </c:marker>
          <c:cat>
            <c:strRef>
              <c:f>'Charts for slides'!$J$235:$BH$235</c:f>
              <c:strCache>
                <c:ptCount val="51"/>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strCache>
            </c:strRef>
          </c:cat>
          <c:val>
            <c:numRef>
              <c:f>'Charts for slides'!$J$240:$BH$240</c:f>
              <c:numCache>
                <c:formatCode>_("$"* #,##0_);_("$"* \(#,##0\);_("$"* "-"??_);_(@_)</c:formatCode>
                <c:ptCount val="51"/>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217.42580922000002</c:v>
                </c:pt>
                <c:pt idx="31">
                  <c:v>215.74811346000001</c:v>
                </c:pt>
                <c:pt idx="32">
                  <c:v>235.24660455351167</c:v>
                </c:pt>
                <c:pt idx="33">
                  <c:v>245.91406112484921</c:v>
                </c:pt>
                <c:pt idx="34">
                  <c:v>291.10020571723675</c:v>
                </c:pt>
                <c:pt idx="35">
                  <c:v>328.08760742024697</c:v>
                </c:pt>
                <c:pt idx="36">
                  <c:v>195.56157702314923</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marker>
            <c:symbol val="circle"/>
            <c:size val="5"/>
          </c:marker>
          <c:cat>
            <c:strRef>
              <c:f>'Charts for slides'!$J$235:$BH$235</c:f>
              <c:strCache>
                <c:ptCount val="51"/>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strCache>
            </c:strRef>
          </c:cat>
          <c:val>
            <c:numRef>
              <c:f>'Charts for slides'!$J$242:$BH$242</c:f>
              <c:numCache>
                <c:formatCode>_("$"* #,##0_);_("$"* \(#,##0\);_("$"* "-"??_);_(@_)</c:formatCode>
                <c:ptCount val="51"/>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135.73638700000001</c:v>
                </c:pt>
                <c:pt idx="31">
                  <c:v>125.53759100000001</c:v>
                </c:pt>
                <c:pt idx="32">
                  <c:v>107.43572019544501</c:v>
                </c:pt>
                <c:pt idx="33">
                  <c:v>106.25477420504185</c:v>
                </c:pt>
                <c:pt idx="34">
                  <c:v>115.91002439659283</c:v>
                </c:pt>
                <c:pt idx="35">
                  <c:v>123.47032018048293</c:v>
                </c:pt>
                <c:pt idx="36">
                  <c:v>69.299291605562587</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marker>
            <c:symbol val="circle"/>
            <c:size val="5"/>
          </c:marker>
          <c:cat>
            <c:strRef>
              <c:f>'Charts for slides'!$J$235:$BH$235</c:f>
              <c:strCache>
                <c:ptCount val="51"/>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strCache>
            </c:strRef>
          </c:cat>
          <c:val>
            <c:numRef>
              <c:f>'Charts for slides'!$J$241:$BH$241</c:f>
              <c:numCache>
                <c:formatCode>_("$"* #,##0_);_("$"* \(#,##0\);_("$"* "-"??_);_(@_)</c:formatCode>
                <c:ptCount val="51"/>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77.884178947698942</c:v>
                </c:pt>
                <c:pt idx="31">
                  <c:v>96.367299401789481</c:v>
                </c:pt>
                <c:pt idx="32">
                  <c:v>158.9100122209687</c:v>
                </c:pt>
                <c:pt idx="33">
                  <c:v>196.46550526560742</c:v>
                </c:pt>
                <c:pt idx="34">
                  <c:v>223.88148596368694</c:v>
                </c:pt>
                <c:pt idx="35">
                  <c:v>243.43234168856131</c:v>
                </c:pt>
                <c:pt idx="36">
                  <c:v>169.72976611778057</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marker>
            <c:symbol val="circle"/>
            <c:size val="5"/>
          </c:marker>
          <c:cat>
            <c:strRef>
              <c:f>'Charts for slides'!$J$235:$BH$235</c:f>
              <c:strCache>
                <c:ptCount val="51"/>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strCache>
            </c:strRef>
          </c:cat>
          <c:val>
            <c:numRef>
              <c:f>'Charts for slides'!$J$238:$BH$238</c:f>
              <c:numCache>
                <c:formatCode>_("$"* #,##0_);_("$"* \(#,##0\);_("$"* "-"??_);_(@_)</c:formatCode>
                <c:ptCount val="51"/>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58.249741560000039</c:v>
                </c:pt>
                <c:pt idx="31">
                  <c:v>65.430548560000005</c:v>
                </c:pt>
                <c:pt idx="32">
                  <c:v>82.718587079999978</c:v>
                </c:pt>
                <c:pt idx="33">
                  <c:v>67.717933549999998</c:v>
                </c:pt>
                <c:pt idx="34">
                  <c:v>55.810001499999998</c:v>
                </c:pt>
                <c:pt idx="35">
                  <c:v>75.429854943909177</c:v>
                </c:pt>
                <c:pt idx="36">
                  <c:v>37.153192857142855</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marker>
            <c:symbol val="triangle"/>
            <c:size val="5"/>
          </c:marker>
          <c:cat>
            <c:strRef>
              <c:f>'Charts for slides'!$J$235:$BH$235</c:f>
              <c:strCache>
                <c:ptCount val="51"/>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strCache>
            </c:strRef>
          </c:cat>
          <c:val>
            <c:numRef>
              <c:f>'Charts for slides'!$J$239:$BH$239</c:f>
              <c:numCache>
                <c:formatCode>_("$"* #,##0_);_("$"* \(#,##0\);_("$"* "-"??_);_(@_)</c:formatCode>
                <c:ptCount val="51"/>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71.458957599999991</c:v>
                </c:pt>
                <c:pt idx="31">
                  <c:v>65.453749080000009</c:v>
                </c:pt>
                <c:pt idx="32">
                  <c:v>84.742637639999998</c:v>
                </c:pt>
                <c:pt idx="33">
                  <c:v>103.29352570000002</c:v>
                </c:pt>
                <c:pt idx="34">
                  <c:v>104.325</c:v>
                </c:pt>
                <c:pt idx="35">
                  <c:v>103.94799999999999</c:v>
                </c:pt>
                <c:pt idx="36">
                  <c:v>66.098707101490291</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32911872"/>
        <c:axId val="132913408"/>
      </c:lineChart>
      <c:catAx>
        <c:axId val="132911872"/>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32913408"/>
        <c:crosses val="autoZero"/>
        <c:auto val="1"/>
        <c:lblAlgn val="ctr"/>
        <c:lblOffset val="100"/>
        <c:noMultiLvlLbl val="0"/>
      </c:catAx>
      <c:valAx>
        <c:axId val="132913408"/>
        <c:scaling>
          <c:orientation val="minMax"/>
        </c:scaling>
        <c:delete val="0"/>
        <c:axPos val="l"/>
        <c:majorGridlines/>
        <c:title>
          <c:tx>
            <c:rich>
              <a:bodyPr rot="-5400000" vert="horz"/>
              <a:lstStyle/>
              <a:p>
                <a:pPr>
                  <a:defRPr sz="1200" b="0"/>
                </a:pPr>
                <a:r>
                  <a:rPr lang="en-US" sz="1200" b="0"/>
                  <a:t>$ millions </a:t>
                </a:r>
              </a:p>
            </c:rich>
          </c:tx>
          <c:layout>
            <c:manualLayout>
              <c:xMode val="edge"/>
              <c:yMode val="edge"/>
              <c:x val="6.5839504438467466E-3"/>
              <c:y val="0.3620952662996771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32911872"/>
        <c:crosses val="autoZero"/>
        <c:crossBetween val="between"/>
      </c:valAx>
    </c:plotArea>
    <c:legend>
      <c:legendPos val="r"/>
      <c:layout>
        <c:manualLayout>
          <c:xMode val="edge"/>
          <c:yMode val="edge"/>
          <c:x val="0.8152419699554716"/>
          <c:y val="0.14059966785125314"/>
          <c:w val="0.17940941341810163"/>
          <c:h val="0.7048152858105126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a:pPr>
            <a:r>
              <a:rPr lang="en-US"/>
              <a:t>3Q23/3Q22 Segment Growth</a:t>
            </a:r>
          </a:p>
        </c:rich>
      </c:tx>
      <c:layout>
        <c:manualLayout>
          <c:xMode val="edge"/>
          <c:yMode val="edge"/>
          <c:x val="0.26464609544539658"/>
          <c:y val="2.1666957612424133E-2"/>
        </c:manualLayout>
      </c:layout>
      <c:overlay val="0"/>
    </c:title>
    <c:autoTitleDeleted val="0"/>
    <c:plotArea>
      <c:layout>
        <c:manualLayout>
          <c:layoutTarget val="inner"/>
          <c:xMode val="edge"/>
          <c:yMode val="edge"/>
          <c:x val="3.0157520086705462E-2"/>
          <c:y val="0.20371433605665676"/>
          <c:w val="0.96113200672840005"/>
          <c:h val="0.78585085429197377"/>
        </c:manualLayout>
      </c:layout>
      <c:barChart>
        <c:barDir val="bar"/>
        <c:grouping val="clustered"/>
        <c:varyColors val="0"/>
        <c:ser>
          <c:idx val="1"/>
          <c:order val="0"/>
          <c:tx>
            <c:strRef>
              <c:f>'Charts for slides'!$K$15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Service Provider Capex</c:v>
                </c:pt>
                <c:pt idx="1">
                  <c:v>Equipment vendor sales</c:v>
                </c:pt>
                <c:pt idx="2">
                  <c:v>OC vendor sales (survey)</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slides'!$L$15</c:f>
              <c:strCache>
                <c:ptCount val="1"/>
                <c:pt idx="0">
                  <c:v>Datacom</c:v>
                </c:pt>
              </c:strCache>
            </c:strRef>
          </c:tx>
          <c:spPr>
            <a:solidFill>
              <a:srgbClr val="4F81B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Service Provider Capex</c:v>
                </c:pt>
                <c:pt idx="1">
                  <c:v>Equipment vendor sales</c:v>
                </c:pt>
                <c:pt idx="2">
                  <c:v>OC vendor sales (survey)</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132961408"/>
        <c:axId val="132962944"/>
      </c:barChart>
      <c:catAx>
        <c:axId val="132961408"/>
        <c:scaling>
          <c:orientation val="maxMin"/>
        </c:scaling>
        <c:delete val="0"/>
        <c:axPos val="l"/>
        <c:numFmt formatCode="General" sourceLinked="0"/>
        <c:majorTickMark val="none"/>
        <c:minorTickMark val="none"/>
        <c:tickLblPos val="none"/>
        <c:spPr>
          <a:ln w="22225"/>
        </c:spPr>
        <c:txPr>
          <a:bodyPr anchor="t" anchorCtr="0"/>
          <a:lstStyle/>
          <a:p>
            <a:pPr>
              <a:defRPr sz="1600"/>
            </a:pPr>
            <a:endParaRPr lang="en-US"/>
          </a:p>
        </c:txPr>
        <c:crossAx val="132962944"/>
        <c:crosses val="autoZero"/>
        <c:auto val="0"/>
        <c:lblAlgn val="ctr"/>
        <c:lblOffset val="0"/>
        <c:noMultiLvlLbl val="0"/>
      </c:catAx>
      <c:valAx>
        <c:axId val="132962944"/>
        <c:scaling>
          <c:orientation val="minMax"/>
        </c:scaling>
        <c:delete val="1"/>
        <c:axPos val="t"/>
        <c:numFmt formatCode="0%" sourceLinked="1"/>
        <c:majorTickMark val="none"/>
        <c:minorTickMark val="none"/>
        <c:tickLblPos val="nextTo"/>
        <c:crossAx val="132961408"/>
        <c:crosses val="autoZero"/>
        <c:crossBetween val="between"/>
      </c:valAx>
      <c:spPr>
        <a:noFill/>
        <a:ln w="25400">
          <a:noFill/>
        </a:ln>
      </c:spPr>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baseline="0">
                <a:effectLst/>
              </a:rPr>
              <a:t>Datacom Revenue ($ Million)</a:t>
            </a:r>
            <a:endParaRPr lang="en-US" b="1">
              <a:effectLst/>
            </a:endParaRPr>
          </a:p>
        </c:rich>
      </c:tx>
      <c:layout>
        <c:manualLayout>
          <c:xMode val="edge"/>
          <c:yMode val="edge"/>
          <c:x val="0.31069108850664051"/>
          <c:y val="4.6036225226407664E-2"/>
        </c:manualLayout>
      </c:layout>
      <c:overlay val="0"/>
    </c:title>
    <c:autoTitleDeleted val="0"/>
    <c:plotArea>
      <c:layout>
        <c:manualLayout>
          <c:layoutTarget val="inner"/>
          <c:xMode val="edge"/>
          <c:yMode val="edge"/>
          <c:x val="0.10188895272211146"/>
          <c:y val="5.4242710340469048E-2"/>
          <c:w val="0.81411010499419578"/>
          <c:h val="0.75792578483027284"/>
        </c:manualLayout>
      </c:layout>
      <c:barChart>
        <c:barDir val="col"/>
        <c:grouping val="clustered"/>
        <c:varyColors val="0"/>
        <c:ser>
          <c:idx val="0"/>
          <c:order val="0"/>
          <c:tx>
            <c:v>Revenue</c:v>
          </c:tx>
          <c:invertIfNegative val="0"/>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equip'!$K$22:$AG$22</c:f>
              <c:numCache>
                <c:formatCode>"$"#,##0_);\("$"#,##0\)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32684800"/>
        <c:axId val="132698880"/>
      </c:barChart>
      <c:lineChart>
        <c:grouping val="standard"/>
        <c:varyColors val="0"/>
        <c:ser>
          <c:idx val="1"/>
          <c:order val="1"/>
          <c:tx>
            <c:v>Year over Year (%)</c:v>
          </c:tx>
          <c:spPr>
            <a:ln>
              <a:solidFill>
                <a:schemeClr val="accent6"/>
              </a:solidFill>
            </a:ln>
          </c:spPr>
          <c:marker>
            <c:symbol val="none"/>
          </c:marker>
          <c:dLbls>
            <c:dLbl>
              <c:idx val="17"/>
              <c:layout>
                <c:manualLayout>
                  <c:x val="-1.314708128972362E-2"/>
                  <c:y val="2.8014880975358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49-44B8-8596-771BA7357174}"/>
                </c:ext>
              </c:extLst>
            </c:dLbl>
            <c:numFmt formatCode="0%" sourceLinked="0"/>
            <c:spPr>
              <a:noFill/>
              <a:ln>
                <a:noFill/>
              </a:ln>
              <a:effectLst/>
            </c:spPr>
            <c:txPr>
              <a:bodyPr wrap="square" lIns="38100" tIns="19050" rIns="38100" bIns="19050" anchor="ctr">
                <a:spAutoFit/>
              </a:bodyPr>
              <a:lstStyle/>
              <a:p>
                <a:pPr>
                  <a:defRPr sz="1200" b="1">
                    <a:solidFill>
                      <a:sysClr val="windowText" lastClr="000000"/>
                    </a:solidFil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equip'!$K$23:$AG$23</c:f>
              <c:numCache>
                <c:formatCode>0.0%</c:formatCode>
                <c:ptCount val="19"/>
                <c:pt idx="0">
                  <c:v>-1</c:v>
                </c:pt>
                <c:pt idx="1">
                  <c:v>-1</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5474-4C38-8848-A6F9CAFC75BD}"/>
            </c:ext>
          </c:extLst>
        </c:ser>
        <c:dLbls>
          <c:showLegendKey val="0"/>
          <c:showVal val="0"/>
          <c:showCatName val="0"/>
          <c:showSerName val="0"/>
          <c:showPercent val="0"/>
          <c:showBubbleSize val="0"/>
        </c:dLbls>
        <c:marker val="1"/>
        <c:smooth val="0"/>
        <c:axId val="132702208"/>
        <c:axId val="132700416"/>
      </c:lineChart>
      <c:catAx>
        <c:axId val="132684800"/>
        <c:scaling>
          <c:orientation val="minMax"/>
        </c:scaling>
        <c:delete val="0"/>
        <c:axPos val="b"/>
        <c:numFmt formatCode="General" sourceLinked="0"/>
        <c:majorTickMark val="out"/>
        <c:minorTickMark val="none"/>
        <c:tickLblPos val="nextTo"/>
        <c:txPr>
          <a:bodyPr/>
          <a:lstStyle/>
          <a:p>
            <a:pPr>
              <a:defRPr sz="1200" b="1"/>
            </a:pPr>
            <a:endParaRPr lang="en-US"/>
          </a:p>
        </c:txPr>
        <c:crossAx val="132698880"/>
        <c:crosses val="autoZero"/>
        <c:auto val="1"/>
        <c:lblAlgn val="ctr"/>
        <c:lblOffset val="100"/>
        <c:noMultiLvlLbl val="0"/>
      </c:catAx>
      <c:valAx>
        <c:axId val="132698880"/>
        <c:scaling>
          <c:orientation val="minMax"/>
          <c:min val="0"/>
        </c:scaling>
        <c:delete val="0"/>
        <c:axPos val="l"/>
        <c:majorGridlines/>
        <c:numFmt formatCode="&quot;$&quot;#,##0_);\(&quot;$&quot;#,##0\)" sourceLinked="0"/>
        <c:majorTickMark val="out"/>
        <c:minorTickMark val="none"/>
        <c:tickLblPos val="nextTo"/>
        <c:txPr>
          <a:bodyPr/>
          <a:lstStyle/>
          <a:p>
            <a:pPr>
              <a:defRPr sz="1200" b="1"/>
            </a:pPr>
            <a:endParaRPr lang="en-US"/>
          </a:p>
        </c:txPr>
        <c:crossAx val="132684800"/>
        <c:crosses val="autoZero"/>
        <c:crossBetween val="between"/>
      </c:valAx>
      <c:valAx>
        <c:axId val="132700416"/>
        <c:scaling>
          <c:orientation val="minMax"/>
        </c:scaling>
        <c:delete val="0"/>
        <c:axPos val="r"/>
        <c:numFmt formatCode="0%" sourceLinked="0"/>
        <c:majorTickMark val="out"/>
        <c:minorTickMark val="none"/>
        <c:tickLblPos val="nextTo"/>
        <c:txPr>
          <a:bodyPr/>
          <a:lstStyle/>
          <a:p>
            <a:pPr>
              <a:defRPr sz="1200" b="1"/>
            </a:pPr>
            <a:endParaRPr lang="en-US"/>
          </a:p>
        </c:txPr>
        <c:crossAx val="132702208"/>
        <c:crosses val="max"/>
        <c:crossBetween val="between"/>
      </c:valAx>
      <c:catAx>
        <c:axId val="132702208"/>
        <c:scaling>
          <c:orientation val="minMax"/>
        </c:scaling>
        <c:delete val="1"/>
        <c:axPos val="b"/>
        <c:numFmt formatCode="General" sourceLinked="1"/>
        <c:majorTickMark val="out"/>
        <c:minorTickMark val="none"/>
        <c:tickLblPos val="nextTo"/>
        <c:crossAx val="132700416"/>
        <c:crosses val="autoZero"/>
        <c:auto val="1"/>
        <c:lblAlgn val="ctr"/>
        <c:lblOffset val="100"/>
        <c:noMultiLvlLbl val="0"/>
      </c:catAx>
    </c:plotArea>
    <c:legend>
      <c:legendPos val="b"/>
      <c:layout>
        <c:manualLayout>
          <c:xMode val="edge"/>
          <c:yMode val="edge"/>
          <c:x val="0.31948623897848216"/>
          <c:y val="0.93242926518290736"/>
          <c:w val="0.35416065695650706"/>
          <c:h val="6.7570734817092609E-2"/>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t>Optical Revenue $200 mn or higher</a:t>
            </a:r>
          </a:p>
        </c:rich>
      </c:tx>
      <c:layout>
        <c:manualLayout>
          <c:xMode val="edge"/>
          <c:yMode val="edge"/>
          <c:x val="0.30131743400495992"/>
          <c:y val="1.2777841175650143E-3"/>
        </c:manualLayout>
      </c:layout>
      <c:overlay val="1"/>
    </c:title>
    <c:autoTitleDeleted val="0"/>
    <c:plotArea>
      <c:layout>
        <c:manualLayout>
          <c:layoutTarget val="inner"/>
          <c:xMode val="edge"/>
          <c:yMode val="edge"/>
          <c:x val="8.2230598929801099E-2"/>
          <c:y val="0.10709191861031971"/>
          <c:w val="0.87842850120852922"/>
          <c:h val="0.70213372864300394"/>
        </c:manualLayout>
      </c:layout>
      <c:lineChart>
        <c:grouping val="standard"/>
        <c:varyColors val="0"/>
        <c:ser>
          <c:idx val="0"/>
          <c:order val="0"/>
          <c:tx>
            <c:strRef>
              <c:f>'OC vendors'!$B$15</c:f>
              <c:strCache>
                <c:ptCount val="1"/>
                <c:pt idx="0">
                  <c:v>Fabrinet</c:v>
                </c:pt>
              </c:strCache>
            </c:strRef>
          </c:tx>
          <c:cat>
            <c:strRef>
              <c:f>'OC vendors'!$S$7:$AG$7</c:f>
              <c:strCache>
                <c:ptCount val="15"/>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strCache>
            </c:strRef>
          </c:cat>
          <c:val>
            <c:numRef>
              <c:f>'OC vendors'!$S$15:$AG$15</c:f>
              <c:numCache>
                <c:formatCode>"$"#,##0_);\("$"#,##0\)</c:formatCode>
                <c:ptCount val="15"/>
              </c:numCache>
            </c:numRef>
          </c:val>
          <c:smooth val="0"/>
          <c:extLst>
            <c:ext xmlns:c16="http://schemas.microsoft.com/office/drawing/2014/chart" uri="{C3380CC4-5D6E-409C-BE32-E72D297353CC}">
              <c16:uniqueId val="{00000000-8D68-41BC-A638-E4B46EFC1367}"/>
            </c:ext>
          </c:extLst>
        </c:ser>
        <c:ser>
          <c:idx val="4"/>
          <c:order val="1"/>
          <c:tx>
            <c:v>Coherent (II-VI)</c:v>
          </c:tx>
          <c:marker>
            <c:symbol val="square"/>
            <c:size val="7"/>
          </c:marker>
          <c:cat>
            <c:strRef>
              <c:f>'OC vendors'!$S$7:$AG$7</c:f>
              <c:strCache>
                <c:ptCount val="15"/>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strCache>
            </c:strRef>
          </c:cat>
          <c:val>
            <c:numRef>
              <c:f>'OC vendors'!$S$8:$AG$8</c:f>
              <c:numCache>
                <c:formatCode>"$"#,##0_);\("$"#,##0\)</c:formatCode>
                <c:ptCount val="15"/>
              </c:numCache>
            </c:numRef>
          </c:val>
          <c:smooth val="0"/>
          <c:extLst>
            <c:ext xmlns:c16="http://schemas.microsoft.com/office/drawing/2014/chart" uri="{C3380CC4-5D6E-409C-BE32-E72D297353CC}">
              <c16:uniqueId val="{00000001-1E3E-2C40-BB0D-D1D96FCC9D93}"/>
            </c:ext>
          </c:extLst>
        </c:ser>
        <c:ser>
          <c:idx val="2"/>
          <c:order val="2"/>
          <c:tx>
            <c:v>Lumentum</c:v>
          </c:tx>
          <c:cat>
            <c:strRef>
              <c:f>'OC vendors'!$S$7:$AG$7</c:f>
              <c:strCache>
                <c:ptCount val="15"/>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strCache>
            </c:strRef>
          </c:cat>
          <c:val>
            <c:numRef>
              <c:f>'OC vendors'!$S$21:$AG$21</c:f>
              <c:numCache>
                <c:formatCode>"$"#,##0_);\("$"#,##0\)</c:formatCode>
                <c:ptCount val="15"/>
              </c:numCache>
            </c:numRef>
          </c:val>
          <c:smooth val="0"/>
          <c:extLst>
            <c:ext xmlns:c16="http://schemas.microsoft.com/office/drawing/2014/chart" uri="{C3380CC4-5D6E-409C-BE32-E72D297353CC}">
              <c16:uniqueId val="{00000002-1E3E-2C40-BB0D-D1D96FCC9D93}"/>
            </c:ext>
          </c:extLst>
        </c:ser>
        <c:ser>
          <c:idx val="5"/>
          <c:order val="3"/>
          <c:tx>
            <c:strRef>
              <c:f>'OC vendors'!$B$18</c:f>
              <c:strCache>
                <c:ptCount val="1"/>
                <c:pt idx="0">
                  <c:v>Innolight</c:v>
                </c:pt>
              </c:strCache>
            </c:strRef>
          </c:tx>
          <c:cat>
            <c:strRef>
              <c:f>'OC vendors'!$S$7:$AG$7</c:f>
              <c:strCache>
                <c:ptCount val="15"/>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strCache>
            </c:strRef>
          </c:cat>
          <c:val>
            <c:numRef>
              <c:f>'OC vendors'!$S$18:$AG$18</c:f>
              <c:numCache>
                <c:formatCode>"$"#,##0_);\("$"#,##0\)</c:formatCode>
                <c:ptCount val="15"/>
              </c:numCache>
            </c:numRef>
          </c:val>
          <c:smooth val="0"/>
          <c:extLs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marker>
            <c:symbol val="diamond"/>
            <c:size val="7"/>
          </c:marker>
          <c:cat>
            <c:strRef>
              <c:f>'OC vendors'!$S$7:$AG$7</c:f>
              <c:strCache>
                <c:ptCount val="15"/>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strCache>
            </c:strRef>
          </c:cat>
          <c:val>
            <c:numRef>
              <c:f>'OC vendors'!$S$10:$AG$10</c:f>
              <c:numCache>
                <c:formatCode>"$"#,##0_);\("$"#,##0\)</c:formatCode>
                <c:ptCount val="15"/>
              </c:numCache>
            </c:numRef>
          </c:val>
          <c:smooth val="0"/>
          <c:extLst>
            <c:ext xmlns:c16="http://schemas.microsoft.com/office/drawing/2014/chart" uri="{C3380CC4-5D6E-409C-BE32-E72D297353CC}">
              <c16:uniqueId val="{00000004-1E3E-2C40-BB0D-D1D96FCC9D93}"/>
            </c:ext>
          </c:extLst>
        </c:ser>
        <c:dLbls>
          <c:showLegendKey val="0"/>
          <c:showVal val="0"/>
          <c:showCatName val="0"/>
          <c:showSerName val="0"/>
          <c:showPercent val="0"/>
          <c:showBubbleSize val="0"/>
        </c:dLbls>
        <c:marker val="1"/>
        <c:smooth val="0"/>
        <c:axId val="132760704"/>
        <c:axId val="132762240"/>
      </c:lineChart>
      <c:catAx>
        <c:axId val="132760704"/>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2762240"/>
        <c:crosses val="autoZero"/>
        <c:auto val="1"/>
        <c:lblAlgn val="ctr"/>
        <c:lblOffset val="100"/>
        <c:noMultiLvlLbl val="0"/>
      </c:catAx>
      <c:valAx>
        <c:axId val="132762240"/>
        <c:scaling>
          <c:orientation val="minMax"/>
        </c:scaling>
        <c:delete val="0"/>
        <c:axPos val="l"/>
        <c:majorGridlines/>
        <c:numFmt formatCode="&quot;$&quot;#,##0_);\(&quot;$&quot;#,##0\)" sourceLinked="1"/>
        <c:majorTickMark val="out"/>
        <c:minorTickMark val="none"/>
        <c:tickLblPos val="nextTo"/>
        <c:txPr>
          <a:bodyPr/>
          <a:lstStyle/>
          <a:p>
            <a:pPr>
              <a:defRPr sz="1200"/>
            </a:pPr>
            <a:endParaRPr lang="en-US"/>
          </a:p>
        </c:txPr>
        <c:crossAx val="132760704"/>
        <c:crosses val="autoZero"/>
        <c:crossBetween val="midCat"/>
      </c:valAx>
    </c:plotArea>
    <c:legend>
      <c:legendPos val="b"/>
      <c:layout>
        <c:manualLayout>
          <c:xMode val="edge"/>
          <c:yMode val="edge"/>
          <c:x val="8.1990374708208413E-2"/>
          <c:y val="0.91183779737565951"/>
          <c:w val="0.86346588742123842"/>
          <c:h val="7.6062009867860325E-2"/>
        </c:manualLayout>
      </c:layout>
      <c:overlay val="0"/>
      <c:txPr>
        <a:bodyPr/>
        <a:lstStyle/>
        <a:p>
          <a:pPr>
            <a:defRPr sz="1100"/>
          </a:pPr>
          <a:endParaRPr lang="en-US"/>
        </a:p>
      </c:txPr>
    </c:legend>
    <c:plotVisOnly val="1"/>
    <c:dispBlanksAs val="gap"/>
    <c:showDLblsOverMax val="0"/>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pPr>
            <a:r>
              <a:rPr lang="en-US" sz="1400"/>
              <a:t>Mid-size Company Revenue</a:t>
            </a:r>
            <a:r>
              <a:rPr lang="en-US" sz="1400" baseline="0"/>
              <a:t> </a:t>
            </a:r>
            <a:r>
              <a:rPr lang="en-US" sz="1400" b="1" i="0" u="none" strike="noStrike" baseline="0">
                <a:effectLst/>
              </a:rPr>
              <a:t>($ Million) </a:t>
            </a:r>
            <a:endParaRPr lang="en-US" sz="1400"/>
          </a:p>
        </c:rich>
      </c:tx>
      <c:layout>
        <c:manualLayout>
          <c:xMode val="edge"/>
          <c:yMode val="edge"/>
          <c:x val="0.24789346880882315"/>
          <c:y val="8.796400449943757E-3"/>
        </c:manualLayout>
      </c:layout>
      <c:overlay val="0"/>
    </c:title>
    <c:autoTitleDeleted val="0"/>
    <c:plotArea>
      <c:layout>
        <c:manualLayout>
          <c:layoutTarget val="inner"/>
          <c:xMode val="edge"/>
          <c:yMode val="edge"/>
          <c:x val="9.6980995360633607E-2"/>
          <c:y val="0.11558175374670876"/>
          <c:w val="0.86728052459477301"/>
          <c:h val="0.63744547574011345"/>
        </c:manualLayout>
      </c:layout>
      <c:lineChart>
        <c:grouping val="standard"/>
        <c:varyColors val="0"/>
        <c:ser>
          <c:idx val="5"/>
          <c:order val="0"/>
          <c:tx>
            <c:strRef>
              <c:f>'Network equip'!$B$14</c:f>
              <c:strCache>
                <c:ptCount val="1"/>
                <c:pt idx="0">
                  <c:v>Fujitsu (System &amp; Network Products)</c:v>
                </c:pt>
              </c:strCache>
            </c:strRef>
          </c:tx>
          <c:marker>
            <c:symbol val="diamond"/>
            <c:size val="7"/>
            <c:spPr>
              <a:solidFill>
                <a:schemeClr val="accent6"/>
              </a:solidFill>
            </c:spPr>
          </c:marker>
          <c:cat>
            <c:strRef>
              <c:f>'Network equip'!$C$7:$AG$7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equip'!$C$14:$AG$14</c:f>
              <c:numCache>
                <c:formatCode>"$"#,##0_);\("$"#,##0\)</c:formatCode>
                <c:ptCount val="19"/>
                <c:pt idx="0">
                  <c:v>1409.9199169118667</c:v>
                </c:pt>
              </c:numCache>
            </c:numRef>
          </c:val>
          <c:smooth val="0"/>
          <c:extLst>
            <c:ext xmlns:c16="http://schemas.microsoft.com/office/drawing/2014/chart" uri="{C3380CC4-5D6E-409C-BE32-E72D297353CC}">
              <c16:uniqueId val="{00000000-9BAF-2246-AB31-F7857A7E114C}"/>
            </c:ext>
          </c:extLst>
        </c:ser>
        <c:ser>
          <c:idx val="3"/>
          <c:order val="1"/>
          <c:tx>
            <c:strRef>
              <c:f>'Network equip'!$B$11</c:f>
              <c:strCache>
                <c:ptCount val="1"/>
                <c:pt idx="0">
                  <c:v>Ciena </c:v>
                </c:pt>
              </c:strCache>
            </c:strRef>
          </c:tx>
          <c:spPr>
            <a:ln>
              <a:solidFill>
                <a:schemeClr val="accent3"/>
              </a:solidFill>
            </a:ln>
          </c:spPr>
          <c:marker>
            <c:spPr>
              <a:solidFill>
                <a:schemeClr val="accent3"/>
              </a:solidFill>
              <a:ln>
                <a:solidFill>
                  <a:schemeClr val="accent3"/>
                </a:solidFill>
              </a:ln>
            </c:spPr>
          </c:marker>
          <c:cat>
            <c:strRef>
              <c:f>'Network equip'!$C$7:$AG$7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equip'!$C$11:$AG$11</c:f>
              <c:numCache>
                <c:formatCode>"$"#,##0_);\("$"#,##0\)</c:formatCode>
                <c:ptCount val="19"/>
                <c:pt idx="0">
                  <c:v>865</c:v>
                </c:pt>
              </c:numCache>
            </c:numRef>
          </c:val>
          <c:smooth val="0"/>
          <c:extLst>
            <c:ext xmlns:c16="http://schemas.microsoft.com/office/drawing/2014/chart" uri="{C3380CC4-5D6E-409C-BE32-E72D297353CC}">
              <c16:uniqueId val="{00000001-9BAF-2246-AB31-F7857A7E114C}"/>
            </c:ext>
          </c:extLst>
        </c:ser>
        <c:ser>
          <c:idx val="0"/>
          <c:order val="2"/>
          <c:tx>
            <c:strRef>
              <c:f>'Network equip'!$B$13</c:f>
              <c:strCache>
                <c:ptCount val="1"/>
                <c:pt idx="0">
                  <c:v>Fiberhome</c:v>
                </c:pt>
              </c:strCache>
            </c:strRef>
          </c:tx>
          <c:cat>
            <c:strRef>
              <c:f>'Network equip'!$C$7:$AG$7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equip'!$C$13:$AG$13</c:f>
              <c:numCache>
                <c:formatCode>"$"#,##0_);\("$"#,##0\)</c:formatCode>
                <c:ptCount val="19"/>
                <c:pt idx="0">
                  <c:v>727.35236172368604</c:v>
                </c:pt>
              </c:numCache>
            </c:numRef>
          </c:val>
          <c:smooth val="0"/>
          <c:extLst>
            <c:ext xmlns:c16="http://schemas.microsoft.com/office/drawing/2014/chart" uri="{C3380CC4-5D6E-409C-BE32-E72D297353CC}">
              <c16:uniqueId val="{00000000-4A88-4648-8DF9-7C1475B65A74}"/>
            </c:ext>
          </c:extLst>
        </c:ser>
        <c:dLbls>
          <c:showLegendKey val="0"/>
          <c:showVal val="0"/>
          <c:showCatName val="0"/>
          <c:showSerName val="0"/>
          <c:showPercent val="0"/>
          <c:showBubbleSize val="0"/>
        </c:dLbls>
        <c:marker val="1"/>
        <c:smooth val="0"/>
        <c:axId val="132806144"/>
        <c:axId val="132807680"/>
      </c:lineChart>
      <c:dateAx>
        <c:axId val="132806144"/>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32807680"/>
        <c:crosses val="autoZero"/>
        <c:auto val="0"/>
        <c:lblOffset val="100"/>
        <c:baseTimeUnit val="days"/>
        <c:majorUnit val="1"/>
      </c:dateAx>
      <c:valAx>
        <c:axId val="132807680"/>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32806144"/>
        <c:crosses val="autoZero"/>
        <c:crossBetween val="between"/>
      </c:valAx>
    </c:plotArea>
    <c:legend>
      <c:legendPos val="b"/>
      <c:layout>
        <c:manualLayout>
          <c:xMode val="edge"/>
          <c:yMode val="edge"/>
          <c:x val="9.8694151003158731E-2"/>
          <c:y val="0.91009614784681236"/>
          <c:w val="0.77763944357753434"/>
          <c:h val="7.4055991614360411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339677432394481"/>
          <c:y val="0.15363627912018729"/>
          <c:w val="0.84820257628049067"/>
          <c:h val="0.69702719451735196"/>
        </c:manualLayout>
      </c:layout>
      <c:lineChart>
        <c:grouping val="standard"/>
        <c:varyColors val="0"/>
        <c:ser>
          <c:idx val="0"/>
          <c:order val="0"/>
          <c:tx>
            <c:strRef>
              <c:f>'Charts for slides'!$BJ$49</c:f>
              <c:strCache>
                <c:ptCount val="1"/>
                <c:pt idx="0">
                  <c:v>Non-Chinese CSPs</c:v>
                </c:pt>
              </c:strCache>
            </c:strRef>
          </c:tx>
          <c:marker>
            <c:symbol val="none"/>
          </c:marker>
          <c:cat>
            <c:strRef>
              <c:f>'Charts for slides'!$E$41:$BG$41</c:f>
              <c:strCache>
                <c:ptCount val="5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strCache>
            </c:strRef>
          </c:cat>
          <c:val>
            <c:numRef>
              <c:f>'Charts for slides'!$E$49:$BG$49</c:f>
              <c:numCache>
                <c:formatCode>_("$"* #,##0_);_("$"* \(#,##0\);_("$"* "-"??_);_(@_)</c:formatCode>
                <c:ptCount val="55"/>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225.09862015231062</c:v>
                </c:pt>
                <c:pt idx="35">
                  <c:v>233.37658576476809</c:v>
                </c:pt>
                <c:pt idx="36">
                  <c:v>225.85430427177289</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extLst>
            <c:ext xmlns:c16="http://schemas.microsoft.com/office/drawing/2014/chart" uri="{C3380CC4-5D6E-409C-BE32-E72D297353CC}">
              <c16:uniqueId val="{00000000-7C9F-DD4A-B0B3-693715610665}"/>
            </c:ext>
          </c:extLst>
        </c:ser>
        <c:ser>
          <c:idx val="1"/>
          <c:order val="1"/>
          <c:tx>
            <c:strRef>
              <c:f>'Charts for slides'!$BJ$46</c:f>
              <c:strCache>
                <c:ptCount val="1"/>
                <c:pt idx="0">
                  <c:v>Chinese CSPs</c:v>
                </c:pt>
              </c:strCache>
            </c:strRef>
          </c:tx>
          <c:marker>
            <c:symbol val="none"/>
          </c:marker>
          <c:cat>
            <c:strRef>
              <c:f>'Charts for slides'!$E$41:$BG$41</c:f>
              <c:strCache>
                <c:ptCount val="5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strCache>
            </c:strRef>
          </c:cat>
          <c:val>
            <c:numRef>
              <c:f>'Charts for slides'!$E$46:$BG$46</c:f>
              <c:numCache>
                <c:formatCode>_("$"* #,##0_);_("$"* \(#,##0\);_("$"* "-"??_);_(@_)</c:formatCode>
                <c:ptCount val="55"/>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52.019581324238509</c:v>
                </c:pt>
                <c:pt idx="35">
                  <c:v>48.076850767206103</c:v>
                </c:pt>
                <c:pt idx="36">
                  <c:v>52.519679203047865</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132838144"/>
        <c:axId val="132839680"/>
      </c:lineChart>
      <c:catAx>
        <c:axId val="132838144"/>
        <c:scaling>
          <c:orientation val="minMax"/>
        </c:scaling>
        <c:delete val="0"/>
        <c:axPos val="b"/>
        <c:numFmt formatCode="General" sourceLinked="1"/>
        <c:majorTickMark val="out"/>
        <c:minorTickMark val="none"/>
        <c:tickLblPos val="nextTo"/>
        <c:crossAx val="132839680"/>
        <c:crosses val="autoZero"/>
        <c:auto val="1"/>
        <c:lblAlgn val="ctr"/>
        <c:lblOffset val="100"/>
        <c:noMultiLvlLbl val="0"/>
      </c:catAx>
      <c:valAx>
        <c:axId val="13283968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32838144"/>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slides'!$BJ$50</c:f>
              <c:strCache>
                <c:ptCount val="1"/>
                <c:pt idx="0">
                  <c:v>Non-Chinese CSPs</c:v>
                </c:pt>
              </c:strCache>
            </c:strRef>
          </c:tx>
          <c:marker>
            <c:symbol val="none"/>
          </c:marker>
          <c:trendline>
            <c:trendlineType val="poly"/>
            <c:order val="3"/>
            <c:dispRSqr val="0"/>
            <c:dispEq val="0"/>
          </c:trendline>
          <c:cat>
            <c:strRef>
              <c:f>'Charts for slides'!$E$41:$BG$41</c:f>
              <c:strCache>
                <c:ptCount val="5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strCache>
            </c:strRef>
          </c:cat>
          <c:val>
            <c:numRef>
              <c:f>'Charts for slides'!$E$50:$BG$50</c:f>
              <c:numCache>
                <c:formatCode>_("$"* #,##0_);_("$"* \(#,##0\);_("$"* "-"??_);_(@_)</c:formatCode>
                <c:ptCount val="55"/>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31.31189770523066</c:v>
                </c:pt>
                <c:pt idx="35">
                  <c:v>32.518893926906415</c:v>
                </c:pt>
                <c:pt idx="36">
                  <c:v>33.555712145386366</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extLst>
            <c:ext xmlns:c16="http://schemas.microsoft.com/office/drawing/2014/chart" uri="{C3380CC4-5D6E-409C-BE32-E72D297353CC}">
              <c16:uniqueId val="{00000001-FE55-3E46-AD52-8BB438DD3885}"/>
            </c:ext>
          </c:extLst>
        </c:ser>
        <c:ser>
          <c:idx val="1"/>
          <c:order val="1"/>
          <c:tx>
            <c:strRef>
              <c:f>'Charts for slides'!$BJ$47</c:f>
              <c:strCache>
                <c:ptCount val="1"/>
                <c:pt idx="0">
                  <c:v>Chinese CSPs</c:v>
                </c:pt>
              </c:strCache>
            </c:strRef>
          </c:tx>
          <c:marker>
            <c:symbol val="none"/>
          </c:marker>
          <c:trendline>
            <c:trendlineType val="poly"/>
            <c:order val="3"/>
            <c:dispRSqr val="0"/>
            <c:dispEq val="0"/>
          </c:trendline>
          <c:cat>
            <c:strRef>
              <c:f>'Charts for slides'!$E$41:$BG$41</c:f>
              <c:strCache>
                <c:ptCount val="5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strCache>
            </c:strRef>
          </c:cat>
          <c:val>
            <c:numRef>
              <c:f>'Charts for slides'!$E$47:$BG$47</c:f>
              <c:numCache>
                <c:formatCode>_("$"* #,##0_);_("$"* \(#,##0\);_("$"* "-"??_);_(@_)</c:formatCode>
                <c:ptCount val="55"/>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12.308333223568152</c:v>
                </c:pt>
                <c:pt idx="35">
                  <c:v>11.805501323267821</c:v>
                </c:pt>
                <c:pt idx="36">
                  <c:v>10.672873089523694</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133285760"/>
        <c:axId val="133287296"/>
      </c:lineChart>
      <c:catAx>
        <c:axId val="133285760"/>
        <c:scaling>
          <c:orientation val="minMax"/>
        </c:scaling>
        <c:delete val="0"/>
        <c:axPos val="b"/>
        <c:numFmt formatCode="General" sourceLinked="1"/>
        <c:majorTickMark val="out"/>
        <c:minorTickMark val="none"/>
        <c:tickLblPos val="nextTo"/>
        <c:crossAx val="133287296"/>
        <c:crosses val="autoZero"/>
        <c:auto val="1"/>
        <c:lblAlgn val="ctr"/>
        <c:lblOffset val="100"/>
        <c:noMultiLvlLbl val="0"/>
      </c:catAx>
      <c:valAx>
        <c:axId val="133287296"/>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33285760"/>
        <c:crosses val="autoZero"/>
        <c:crossBetween val="between"/>
      </c:valAx>
    </c:plotArea>
    <c:legend>
      <c:legendPos val="t"/>
      <c:legendEntry>
        <c:idx val="2"/>
        <c:delete val="1"/>
      </c:legendEntry>
      <c:legendEntry>
        <c:idx val="3"/>
        <c:delete val="1"/>
      </c:legendEntry>
      <c:layout>
        <c:manualLayout>
          <c:xMode val="edge"/>
          <c:yMode val="edge"/>
          <c:x val="0.13977354517725163"/>
          <c:y val="0.3080334243292272"/>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Small Company Revenue </a:t>
            </a:r>
            <a:r>
              <a:rPr lang="en-US" sz="1400" b="1" i="0" u="none" strike="noStrike" baseline="0">
                <a:effectLst/>
              </a:rPr>
              <a:t>($ Million) </a:t>
            </a:r>
            <a:endParaRPr lang="en-US" sz="1400"/>
          </a:p>
        </c:rich>
      </c:tx>
      <c:layout>
        <c:manualLayout>
          <c:xMode val="edge"/>
          <c:yMode val="edge"/>
          <c:x val="0.28302397332909146"/>
          <c:y val="1.7335333083364581E-2"/>
        </c:manualLayout>
      </c:layout>
      <c:overlay val="0"/>
    </c:title>
    <c:autoTitleDeleted val="0"/>
    <c:plotArea>
      <c:layout>
        <c:manualLayout>
          <c:layoutTarget val="inner"/>
          <c:xMode val="edge"/>
          <c:yMode val="edge"/>
          <c:x val="7.7212125787319508E-2"/>
          <c:y val="0.11458252742179019"/>
          <c:w val="0.88248853761700841"/>
          <c:h val="0.66329485082480633"/>
        </c:manualLayout>
      </c:layout>
      <c:lineChart>
        <c:grouping val="standard"/>
        <c:varyColors val="0"/>
        <c:ser>
          <c:idx val="7"/>
          <c:order val="0"/>
          <c:tx>
            <c:strRef>
              <c:f>'Network equip'!$B$16</c:f>
              <c:strCache>
                <c:ptCount val="1"/>
                <c:pt idx="0">
                  <c:v>Infinera</c:v>
                </c:pt>
              </c:strCache>
            </c:strRef>
          </c:tx>
          <c:spPr>
            <a:ln>
              <a:solidFill>
                <a:schemeClr val="accent6"/>
              </a:solidFill>
            </a:ln>
          </c:spPr>
          <c:marker>
            <c:symbol val="circle"/>
            <c:size val="7"/>
            <c:spPr>
              <a:solidFill>
                <a:schemeClr val="accent6"/>
              </a:solidFill>
              <a:ln>
                <a:solidFill>
                  <a:schemeClr val="accent6"/>
                </a:solidFill>
              </a:ln>
            </c:spPr>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equip'!$C$16:$AG$16</c:f>
              <c:numCache>
                <c:formatCode>"$"#,##0_);\("$"#,##0\)</c:formatCode>
                <c:ptCount val="19"/>
                <c:pt idx="0">
                  <c:v>223</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equip'!$C$9:$AB$9</c:f>
              <c:numCache>
                <c:formatCode>"$"#,##0_);\("$"#,##0\)</c:formatCode>
                <c:ptCount val="14"/>
                <c:pt idx="0">
                  <c:v>145.52060860679003</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equip'!$C$8:$AG$8</c:f>
              <c:numCache>
                <c:formatCode>"$"#,##0_);\("$"#,##0\)</c:formatCode>
                <c:ptCount val="19"/>
                <c:pt idx="0">
                  <c:v>143.791</c:v>
                </c:pt>
              </c:numCache>
            </c:numRef>
          </c:val>
          <c:smooth val="0"/>
          <c:extLst>
            <c:ext xmlns:c16="http://schemas.microsoft.com/office/drawing/2014/chart" uri="{C3380CC4-5D6E-409C-BE32-E72D297353CC}">
              <c16:uniqueId val="{00000002-8969-A14C-ACB3-9AD25998A77E}"/>
            </c:ext>
          </c:extLst>
        </c:ser>
        <c:ser>
          <c:idx val="2"/>
          <c:order val="3"/>
          <c:tx>
            <c:strRef>
              <c:f>'Network equip'!$B$10</c:f>
              <c:strCache>
                <c:ptCount val="1"/>
                <c:pt idx="0">
                  <c:v>Calix</c:v>
                </c:pt>
              </c:strCache>
            </c:strRef>
          </c:tx>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equip'!$C$10:$AG$10</c:f>
              <c:numCache>
                <c:formatCode>"$"#,##0_);\("$"#,##0\)</c:formatCode>
                <c:ptCount val="19"/>
              </c:numCache>
            </c:numRef>
          </c:val>
          <c:smooth val="0"/>
          <c:extLst>
            <c:ext xmlns:c16="http://schemas.microsoft.com/office/drawing/2014/chart" uri="{C3380CC4-5D6E-409C-BE32-E72D297353CC}">
              <c16:uniqueId val="{00000000-5327-4504-9895-4057B289D390}"/>
            </c:ext>
          </c:extLst>
        </c:ser>
        <c:ser>
          <c:idx val="3"/>
          <c:order val="4"/>
          <c:tx>
            <c:strRef>
              <c:f>'Network equip'!$B$18</c:f>
              <c:strCache>
                <c:ptCount val="1"/>
                <c:pt idx="0">
                  <c:v>Ribbon Comm (products only)</c:v>
                </c:pt>
              </c:strCache>
            </c:strRef>
          </c:tx>
          <c:marker>
            <c:symbol val="triangle"/>
            <c:size val="7"/>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equip'!$C$18:$AG$18</c:f>
              <c:numCache>
                <c:formatCode>"$"#,##0_);\("$"#,##0\)</c:formatCode>
                <c:ptCount val="19"/>
                <c:pt idx="0">
                  <c:v>47.5</c:v>
                </c:pt>
              </c:numCache>
            </c:numRef>
          </c:val>
          <c:smooth val="0"/>
          <c:extLst>
            <c:ext xmlns:c16="http://schemas.microsoft.com/office/drawing/2014/chart" uri="{C3380CC4-5D6E-409C-BE32-E72D297353CC}">
              <c16:uniqueId val="{00000001-5327-4504-9895-4057B289D390}"/>
            </c:ext>
          </c:extLst>
        </c:ser>
        <c:dLbls>
          <c:showLegendKey val="0"/>
          <c:showVal val="0"/>
          <c:showCatName val="0"/>
          <c:showSerName val="0"/>
          <c:showPercent val="0"/>
          <c:showBubbleSize val="0"/>
        </c:dLbls>
        <c:marker val="1"/>
        <c:smooth val="0"/>
        <c:axId val="163305344"/>
        <c:axId val="163306880"/>
      </c:lineChart>
      <c:dateAx>
        <c:axId val="163305344"/>
        <c:scaling>
          <c:orientation val="minMax"/>
        </c:scaling>
        <c:delete val="0"/>
        <c:axPos val="b"/>
        <c:numFmt formatCode="General" sourceLinked="0"/>
        <c:majorTickMark val="out"/>
        <c:minorTickMark val="none"/>
        <c:tickLblPos val="nextTo"/>
        <c:txPr>
          <a:bodyPr rot="0"/>
          <a:lstStyle/>
          <a:p>
            <a:pPr>
              <a:defRPr sz="1100"/>
            </a:pPr>
            <a:endParaRPr lang="en-US"/>
          </a:p>
        </c:txPr>
        <c:crossAx val="163306880"/>
        <c:crosses val="autoZero"/>
        <c:auto val="0"/>
        <c:lblOffset val="100"/>
        <c:baseTimeUnit val="days"/>
        <c:majorUnit val="1"/>
      </c:dateAx>
      <c:valAx>
        <c:axId val="163306880"/>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63305344"/>
        <c:crosses val="autoZero"/>
        <c:crossBetween val="between"/>
      </c:valAx>
    </c:plotArea>
    <c:legend>
      <c:legendPos val="b"/>
      <c:layout>
        <c:manualLayout>
          <c:xMode val="edge"/>
          <c:yMode val="edge"/>
          <c:x val="4.9999999999999989E-2"/>
          <c:y val="0.91562730074747012"/>
          <c:w val="0.9"/>
          <c:h val="7.6570116235470553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Telecom Network Equipment</a:t>
            </a:r>
            <a:r>
              <a:rPr lang="en-US" sz="1800" baseline="0"/>
              <a:t> </a:t>
            </a:r>
            <a:r>
              <a:rPr lang="en-US" sz="1800"/>
              <a:t>Revenue ($ </a:t>
            </a:r>
            <a:r>
              <a:rPr lang="en-US" sz="1800" b="1" i="0" u="none" strike="noStrike" baseline="0">
                <a:effectLst/>
              </a:rPr>
              <a:t>Billion</a:t>
            </a:r>
            <a:r>
              <a:rPr lang="en-US" sz="1800"/>
              <a:t>)</a:t>
            </a:r>
          </a:p>
        </c:rich>
      </c:tx>
      <c:layout>
        <c:manualLayout>
          <c:xMode val="edge"/>
          <c:yMode val="edge"/>
          <c:x val="0.17292086150353869"/>
          <c:y val="1.475266926014154E-2"/>
        </c:manualLayout>
      </c:layout>
      <c:overlay val="0"/>
    </c:title>
    <c:autoTitleDeleted val="0"/>
    <c:plotArea>
      <c:layout>
        <c:manualLayout>
          <c:layoutTarget val="inner"/>
          <c:xMode val="edge"/>
          <c:yMode val="edge"/>
          <c:x val="7.5674311501083155E-2"/>
          <c:y val="0.106918738768329"/>
          <c:w val="0.87614358756091026"/>
          <c:h val="0.72781080936311537"/>
        </c:manualLayout>
      </c:layout>
      <c:barChart>
        <c:barDir val="col"/>
        <c:grouping val="clustered"/>
        <c:varyColors val="0"/>
        <c:ser>
          <c:idx val="0"/>
          <c:order val="0"/>
          <c:invertIfNegative val="0"/>
          <c:trendline>
            <c:spPr>
              <a:ln w="25400"/>
            </c:spPr>
            <c:trendlineType val="linear"/>
            <c:dispRSqr val="0"/>
            <c:dispEq val="0"/>
          </c:trendline>
          <c:cat>
            <c:strRef>
              <c:f>'Charts for slides'!$AC$75:$BG$75</c:f>
              <c:strCache>
                <c:ptCount val="31"/>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strCache>
            </c:strRef>
          </c:cat>
          <c:val>
            <c:numRef>
              <c:f>'Charts for slides'!$AC$76:$BG$76</c:f>
              <c:numCache>
                <c:formatCode>_("$"* #,##0_);_("$"* \(#,##0\);_("$"* "-"??_);_(@_)</c:formatCode>
                <c:ptCount val="31"/>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26.926814810845642</c:v>
                </c:pt>
                <c:pt idx="9">
                  <c:v>27.449838113020569</c:v>
                </c:pt>
                <c:pt idx="10">
                  <c:v>26.759306337834719</c:v>
                </c:pt>
                <c:pt idx="11">
                  <c:v>31.375030293126979</c:v>
                </c:pt>
                <c:pt idx="12">
                  <c:v>27.282738899204237</c:v>
                </c:pt>
                <c:pt idx="13">
                  <c:v>0</c:v>
                </c:pt>
                <c:pt idx="14">
                  <c:v>0</c:v>
                </c:pt>
                <c:pt idx="15">
                  <c:v>0</c:v>
                </c:pt>
                <c:pt idx="16">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pt idx="24" formatCode="_(&quot;$&quot;* #,##0.0_);_(&quot;$&quot;* \(#,##0.0\);_(&quot;$&quot;* &quot;-&quot;??_);_(@_)">
                  <c:v>0</c:v>
                </c:pt>
                <c:pt idx="25" formatCode="_(&quot;$&quot;* #,##0.0_);_(&quot;$&quot;* \(#,##0.0\);_(&quot;$&quot;* &quot;-&quot;??_);_(@_)">
                  <c:v>0</c:v>
                </c:pt>
                <c:pt idx="26" formatCode="_(&quot;$&quot;* #,##0.0_);_(&quot;$&quot;* \(#,##0.0\);_(&quot;$&quot;* &quot;-&quot;??_);_(@_)">
                  <c:v>0</c:v>
                </c:pt>
                <c:pt idx="27" formatCode="_(&quot;$&quot;* #,##0.0_);_(&quot;$&quot;* \(#,##0.0\);_(&quot;$&quot;* &quot;-&quot;??_);_(@_)">
                  <c:v>0</c:v>
                </c:pt>
                <c:pt idx="28" formatCode="_(&quot;$&quot;* #,##0.0_);_(&quot;$&quot;* \(#,##0.0\);_(&quot;$&quot;* &quot;-&quot;??_);_(@_)">
                  <c:v>0</c:v>
                </c:pt>
                <c:pt idx="29" formatCode="_(&quot;$&quot;* #,##0.0_);_(&quot;$&quot;* \(#,##0.0\);_(&quot;$&quot;* &quot;-&quot;??_);_(@_)">
                  <c:v>0</c:v>
                </c:pt>
                <c:pt idx="30" formatCode="_(&quot;$&quot;* #,##0.0_);_(&quot;$&quot;* \(#,##0.0\);_(&quot;$&quot;* &quot;-&quot;??_);_(@_)">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63333248"/>
        <c:axId val="163334784"/>
      </c:barChart>
      <c:dateAx>
        <c:axId val="163333248"/>
        <c:scaling>
          <c:orientation val="minMax"/>
        </c:scaling>
        <c:delete val="0"/>
        <c:axPos val="b"/>
        <c:numFmt formatCode="General" sourceLinked="0"/>
        <c:majorTickMark val="out"/>
        <c:minorTickMark val="none"/>
        <c:tickLblPos val="nextTo"/>
        <c:txPr>
          <a:bodyPr/>
          <a:lstStyle/>
          <a:p>
            <a:pPr>
              <a:defRPr b="0"/>
            </a:pPr>
            <a:endParaRPr lang="en-US"/>
          </a:p>
        </c:txPr>
        <c:crossAx val="163334784"/>
        <c:crosses val="autoZero"/>
        <c:auto val="0"/>
        <c:lblOffset val="100"/>
        <c:baseTimeUnit val="days"/>
        <c:majorUnit val="1"/>
      </c:dateAx>
      <c:valAx>
        <c:axId val="163334784"/>
        <c:scaling>
          <c:orientation val="minMax"/>
        </c:scaling>
        <c:delete val="0"/>
        <c:axPos val="l"/>
        <c:majorGridlines/>
        <c:numFmt formatCode="&quot;$&quot;#,##0_);\(&quot;$&quot;#,##0\)" sourceLinked="0"/>
        <c:majorTickMark val="out"/>
        <c:minorTickMark val="none"/>
        <c:tickLblPos val="nextTo"/>
        <c:txPr>
          <a:bodyPr/>
          <a:lstStyle/>
          <a:p>
            <a:pPr>
              <a:defRPr b="0"/>
            </a:pPr>
            <a:endParaRPr lang="en-US"/>
          </a:p>
        </c:txPr>
        <c:crossAx val="16333324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4328538500041"/>
          <c:y val="6.3352185900247646E-2"/>
          <c:w val="0.8536283169925335"/>
          <c:h val="0.74163192446948401"/>
        </c:manualLayout>
      </c:layout>
      <c:barChart>
        <c:barDir val="col"/>
        <c:grouping val="clustered"/>
        <c:varyColors val="0"/>
        <c:ser>
          <c:idx val="3"/>
          <c:order val="0"/>
          <c:tx>
            <c:strRef>
              <c:f>Summary!$B$248</c:f>
              <c:strCache>
                <c:ptCount val="1"/>
                <c:pt idx="0">
                  <c:v>100G</c:v>
                </c:pt>
              </c:strCache>
            </c:strRef>
          </c:tx>
          <c:invertIfNegative val="0"/>
          <c:cat>
            <c:strRef>
              <c:f>Summary!$AA$244:$AP$244</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Summary!$AA$248:$AP$248</c:f>
              <c:numCache>
                <c:formatCode>_([$$-409]* #,##0_);_([$$-409]* \(#,##0\);_([$$-409]* "-"??_);_(@_)</c:formatCode>
                <c:ptCount val="16"/>
                <c:pt idx="0">
                  <c:v>19.344000000000001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F95-4CF2-903F-B8D50900BF28}"/>
            </c:ext>
          </c:extLst>
        </c:ser>
        <c:ser>
          <c:idx val="4"/>
          <c:order val="1"/>
          <c:tx>
            <c:strRef>
              <c:f>Summary!$B$249</c:f>
              <c:strCache>
                <c:ptCount val="1"/>
                <c:pt idx="0">
                  <c:v>200G</c:v>
                </c:pt>
              </c:strCache>
            </c:strRef>
          </c:tx>
          <c:invertIfNegative val="0"/>
          <c:cat>
            <c:strRef>
              <c:f>Summary!$AA$244:$AP$244</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Summary!$AA$249:$AP$249</c:f>
              <c:numCache>
                <c:formatCode>_([$$-409]* #,##0_);_([$$-409]* \(#,##0\);_([$$-409]* "-"??_);_(@_)</c:formatCode>
                <c:ptCount val="16"/>
                <c:pt idx="0">
                  <c:v>10.6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F95-4CF2-903F-B8D50900BF28}"/>
            </c:ext>
          </c:extLst>
        </c:ser>
        <c:ser>
          <c:idx val="5"/>
          <c:order val="2"/>
          <c:tx>
            <c:strRef>
              <c:f>Summary!$B$250</c:f>
              <c:strCache>
                <c:ptCount val="1"/>
                <c:pt idx="0">
                  <c:v>400G</c:v>
                </c:pt>
              </c:strCache>
            </c:strRef>
          </c:tx>
          <c:invertIfNegative val="0"/>
          <c:cat>
            <c:strRef>
              <c:f>Summary!$AA$244:$AP$244</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Summary!$AA$250:$AP$250</c:f>
              <c:numCache>
                <c:formatCode>_([$$-409]* #,##0_);_([$$-409]* \(#,##0\);_([$$-409]* "-"??_);_(@_)</c:formatCode>
                <c:ptCount val="16"/>
                <c:pt idx="0">
                  <c:v>2.54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2F95-4CF2-903F-B8D50900BF28}"/>
            </c:ext>
          </c:extLst>
        </c:ser>
        <c:dLbls>
          <c:showLegendKey val="0"/>
          <c:showVal val="0"/>
          <c:showCatName val="0"/>
          <c:showSerName val="0"/>
          <c:showPercent val="0"/>
          <c:showBubbleSize val="0"/>
        </c:dLbls>
        <c:gapWidth val="150"/>
        <c:axId val="129894656"/>
        <c:axId val="129896448"/>
      </c:barChart>
      <c:catAx>
        <c:axId val="12989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9896448"/>
        <c:crosses val="autoZero"/>
        <c:auto val="1"/>
        <c:lblAlgn val="ctr"/>
        <c:lblOffset val="100"/>
        <c:tickLblSkip val="1"/>
        <c:tickMarkSkip val="1"/>
        <c:noMultiLvlLbl val="0"/>
      </c:catAx>
      <c:valAx>
        <c:axId val="129896448"/>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29894656"/>
        <c:crosses val="autoZero"/>
        <c:crossBetween val="between"/>
      </c:valAx>
      <c:spPr>
        <a:solidFill>
          <a:schemeClr val="bg1"/>
        </a:solidFill>
        <a:ln w="12700">
          <a:solidFill>
            <a:srgbClr val="808080"/>
          </a:solidFill>
          <a:prstDash val="solid"/>
        </a:ln>
      </c:spPr>
    </c:plotArea>
    <c:legend>
      <c:legendPos val="r"/>
      <c:layout>
        <c:manualLayout>
          <c:xMode val="edge"/>
          <c:yMode val="edge"/>
          <c:x val="0.17514342669138044"/>
          <c:y val="7.9473113357262398E-2"/>
          <c:w val="0.43400155492127196"/>
          <c:h val="9.5710426886951749E-2"/>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Rest – Outside Top 7</a:t>
            </a:r>
            <a:endParaRPr lang="en-US" sz="1400" b="1">
              <a:effectLst/>
            </a:endParaRPr>
          </a:p>
        </c:rich>
      </c:tx>
      <c:overlay val="0"/>
    </c:title>
    <c:autoTitleDeleted val="0"/>
    <c:plotArea>
      <c:layout>
        <c:manualLayout>
          <c:layoutTarget val="inner"/>
          <c:xMode val="edge"/>
          <c:yMode val="edge"/>
          <c:x val="0.13156591788735411"/>
          <c:y val="0.13596903184870895"/>
          <c:w val="0.8183813834774516"/>
          <c:h val="0.56424885933434832"/>
        </c:manualLayout>
      </c:layout>
      <c:lineChart>
        <c:grouping val="standard"/>
        <c:varyColors val="0"/>
        <c:ser>
          <c:idx val="5"/>
          <c:order val="0"/>
          <c:tx>
            <c:strRef>
              <c:f>'Datacom equip'!$B$8</c:f>
              <c:strCache>
                <c:ptCount val="1"/>
                <c:pt idx="0">
                  <c:v>Arista Networks - Product</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equip'!$K$8:$AG$8</c:f>
              <c:numCache>
                <c:formatCode>"$"#,##0_);\("$"#,##0\)</c:formatCode>
                <c:ptCount val="19"/>
              </c:numCache>
            </c:numRef>
          </c:val>
          <c:smooth val="0"/>
          <c:extLst>
            <c:ext xmlns:c16="http://schemas.microsoft.com/office/drawing/2014/chart" uri="{C3380CC4-5D6E-409C-BE32-E72D297353CC}">
              <c16:uniqueId val="{00000005-C0AF-41FC-BB04-FF89132FDBE4}"/>
            </c:ext>
          </c:extLst>
        </c:ser>
        <c:ser>
          <c:idx val="3"/>
          <c:order val="1"/>
          <c:tx>
            <c:strRef>
              <c:f>'Datacom equip'!$B$21</c:f>
              <c:strCache>
                <c:ptCount val="1"/>
                <c:pt idx="0">
                  <c:v>Oracle - Hardware</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equip'!$K$21:$AG$21</c:f>
              <c:numCache>
                <c:formatCode>"$"#,##0_);\("$"#,##0\)</c:formatCode>
                <c:ptCount val="19"/>
              </c:numCache>
            </c:numRef>
          </c:val>
          <c:smooth val="0"/>
          <c:extLst>
            <c:ext xmlns:c16="http://schemas.microsoft.com/office/drawing/2014/chart" uri="{C3380CC4-5D6E-409C-BE32-E72D297353CC}">
              <c16:uniqueId val="{00000003-C0AF-41FC-BB04-FF89132FDBE4}"/>
            </c:ext>
          </c:extLst>
        </c:ser>
        <c:ser>
          <c:idx val="2"/>
          <c:order val="2"/>
          <c:tx>
            <c:strRef>
              <c:f>'Datacom equip'!$B$17</c:f>
              <c:strCache>
                <c:ptCount val="1"/>
                <c:pt idx="0">
                  <c:v>Juniper (Routers &amp; Switches)</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equip'!$K$17:$AG$17</c:f>
              <c:numCache>
                <c:formatCode>"$"#,##0_);\("$"#,##0\)</c:formatCode>
                <c:ptCount val="19"/>
              </c:numCache>
            </c:numRef>
          </c:val>
          <c:smooth val="0"/>
          <c:extLst>
            <c:ext xmlns:c16="http://schemas.microsoft.com/office/drawing/2014/chart" uri="{C3380CC4-5D6E-409C-BE32-E72D297353CC}">
              <c16:uniqueId val="{00000004-C0AF-41FC-BB04-FF89132FDBE4}"/>
            </c:ext>
          </c:extLst>
        </c:ser>
        <c:ser>
          <c:idx val="6"/>
          <c:order val="3"/>
          <c:tx>
            <c:strRef>
              <c:f>'Datacom equip'!$B$20</c:f>
              <c:strCache>
                <c:ptCount val="1"/>
                <c:pt idx="0">
                  <c:v>NetApp - Product</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equip'!$K$20:$AG$20</c:f>
              <c:numCache>
                <c:formatCode>"$"#,##0_);\("$"#,##0\)</c:formatCode>
                <c:ptCount val="19"/>
              </c:numCache>
            </c:numRef>
          </c:val>
          <c:smooth val="0"/>
          <c:extLst>
            <c:ext xmlns:c16="http://schemas.microsoft.com/office/drawing/2014/chart" uri="{C3380CC4-5D6E-409C-BE32-E72D297353CC}">
              <c16:uniqueId val="{00000002-C0AF-41FC-BB04-FF89132FDBE4}"/>
            </c:ext>
          </c:extLst>
        </c:ser>
        <c:ser>
          <c:idx val="4"/>
          <c:order val="4"/>
          <c:tx>
            <c:strRef>
              <c:f>'Datacom equip'!$B$12</c:f>
              <c:strCache>
                <c:ptCount val="1"/>
                <c:pt idx="0">
                  <c:v>Extreme - Product</c:v>
                </c:pt>
              </c:strCache>
            </c:strRef>
          </c:tx>
          <c:marker>
            <c:symbol val="square"/>
            <c:size val="5"/>
          </c:marker>
          <c:cat>
            <c:strRef>
              <c:f>'Datacom equip'!$K$7:$AG$7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equip'!$K$12:$AG$12</c:f>
              <c:numCache>
                <c:formatCode>"$"#,##0_);\("$"#,##0\)</c:formatCode>
                <c:ptCount val="19"/>
              </c:numCache>
            </c:numRef>
          </c:val>
          <c:smooth val="0"/>
          <c:extLst>
            <c:ext xmlns:c16="http://schemas.microsoft.com/office/drawing/2014/chart" uri="{C3380CC4-5D6E-409C-BE32-E72D297353CC}">
              <c16:uniqueId val="{00000007-C0AF-41FC-BB04-FF89132FDBE4}"/>
            </c:ext>
          </c:extLst>
        </c:ser>
        <c:dLbls>
          <c:showLegendKey val="0"/>
          <c:showVal val="0"/>
          <c:showCatName val="0"/>
          <c:showSerName val="0"/>
          <c:showPercent val="0"/>
          <c:showBubbleSize val="0"/>
        </c:dLbls>
        <c:marker val="1"/>
        <c:smooth val="0"/>
        <c:axId val="133028480"/>
        <c:axId val="133042560"/>
      </c:lineChart>
      <c:catAx>
        <c:axId val="133028480"/>
        <c:scaling>
          <c:orientation val="minMax"/>
        </c:scaling>
        <c:delete val="0"/>
        <c:axPos val="b"/>
        <c:numFmt formatCode="General" sourceLinked="0"/>
        <c:majorTickMark val="out"/>
        <c:minorTickMark val="none"/>
        <c:tickLblPos val="nextTo"/>
        <c:txPr>
          <a:bodyPr/>
          <a:lstStyle/>
          <a:p>
            <a:pPr>
              <a:defRPr sz="1200" b="0"/>
            </a:pPr>
            <a:endParaRPr lang="en-US"/>
          </a:p>
        </c:txPr>
        <c:crossAx val="133042560"/>
        <c:crosses val="autoZero"/>
        <c:auto val="1"/>
        <c:lblAlgn val="ctr"/>
        <c:lblOffset val="100"/>
        <c:noMultiLvlLbl val="0"/>
      </c:catAx>
      <c:valAx>
        <c:axId val="133042560"/>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3028480"/>
        <c:crosses val="autoZero"/>
        <c:crossBetween val="midCat"/>
      </c:valAx>
    </c:plotArea>
    <c:legend>
      <c:legendPos val="b"/>
      <c:layout>
        <c:manualLayout>
          <c:xMode val="edge"/>
          <c:yMode val="edge"/>
          <c:x val="2.0971524553678809E-2"/>
          <c:y val="0.84395107321197693"/>
          <c:w val="0.95074814910769989"/>
          <c:h val="0.128259668892335"/>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Semiconductor Revenue ($ Million): Top 5</a:t>
            </a:r>
            <a:endParaRPr lang="en-US" sz="1400" b="1">
              <a:effectLst/>
            </a:endParaRPr>
          </a:p>
        </c:rich>
      </c:tx>
      <c:layout>
        <c:manualLayout>
          <c:xMode val="edge"/>
          <c:yMode val="edge"/>
          <c:x val="0.24220174629044186"/>
          <c:y val="1.2033694344163659E-2"/>
        </c:manualLayout>
      </c:layout>
      <c:overlay val="0"/>
    </c:title>
    <c:autoTitleDeleted val="0"/>
    <c:plotArea>
      <c:layout>
        <c:manualLayout>
          <c:layoutTarget val="inner"/>
          <c:xMode val="edge"/>
          <c:yMode val="edge"/>
          <c:x val="0.11000088068941673"/>
          <c:y val="9.2347219204930872E-2"/>
          <c:w val="0.86413441277586767"/>
          <c:h val="0.64397158277958644"/>
        </c:manualLayout>
      </c:layout>
      <c:lineChart>
        <c:grouping val="standard"/>
        <c:varyColors val="0"/>
        <c:ser>
          <c:idx val="1"/>
          <c:order val="0"/>
          <c:tx>
            <c:strRef>
              <c:f>'Semiconductor vendors'!$B$24</c:f>
              <c:strCache>
                <c:ptCount val="1"/>
                <c:pt idx="0">
                  <c:v>Nvidia</c:v>
                </c:pt>
              </c:strCache>
            </c:strRef>
          </c:tx>
          <c:marker>
            <c:symbol val="square"/>
            <c:size val="5"/>
          </c:marker>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vendors'!$K$24:$AG$24</c:f>
              <c:numCache>
                <c:formatCode>"$"#,##0_);\("$"#,##0\)</c:formatCode>
                <c:ptCount val="19"/>
                <c:pt idx="0">
                  <c:v>2220</c:v>
                </c:pt>
              </c:numCache>
            </c:numRef>
          </c:val>
          <c:smooth val="0"/>
          <c:extLst>
            <c:ext xmlns:c16="http://schemas.microsoft.com/office/drawing/2014/chart" uri="{C3380CC4-5D6E-409C-BE32-E72D297353CC}">
              <c16:uniqueId val="{00000005-994D-48D8-96AD-9657FA6431B7}"/>
            </c:ext>
          </c:extLst>
        </c:ser>
        <c:ser>
          <c:idx val="3"/>
          <c:order val="1"/>
          <c:tx>
            <c:strRef>
              <c:f>'Semiconductor vendors'!$B$11</c:f>
              <c:strCache>
                <c:ptCount val="1"/>
                <c:pt idx="0">
                  <c:v>Broadcom</c:v>
                </c:pt>
              </c:strCache>
            </c:strRef>
          </c:tx>
          <c:marker>
            <c:symbol val="square"/>
            <c:size val="5"/>
          </c:marker>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vendors'!$K$11:$AG$11</c:f>
              <c:numCache>
                <c:formatCode>"$"#,##0_);\("$"#,##0\)</c:formatCode>
                <c:ptCount val="19"/>
                <c:pt idx="0">
                  <c:v>5517</c:v>
                </c:pt>
              </c:numCache>
            </c:numRef>
          </c:val>
          <c:smooth val="0"/>
          <c:extLst>
            <c:ext xmlns:c16="http://schemas.microsoft.com/office/drawing/2014/chart" uri="{C3380CC4-5D6E-409C-BE32-E72D297353CC}">
              <c16:uniqueId val="{00000002-994D-48D8-96AD-9657FA6431B7}"/>
            </c:ext>
          </c:extLst>
        </c:ser>
        <c:ser>
          <c:idx val="0"/>
          <c:order val="2"/>
          <c:tx>
            <c:strRef>
              <c:f>'Semiconductor vendors'!$B$8</c:f>
              <c:strCache>
                <c:ptCount val="1"/>
                <c:pt idx="0">
                  <c:v>AMD</c:v>
                </c:pt>
              </c:strCache>
            </c:strRef>
          </c:tx>
          <c:marker>
            <c:symbol val="square"/>
            <c:size val="5"/>
          </c:marker>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vendors'!$K$8:$AG$8</c:f>
              <c:numCache>
                <c:formatCode>"$"#,##0_);\("$"#,##0\)</c:formatCode>
                <c:ptCount val="19"/>
                <c:pt idx="0">
                  <c:v>1272</c:v>
                </c:pt>
              </c:numCache>
            </c:numRef>
          </c:val>
          <c:smooth val="0"/>
          <c:extLst>
            <c:ext xmlns:c16="http://schemas.microsoft.com/office/drawing/2014/chart" uri="{C3380CC4-5D6E-409C-BE32-E72D297353CC}">
              <c16:uniqueId val="{00000000-994D-48D8-96AD-9657FA6431B7}"/>
            </c:ext>
          </c:extLst>
        </c:ser>
        <c:ser>
          <c:idx val="2"/>
          <c:order val="3"/>
          <c:tx>
            <c:strRef>
              <c:f>'Semiconductor vendors'!$B$16</c:f>
              <c:strCache>
                <c:ptCount val="1"/>
                <c:pt idx="0">
                  <c:v>Intel - Data Center</c:v>
                </c:pt>
              </c:strCache>
            </c:strRef>
          </c:tx>
          <c:marker>
            <c:symbol val="square"/>
            <c:size val="5"/>
          </c:marker>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vendors'!$K$16:$AG$16</c:f>
              <c:numCache>
                <c:formatCode>"$"#,##0_);\("$"#,##0\)</c:formatCode>
                <c:ptCount val="19"/>
                <c:pt idx="0">
                  <c:v>4900</c:v>
                </c:pt>
              </c:numCache>
            </c:numRef>
          </c:val>
          <c:smooth val="0"/>
          <c:extLst>
            <c:ext xmlns:c16="http://schemas.microsoft.com/office/drawing/2014/chart" uri="{C3380CC4-5D6E-409C-BE32-E72D297353CC}">
              <c16:uniqueId val="{00000003-994D-48D8-96AD-9657FA6431B7}"/>
            </c:ext>
          </c:extLst>
        </c:ser>
        <c:ser>
          <c:idx val="6"/>
          <c:order val="4"/>
          <c:tx>
            <c:strRef>
              <c:f>'Semiconductor vendors'!$B$9</c:f>
              <c:strCache>
                <c:ptCount val="1"/>
                <c:pt idx="0">
                  <c:v>Analog Devices</c:v>
                </c:pt>
              </c:strCache>
            </c:strRef>
          </c:tx>
          <c:marker>
            <c:symbol val="square"/>
            <c:size val="5"/>
          </c:marker>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vendors'!$K$9:$AG$9</c:f>
              <c:numCache>
                <c:formatCode>"$"#,##0_);\("$"#,##0\)</c:formatCode>
                <c:ptCount val="19"/>
                <c:pt idx="0">
                  <c:v>1530</c:v>
                </c:pt>
              </c:numCache>
            </c:numRef>
          </c:val>
          <c:smooth val="0"/>
          <c:extLst>
            <c:ext xmlns:c16="http://schemas.microsoft.com/office/drawing/2014/chart" uri="{C3380CC4-5D6E-409C-BE32-E72D297353CC}">
              <c16:uniqueId val="{00000001-994D-48D8-96AD-9657FA6431B7}"/>
            </c:ext>
          </c:extLst>
        </c:ser>
        <c:dLbls>
          <c:showLegendKey val="0"/>
          <c:showVal val="0"/>
          <c:showCatName val="0"/>
          <c:showSerName val="0"/>
          <c:showPercent val="0"/>
          <c:showBubbleSize val="0"/>
        </c:dLbls>
        <c:marker val="1"/>
        <c:smooth val="0"/>
        <c:axId val="133085056"/>
        <c:axId val="133086592"/>
      </c:lineChart>
      <c:catAx>
        <c:axId val="133085056"/>
        <c:scaling>
          <c:orientation val="minMax"/>
        </c:scaling>
        <c:delete val="0"/>
        <c:axPos val="b"/>
        <c:numFmt formatCode="General" sourceLinked="0"/>
        <c:majorTickMark val="out"/>
        <c:minorTickMark val="none"/>
        <c:tickLblPos val="nextTo"/>
        <c:txPr>
          <a:bodyPr/>
          <a:lstStyle/>
          <a:p>
            <a:pPr>
              <a:defRPr sz="1100" b="0"/>
            </a:pPr>
            <a:endParaRPr lang="en-US"/>
          </a:p>
        </c:txPr>
        <c:crossAx val="133086592"/>
        <c:crosses val="autoZero"/>
        <c:auto val="1"/>
        <c:lblAlgn val="ctr"/>
        <c:lblOffset val="100"/>
        <c:noMultiLvlLbl val="0"/>
      </c:catAx>
      <c:valAx>
        <c:axId val="133086592"/>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3085056"/>
        <c:crosses val="autoZero"/>
        <c:crossBetween val="midCat"/>
      </c:valAx>
    </c:plotArea>
    <c:legend>
      <c:legendPos val="b"/>
      <c:layout>
        <c:manualLayout>
          <c:xMode val="edge"/>
          <c:yMode val="edge"/>
          <c:x val="8.2207464332078629E-3"/>
          <c:y val="0.87444995173790108"/>
          <c:w val="0.97136078025272465"/>
          <c:h val="0.11125559620696508"/>
        </c:manualLayout>
      </c:layout>
      <c:overlay val="0"/>
      <c:txPr>
        <a:bodyPr anchor="b" anchorCtr="1"/>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u="none" strike="noStrike" baseline="0">
                <a:effectLst/>
              </a:rPr>
              <a:t>Semiconductor</a:t>
            </a:r>
            <a:r>
              <a:rPr lang="en-US" sz="1400" b="1" i="0" baseline="0">
                <a:effectLst/>
              </a:rPr>
              <a:t> Revenue ($ Million):  Outside Top 5</a:t>
            </a:r>
            <a:endParaRPr lang="en-US" sz="1400" b="1">
              <a:effectLst/>
            </a:endParaRPr>
          </a:p>
        </c:rich>
      </c:tx>
      <c:layout>
        <c:manualLayout>
          <c:xMode val="edge"/>
          <c:yMode val="edge"/>
          <c:x val="0.1898903466760978"/>
          <c:y val="9.8060395880117876E-3"/>
        </c:manualLayout>
      </c:layout>
      <c:overlay val="0"/>
    </c:title>
    <c:autoTitleDeleted val="0"/>
    <c:plotArea>
      <c:layout>
        <c:manualLayout>
          <c:layoutTarget val="inner"/>
          <c:xMode val="edge"/>
          <c:yMode val="edge"/>
          <c:x val="0.10275455480289036"/>
          <c:y val="9.2347219204930872E-2"/>
          <c:w val="0.85671631270614945"/>
          <c:h val="0.66825684710759459"/>
        </c:manualLayout>
      </c:layout>
      <c:lineChart>
        <c:grouping val="standard"/>
        <c:varyColors val="0"/>
        <c:ser>
          <c:idx val="0"/>
          <c:order val="0"/>
          <c:tx>
            <c:v>Microchip</c:v>
          </c:tx>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vendors'!$K$22:$AG$22</c:f>
              <c:numCache>
                <c:formatCode>"$"#,##0_);\("$"#,##0\)</c:formatCode>
                <c:ptCount val="19"/>
                <c:pt idx="0">
                  <c:v>1330</c:v>
                </c:pt>
              </c:numCache>
            </c:numRef>
          </c:val>
          <c:smooth val="0"/>
          <c:extLst>
            <c:ext xmlns:c16="http://schemas.microsoft.com/office/drawing/2014/chart" uri="{C3380CC4-5D6E-409C-BE32-E72D297353CC}">
              <c16:uniqueId val="{00000000-DF76-2D45-9D59-116413378EC0}"/>
            </c:ext>
          </c:extLst>
        </c:ser>
        <c:ser>
          <c:idx val="3"/>
          <c:order val="1"/>
          <c:tx>
            <c:strRef>
              <c:f>'Semiconductor vendors'!$B$19</c:f>
              <c:strCache>
                <c:ptCount val="1"/>
                <c:pt idx="0">
                  <c:v>Marvell</c:v>
                </c:pt>
              </c:strCache>
            </c:strRef>
          </c:tx>
          <c:marker>
            <c:symbol val="square"/>
            <c:size val="5"/>
          </c:marker>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vendors'!$K$19:$AG$19</c:f>
              <c:numCache>
                <c:formatCode>"$"#,##0_);\("$"#,##0\)</c:formatCode>
                <c:ptCount val="19"/>
                <c:pt idx="0">
                  <c:v>662</c:v>
                </c:pt>
              </c:numCache>
            </c:numRef>
          </c:val>
          <c:smooth val="0"/>
          <c:extLst>
            <c:ext xmlns:c16="http://schemas.microsoft.com/office/drawing/2014/chart" uri="{C3380CC4-5D6E-409C-BE32-E72D297353CC}">
              <c16:uniqueId val="{00000001-E054-4F33-BDDC-DA1DFDB18D41}"/>
            </c:ext>
          </c:extLst>
        </c:ser>
        <c:ser>
          <c:idx val="5"/>
          <c:order val="2"/>
          <c:tx>
            <c:strRef>
              <c:f>'Semiconductor vendors'!$B$21</c:f>
              <c:strCache>
                <c:ptCount val="1"/>
                <c:pt idx="0">
                  <c:v>Maxlinear</c:v>
                </c:pt>
              </c:strCache>
            </c:strRef>
          </c:tx>
          <c:marker>
            <c:symbol val="square"/>
            <c:size val="5"/>
          </c:marker>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vendors'!$K$21:$AG$21</c:f>
              <c:numCache>
                <c:formatCode>"$"#,##0_);\("$"#,##0\)</c:formatCode>
                <c:ptCount val="19"/>
                <c:pt idx="0">
                  <c:v>84.6</c:v>
                </c:pt>
              </c:numCache>
            </c:numRef>
          </c:val>
          <c:smooth val="0"/>
          <c:extLst>
            <c:ext xmlns:c16="http://schemas.microsoft.com/office/drawing/2014/chart" uri="{C3380CC4-5D6E-409C-BE32-E72D297353CC}">
              <c16:uniqueId val="{00000003-E054-4F33-BDDC-DA1DFDB18D41}"/>
            </c:ext>
          </c:extLst>
        </c:ser>
        <c:ser>
          <c:idx val="7"/>
          <c:order val="3"/>
          <c:tx>
            <c:strRef>
              <c:f>'Semiconductor vendors'!$B$18</c:f>
              <c:strCache>
                <c:ptCount val="1"/>
                <c:pt idx="0">
                  <c:v>MACOM</c:v>
                </c:pt>
              </c:strCache>
            </c:strRef>
          </c:tx>
          <c:marker>
            <c:symbol val="square"/>
            <c:size val="5"/>
          </c:marker>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vendors'!$K$18:$AG$18</c:f>
              <c:numCache>
                <c:formatCode>"$"#,##0_);\("$"#,##0\)</c:formatCode>
                <c:ptCount val="19"/>
                <c:pt idx="0">
                  <c:v>121.5</c:v>
                </c:pt>
              </c:numCache>
            </c:numRef>
          </c:val>
          <c:smooth val="0"/>
          <c:extLst>
            <c:ext xmlns:c16="http://schemas.microsoft.com/office/drawing/2014/chart" uri="{C3380CC4-5D6E-409C-BE32-E72D297353CC}">
              <c16:uniqueId val="{00000005-E054-4F33-BDDC-DA1DFDB18D41}"/>
            </c:ext>
          </c:extLst>
        </c:ser>
        <c:ser>
          <c:idx val="4"/>
          <c:order val="4"/>
          <c:tx>
            <c:strRef>
              <c:f>'Semiconductor vendors'!$B$25</c:f>
              <c:strCache>
                <c:ptCount val="1"/>
                <c:pt idx="0">
                  <c:v>Semtech</c:v>
                </c:pt>
              </c:strCache>
            </c:strRef>
          </c:tx>
          <c:marker>
            <c:symbol val="square"/>
            <c:size val="5"/>
          </c:marker>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vendors'!$K$25:$AG$25</c:f>
              <c:numCache>
                <c:formatCode>"$"#,##0_);\("$"#,##0\)</c:formatCode>
                <c:ptCount val="19"/>
                <c:pt idx="0">
                  <c:v>131.4</c:v>
                </c:pt>
              </c:numCache>
            </c:numRef>
          </c:val>
          <c:smooth val="0"/>
          <c:extLst>
            <c:ext xmlns:c16="http://schemas.microsoft.com/office/drawing/2014/chart" uri="{C3380CC4-5D6E-409C-BE32-E72D297353CC}">
              <c16:uniqueId val="{00000004-E054-4F33-BDDC-DA1DFDB18D41}"/>
            </c:ext>
          </c:extLst>
        </c:ser>
        <c:ser>
          <c:idx val="2"/>
          <c:order val="5"/>
          <c:tx>
            <c:strRef>
              <c:f>'Semiconductor vendors'!$B$20</c:f>
              <c:strCache>
                <c:ptCount val="1"/>
                <c:pt idx="0">
                  <c:v>Maxim</c:v>
                </c:pt>
              </c:strCache>
            </c:strRef>
          </c:tx>
          <c:marker>
            <c:symbol val="square"/>
            <c:size val="5"/>
          </c:marker>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vendors'!$K$20:$AE$20</c:f>
              <c:numCache>
                <c:formatCode>"$"#,##0_);\("$"#,##0\)</c:formatCode>
                <c:ptCount val="17"/>
                <c:pt idx="0">
                  <c:v>542</c:v>
                </c:pt>
              </c:numCache>
            </c:numRef>
          </c:val>
          <c:smooth val="0"/>
          <c:extLst>
            <c:ext xmlns:c16="http://schemas.microsoft.com/office/drawing/2014/chart" uri="{C3380CC4-5D6E-409C-BE32-E72D297353CC}">
              <c16:uniqueId val="{00000002-E054-4F33-BDDC-DA1DFDB18D41}"/>
            </c:ext>
          </c:extLst>
        </c:ser>
        <c:ser>
          <c:idx val="6"/>
          <c:order val="6"/>
          <c:tx>
            <c:strRef>
              <c:f>'Semiconductor vendors'!$B$26</c:f>
              <c:strCache>
                <c:ptCount val="1"/>
                <c:pt idx="0">
                  <c:v>Xilinx</c:v>
                </c:pt>
              </c:strCache>
            </c:strRef>
          </c:tx>
          <c:marker>
            <c:symbol val="square"/>
            <c:size val="5"/>
          </c:marker>
          <c:cat>
            <c:strRef>
              <c:f>'Semiconductor vendors'!$K$7:$AG$7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vendors'!$K$26:$AE$26</c:f>
              <c:numCache>
                <c:formatCode>"$"#,##0_);\("$"#,##0\)</c:formatCode>
                <c:ptCount val="17"/>
                <c:pt idx="0">
                  <c:v>828</c:v>
                </c:pt>
              </c:numCache>
            </c:numRef>
          </c:val>
          <c:smooth val="0"/>
          <c:extLst>
            <c:ext xmlns:c16="http://schemas.microsoft.com/office/drawing/2014/chart" uri="{C3380CC4-5D6E-409C-BE32-E72D297353CC}">
              <c16:uniqueId val="{00000000-E054-4F33-BDDC-DA1DFDB18D41}"/>
            </c:ext>
          </c:extLst>
        </c:ser>
        <c:dLbls>
          <c:showLegendKey val="0"/>
          <c:showVal val="0"/>
          <c:showCatName val="0"/>
          <c:showSerName val="0"/>
          <c:showPercent val="0"/>
          <c:showBubbleSize val="0"/>
        </c:dLbls>
        <c:marker val="1"/>
        <c:smooth val="0"/>
        <c:axId val="133143552"/>
        <c:axId val="133145344"/>
      </c:lineChart>
      <c:catAx>
        <c:axId val="133143552"/>
        <c:scaling>
          <c:orientation val="minMax"/>
        </c:scaling>
        <c:delete val="0"/>
        <c:axPos val="b"/>
        <c:numFmt formatCode="General" sourceLinked="0"/>
        <c:majorTickMark val="out"/>
        <c:minorTickMark val="none"/>
        <c:tickLblPos val="nextTo"/>
        <c:txPr>
          <a:bodyPr/>
          <a:lstStyle/>
          <a:p>
            <a:pPr>
              <a:defRPr sz="1100" b="0"/>
            </a:pPr>
            <a:endParaRPr lang="en-US"/>
          </a:p>
        </c:txPr>
        <c:crossAx val="133145344"/>
        <c:crosses val="autoZero"/>
        <c:auto val="1"/>
        <c:lblAlgn val="ctr"/>
        <c:lblOffset val="100"/>
        <c:noMultiLvlLbl val="0"/>
      </c:catAx>
      <c:valAx>
        <c:axId val="133145344"/>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3143552"/>
        <c:crosses val="autoZero"/>
        <c:crossBetween val="midCat"/>
      </c:valAx>
    </c:plotArea>
    <c:legend>
      <c:legendPos val="b"/>
      <c:layout>
        <c:manualLayout>
          <c:xMode val="edge"/>
          <c:yMode val="edge"/>
          <c:x val="3.5508629603117792E-2"/>
          <c:y val="0.88136027734412581"/>
          <c:w val="0.95451446883533497"/>
          <c:h val="0.11863979535143647"/>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OC Vendor</a:t>
            </a:r>
            <a:r>
              <a:rPr lang="en-US" sz="1800" baseline="0"/>
              <a:t> </a:t>
            </a:r>
            <a:r>
              <a:rPr lang="en-US" sz="1800"/>
              <a:t>Revenue ($ Million)</a:t>
            </a:r>
          </a:p>
        </c:rich>
      </c:tx>
      <c:layout>
        <c:manualLayout>
          <c:xMode val="edge"/>
          <c:yMode val="edge"/>
          <c:x val="0.29183159537490244"/>
          <c:y val="4.065347255963689E-3"/>
        </c:manualLayout>
      </c:layout>
      <c:overlay val="0"/>
    </c:title>
    <c:autoTitleDeleted val="0"/>
    <c:plotArea>
      <c:layout>
        <c:manualLayout>
          <c:layoutTarget val="inner"/>
          <c:xMode val="edge"/>
          <c:yMode val="edge"/>
          <c:x val="0.11208535087426599"/>
          <c:y val="9.4076306778133362E-2"/>
          <c:w val="0.81648576117753691"/>
          <c:h val="0.69989326678879515"/>
        </c:manualLayout>
      </c:layout>
      <c:barChart>
        <c:barDir val="col"/>
        <c:grouping val="clustered"/>
        <c:varyColors val="0"/>
        <c:ser>
          <c:idx val="0"/>
          <c:order val="0"/>
          <c:tx>
            <c:v>Revenue</c:v>
          </c:tx>
          <c:invertIfNegative val="0"/>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vendors'!$O$26:$AG$26</c:f>
              <c:numCache>
                <c:formatCode>"$"#,##0_);\("$"#,##0\)</c:formatCode>
                <c:ptCount val="19"/>
                <c:pt idx="0">
                  <c:v>2059.5153648367204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3185920"/>
        <c:axId val="133187456"/>
      </c:barChart>
      <c:lineChart>
        <c:grouping val="standard"/>
        <c:varyColors val="0"/>
        <c:ser>
          <c:idx val="1"/>
          <c:order val="1"/>
          <c:tx>
            <c:v>Year over Year (%)</c:v>
          </c:tx>
          <c:spPr>
            <a:ln>
              <a:solidFill>
                <a:schemeClr val="accent6"/>
              </a:solidFill>
            </a:ln>
          </c:spPr>
          <c:marker>
            <c:symbol val="none"/>
          </c:marker>
          <c:dLbls>
            <c:dLbl>
              <c:idx val="17"/>
              <c:layout>
                <c:manualLayout>
                  <c:x val="-3.2837884548911164E-2"/>
                  <c:y val="-1.3375006600677603E-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9A-43BA-95DE-7C8A6E7800C1}"/>
                </c:ext>
              </c:extLst>
            </c:dLbl>
            <c:dLbl>
              <c:idx val="18"/>
              <c:layout>
                <c:manualLayout>
                  <c:x val="-1.7343045438779178E-2"/>
                  <c:y val="1.1219566924716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5A-4C43-9B27-846CACCDAA30}"/>
                </c:ext>
              </c:extLst>
            </c:dLbl>
            <c:numFmt formatCode="0%" sourceLinked="0"/>
            <c:spPr>
              <a:noFill/>
              <a:ln>
                <a:noFill/>
              </a:ln>
              <a:effectLst/>
            </c:spPr>
            <c:txPr>
              <a:bodyPr/>
              <a:lstStyle/>
              <a:p>
                <a:pPr>
                  <a:defRPr>
                    <a:solidFill>
                      <a:sysClr val="windowText" lastClr="000000"/>
                    </a:solidFil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vendors'!$O$27:$AG$27</c:f>
              <c:numCache>
                <c:formatCode>0%</c:formatCode>
                <c:ptCount val="19"/>
                <c:pt idx="0">
                  <c:v>6.8865743089649323E-2</c:v>
                </c:pt>
                <c:pt idx="1">
                  <c:v>-1</c:v>
                </c:pt>
                <c:pt idx="2">
                  <c:v>-1</c:v>
                </c:pt>
                <c:pt idx="3">
                  <c:v>-1</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E-F41E-467D-90F9-43AFAB3F52DF}"/>
            </c:ext>
          </c:extLst>
        </c:ser>
        <c:dLbls>
          <c:showLegendKey val="0"/>
          <c:showVal val="0"/>
          <c:showCatName val="0"/>
          <c:showSerName val="0"/>
          <c:showPercent val="0"/>
          <c:showBubbleSize val="0"/>
        </c:dLbls>
        <c:marker val="1"/>
        <c:smooth val="0"/>
        <c:axId val="133207168"/>
        <c:axId val="133188992"/>
      </c:lineChart>
      <c:catAx>
        <c:axId val="133185920"/>
        <c:scaling>
          <c:orientation val="minMax"/>
        </c:scaling>
        <c:delete val="0"/>
        <c:axPos val="b"/>
        <c:numFmt formatCode="General" sourceLinked="0"/>
        <c:majorTickMark val="out"/>
        <c:minorTickMark val="none"/>
        <c:tickLblPos val="nextTo"/>
        <c:crossAx val="133187456"/>
        <c:crosses val="autoZero"/>
        <c:auto val="1"/>
        <c:lblAlgn val="ctr"/>
        <c:lblOffset val="100"/>
        <c:noMultiLvlLbl val="0"/>
      </c:catAx>
      <c:valAx>
        <c:axId val="133187456"/>
        <c:scaling>
          <c:orientation val="minMax"/>
          <c:min val="0"/>
        </c:scaling>
        <c:delete val="0"/>
        <c:axPos val="l"/>
        <c:majorGridlines/>
        <c:numFmt formatCode="&quot;$&quot;#,##0_);\(&quot;$&quot;#,##0\)" sourceLinked="0"/>
        <c:majorTickMark val="out"/>
        <c:minorTickMark val="none"/>
        <c:tickLblPos val="nextTo"/>
        <c:crossAx val="133185920"/>
        <c:crosses val="autoZero"/>
        <c:crossBetween val="between"/>
      </c:valAx>
      <c:valAx>
        <c:axId val="133188992"/>
        <c:scaling>
          <c:orientation val="minMax"/>
        </c:scaling>
        <c:delete val="0"/>
        <c:axPos val="r"/>
        <c:numFmt formatCode="0%" sourceLinked="0"/>
        <c:majorTickMark val="out"/>
        <c:minorTickMark val="none"/>
        <c:tickLblPos val="nextTo"/>
        <c:crossAx val="133207168"/>
        <c:crosses val="max"/>
        <c:crossBetween val="between"/>
        <c:majorUnit val="5.000000000000001E-2"/>
      </c:valAx>
      <c:catAx>
        <c:axId val="133207168"/>
        <c:scaling>
          <c:orientation val="minMax"/>
        </c:scaling>
        <c:delete val="1"/>
        <c:axPos val="b"/>
        <c:numFmt formatCode="General" sourceLinked="1"/>
        <c:majorTickMark val="out"/>
        <c:minorTickMark val="none"/>
        <c:tickLblPos val="nextTo"/>
        <c:crossAx val="133188992"/>
        <c:crosses val="autoZero"/>
        <c:auto val="1"/>
        <c:lblAlgn val="ctr"/>
        <c:lblOffset val="100"/>
        <c:noMultiLvlLbl val="0"/>
      </c:catAx>
    </c:plotArea>
    <c:legend>
      <c:legendPos val="b"/>
      <c:layout>
        <c:manualLayout>
          <c:xMode val="edge"/>
          <c:yMode val="edge"/>
          <c:x val="0.3119769141370291"/>
          <c:y val="0.92520776498472823"/>
          <c:w val="0.33802322195034989"/>
          <c:h val="7.479223501527181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Less</a:t>
            </a:r>
            <a:r>
              <a:rPr lang="en-US" sz="1400" baseline="0"/>
              <a:t> than</a:t>
            </a:r>
            <a:r>
              <a:rPr lang="en-US" sz="1400"/>
              <a:t> $100 mn per quarter</a:t>
            </a:r>
          </a:p>
        </c:rich>
      </c:tx>
      <c:layout>
        <c:manualLayout>
          <c:xMode val="edge"/>
          <c:yMode val="edge"/>
          <c:x val="0.31608696939198389"/>
          <c:y val="1.2077294685990338E-2"/>
        </c:manualLayout>
      </c:layout>
      <c:overlay val="1"/>
    </c:title>
    <c:autoTitleDeleted val="0"/>
    <c:plotArea>
      <c:layout>
        <c:manualLayout>
          <c:layoutTarget val="inner"/>
          <c:xMode val="edge"/>
          <c:yMode val="edge"/>
          <c:x val="0.110561344305646"/>
          <c:y val="0.10931917024864643"/>
          <c:w val="0.84374264967720991"/>
          <c:h val="0.63989625312596798"/>
        </c:manualLayout>
      </c:layout>
      <c:lineChart>
        <c:grouping val="standard"/>
        <c:varyColors val="0"/>
        <c:ser>
          <c:idx val="9"/>
          <c:order val="0"/>
          <c:tx>
            <c:v>AOI</c:v>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vendors'!$O$11:$AG$11</c:f>
              <c:numCache>
                <c:formatCode>"$"#,##0_);\("$"#,##0\)</c:formatCode>
                <c:ptCount val="19"/>
                <c:pt idx="0">
                  <c:v>52.719000000000001</c:v>
                </c:pt>
              </c:numCache>
            </c:numRef>
          </c:val>
          <c:smooth val="0"/>
          <c:extLst>
            <c:ext xmlns:c16="http://schemas.microsoft.com/office/drawing/2014/chart" uri="{C3380CC4-5D6E-409C-BE32-E72D297353CC}">
              <c16:uniqueId val="{00000003-418E-794A-B658-3BC364C41E5B}"/>
            </c:ext>
          </c:extLst>
        </c:ser>
        <c:ser>
          <c:idx val="1"/>
          <c:order val="1"/>
          <c:tx>
            <c:strRef>
              <c:f>'OC vendors'!$B$12</c:f>
              <c:strCache>
                <c:ptCount val="1"/>
                <c:pt idx="0">
                  <c:v>Broadex</c:v>
                </c:pt>
              </c:strCache>
            </c:strRef>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vendors'!$O$12:$AG$12</c:f>
              <c:numCache>
                <c:formatCode>"$"#,##0_);\("$"#,##0\)</c:formatCode>
                <c:ptCount val="19"/>
                <c:pt idx="0">
                  <c:v>12.457950991001674</c:v>
                </c:pt>
              </c:numCache>
            </c:numRef>
          </c:val>
          <c:smooth val="0"/>
          <c:extLst>
            <c:ext xmlns:c16="http://schemas.microsoft.com/office/drawing/2014/chart" uri="{C3380CC4-5D6E-409C-BE32-E72D297353CC}">
              <c16:uniqueId val="{00000000-2EC0-4F96-9723-6386D49D41A7}"/>
            </c:ext>
          </c:extLst>
        </c:ser>
        <c:ser>
          <c:idx val="2"/>
          <c:order val="2"/>
          <c:tx>
            <c:strRef>
              <c:f>'OC vendors'!$B$19</c:f>
              <c:strCache>
                <c:ptCount val="1"/>
                <c:pt idx="0">
                  <c:v>LandMark</c:v>
                </c:pt>
              </c:strCache>
            </c:strRef>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vendors'!$O$19:$AG$19</c:f>
              <c:numCache>
                <c:formatCode>"$"#,##0_);\("$"#,##0\)</c:formatCode>
                <c:ptCount val="19"/>
                <c:pt idx="0">
                  <c:v>14.463577361819722</c:v>
                </c:pt>
              </c:numCache>
            </c:numRef>
          </c:val>
          <c:smooth val="0"/>
          <c:extLst>
            <c:ext xmlns:c16="http://schemas.microsoft.com/office/drawing/2014/chart" uri="{C3380CC4-5D6E-409C-BE32-E72D297353CC}">
              <c16:uniqueId val="{00000001-2EC0-4F96-9723-6386D49D41A7}"/>
            </c:ext>
          </c:extLst>
        </c:ser>
        <c:ser>
          <c:idx val="0"/>
          <c:order val="3"/>
          <c:tx>
            <c:v>OE Solutions</c:v>
          </c:tx>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vendors'!$O$23:$AG$23</c:f>
              <c:numCache>
                <c:formatCode>"$"#,##0_);\("$"#,##0\)</c:formatCode>
                <c:ptCount val="19"/>
                <c:pt idx="0">
                  <c:v>38.565291894723302</c:v>
                </c:pt>
              </c:numCache>
            </c:numRef>
          </c:val>
          <c:smooth val="0"/>
          <c:extLst>
            <c:ext xmlns:c16="http://schemas.microsoft.com/office/drawing/2014/chart" uri="{C3380CC4-5D6E-409C-BE32-E72D297353CC}">
              <c16:uniqueId val="{00000000-F486-DD45-A819-F7615A2AA8A2}"/>
            </c:ext>
          </c:extLst>
        </c:ser>
        <c:ser>
          <c:idx val="3"/>
          <c:order val="4"/>
          <c:tx>
            <c:strRef>
              <c:f>'OC vendors'!$B$20</c:f>
              <c:strCache>
                <c:ptCount val="1"/>
                <c:pt idx="0">
                  <c:v>Linktel Technologies</c:v>
                </c:pt>
              </c:strCache>
            </c:strRef>
          </c:tx>
          <c:marker>
            <c:symbol val="circle"/>
            <c:size val="7"/>
          </c:marker>
          <c:cat>
            <c:strRef>
              <c:f>'OC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'OC vendors'!$O$20:$AG$20</c:f>
              <c:numCache>
                <c:formatCode>"$"#,##0_);\("$"#,##0\)</c:formatCode>
                <c:ptCount val="19"/>
              </c:numCache>
            </c:numRef>
          </c:val>
          <c:smooth val="0"/>
          <c:extLst>
            <c:ext xmlns:c16="http://schemas.microsoft.com/office/drawing/2014/chart" uri="{C3380CC4-5D6E-409C-BE32-E72D297353CC}">
              <c16:uniqueId val="{00000000-988F-48A5-BF7E-DBE314F73B1F}"/>
            </c:ext>
          </c:extLst>
        </c:ser>
        <c:dLbls>
          <c:showLegendKey val="0"/>
          <c:showVal val="0"/>
          <c:showCatName val="0"/>
          <c:showSerName val="0"/>
          <c:showPercent val="0"/>
          <c:showBubbleSize val="0"/>
        </c:dLbls>
        <c:marker val="1"/>
        <c:smooth val="0"/>
        <c:axId val="133231744"/>
        <c:axId val="133233280"/>
      </c:lineChart>
      <c:catAx>
        <c:axId val="133231744"/>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3233280"/>
        <c:crosses val="autoZero"/>
        <c:auto val="1"/>
        <c:lblAlgn val="ctr"/>
        <c:lblOffset val="100"/>
        <c:tickLblSkip val="1"/>
        <c:noMultiLvlLbl val="0"/>
      </c:catAx>
      <c:valAx>
        <c:axId val="133233280"/>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33231744"/>
        <c:crosses val="autoZero"/>
        <c:crossBetween val="between"/>
        <c:majorUnit val="20"/>
      </c:valAx>
    </c:plotArea>
    <c:legend>
      <c:legendPos val="b"/>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8977471566054"/>
          <c:y val="0.14839497858820277"/>
          <c:w val="0.70712588961235612"/>
          <c:h val="0.77411676336510571"/>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0-D87A-4F59-900C-7FAF061D0137}"/>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slides'!$AJ$132:$AJ$139</c:f>
              <c:strCache>
                <c:ptCount val="8"/>
                <c:pt idx="0">
                  <c:v>Cisco</c:v>
                </c:pt>
                <c:pt idx="1">
                  <c:v>Dell</c:v>
                </c:pt>
                <c:pt idx="2">
                  <c:v>HPE</c:v>
                </c:pt>
                <c:pt idx="3">
                  <c:v>Inspur</c:v>
                </c:pt>
                <c:pt idx="4">
                  <c:v>H3C</c:v>
                </c:pt>
                <c:pt idx="5">
                  <c:v>Lenovo</c:v>
                </c:pt>
                <c:pt idx="6">
                  <c:v>IBM</c:v>
                </c:pt>
                <c:pt idx="7">
                  <c:v>All others</c:v>
                </c:pt>
              </c:strCache>
            </c:strRef>
          </c:cat>
          <c:val>
            <c:numRef>
              <c:f>'Charts for slides'!$AM$132:$AM$139</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8AB-A146-83AF-885473DC40A0}"/>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4515124029858"/>
          <c:y val="0.1718387284922718"/>
          <c:w val="0.74651003943557626"/>
          <c:h val="0.7581743948673082"/>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4-B47D-4BBD-B14E-5C9B6D95CC14}"/>
              </c:ext>
            </c:extLst>
          </c:dPt>
          <c:dPt>
            <c:idx val="1"/>
            <c:bubble3D val="0"/>
            <c:spPr>
              <a:solidFill>
                <a:schemeClr val="accent2">
                  <a:lumMod val="60000"/>
                  <a:lumOff val="40000"/>
                </a:schemeClr>
              </a:solidFill>
            </c:spPr>
            <c:extLst>
              <c:ext xmlns:c16="http://schemas.microsoft.com/office/drawing/2014/chart" uri="{C3380CC4-5D6E-409C-BE32-E72D297353CC}">
                <c16:uniqueId val="{00000000-B47D-4BBD-B14E-5C9B6D95CC14}"/>
              </c:ext>
            </c:extLst>
          </c:dPt>
          <c:dPt>
            <c:idx val="3"/>
            <c:bubble3D val="0"/>
            <c:spPr>
              <a:solidFill>
                <a:schemeClr val="accent4">
                  <a:lumMod val="60000"/>
                  <a:lumOff val="40000"/>
                </a:schemeClr>
              </a:solidFill>
            </c:spPr>
            <c:extLst>
              <c:ext xmlns:c16="http://schemas.microsoft.com/office/drawing/2014/chart" uri="{C3380CC4-5D6E-409C-BE32-E72D297353CC}">
                <c16:uniqueId val="{00000001-B47D-4BBD-B14E-5C9B6D95CC14}"/>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slides'!$AS$56:$AS$63</c:f>
              <c:strCache>
                <c:ptCount val="8"/>
                <c:pt idx="0">
                  <c:v>Huawei</c:v>
                </c:pt>
                <c:pt idx="1">
                  <c:v>Nokia</c:v>
                </c:pt>
                <c:pt idx="2">
                  <c:v>Ericsson</c:v>
                </c:pt>
                <c:pt idx="3">
                  <c:v>ZTE</c:v>
                </c:pt>
                <c:pt idx="4">
                  <c:v>Fujitsu</c:v>
                </c:pt>
                <c:pt idx="5">
                  <c:v>Ciena</c:v>
                </c:pt>
                <c:pt idx="6">
                  <c:v>Fiberhome</c:v>
                </c:pt>
                <c:pt idx="7">
                  <c:v>All others</c:v>
                </c:pt>
              </c:strCache>
            </c:strRef>
          </c:cat>
          <c:val>
            <c:numRef>
              <c:f>'Charts for slides'!$AV$56:$AV$63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64B-204C-BDAC-EEBAA66505FD}"/>
            </c:ext>
          </c:extLst>
        </c:ser>
        <c:dLbls>
          <c:showLegendKey val="0"/>
          <c:showVal val="1"/>
          <c:showCatName val="0"/>
          <c:showSerName val="0"/>
          <c:showPercent val="0"/>
          <c:showBubbleSize val="0"/>
          <c:showLeaderLines val="1"/>
        </c:dLbls>
        <c:firstSliceAng val="37"/>
      </c:pieChart>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86741410929404"/>
          <c:y val="0.15061481852775779"/>
          <c:w val="0.65997196564371763"/>
          <c:h val="0.72249562554680669"/>
        </c:manualLayout>
      </c:layout>
      <c:pieChart>
        <c:varyColors val="1"/>
        <c:ser>
          <c:idx val="0"/>
          <c:order val="0"/>
          <c:dLbls>
            <c:dLbl>
              <c:idx val="3"/>
              <c:layout>
                <c:manualLayout>
                  <c:x val="-5.587015623761548E-2"/>
                  <c:y val="1.967099537889154E-2"/>
                </c:manualLayout>
              </c:layout>
              <c:showLegendKey val="0"/>
              <c:showVal val="0"/>
              <c:showCatName val="1"/>
              <c:showSerName val="0"/>
              <c:showPercent val="1"/>
              <c:showBubbleSize val="0"/>
              <c:extLst>
                <c:ext xmlns:c15="http://schemas.microsoft.com/office/drawing/2012/chart" uri="{CE6537A1-D6FC-4f65-9D91-7224C49458BB}">
                  <c15:layout>
                    <c:manualLayout>
                      <c:w val="0.2436562244499606"/>
                      <c:h val="0.1969241773962804"/>
                    </c:manualLayout>
                  </c15:layout>
                </c:ext>
                <c:ext xmlns:c16="http://schemas.microsoft.com/office/drawing/2014/chart" uri="{C3380CC4-5D6E-409C-BE32-E72D297353CC}">
                  <c16:uniqueId val="{00000000-ECAB-4ACB-A1E8-80A1DBDC0F99}"/>
                </c:ext>
              </c:extLst>
            </c:dLbl>
            <c:dLbl>
              <c:idx val="7"/>
              <c:layout>
                <c:manualLayout>
                  <c:x val="0.11119252404424258"/>
                  <c:y val="9.255291290922014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E-6344-A6F5-C8AE024C783A}"/>
                </c:ext>
              </c:extLst>
            </c:dLbl>
            <c:dLbl>
              <c:idx val="8"/>
              <c:layout>
                <c:manualLayout>
                  <c:x val="0.270064404744913"/>
                  <c:y val="2.93996616862868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AB-4ACB-A1E8-80A1DBDC0F99}"/>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slides'!$AI$158:$AI$165</c:f>
              <c:strCache>
                <c:ptCount val="8"/>
                <c:pt idx="0">
                  <c:v>Nvidia</c:v>
                </c:pt>
                <c:pt idx="1">
                  <c:v>Broadcom</c:v>
                </c:pt>
                <c:pt idx="2">
                  <c:v>AMD</c:v>
                </c:pt>
                <c:pt idx="3">
                  <c:v>Intel Datacenter</c:v>
                </c:pt>
                <c:pt idx="4">
                  <c:v>Analog Devices</c:v>
                </c:pt>
                <c:pt idx="5">
                  <c:v>Microchip</c:v>
                </c:pt>
                <c:pt idx="6">
                  <c:v>Marvell</c:v>
                </c:pt>
                <c:pt idx="7">
                  <c:v>All others</c:v>
                </c:pt>
              </c:strCache>
            </c:strRef>
          </c:cat>
          <c:val>
            <c:numRef>
              <c:f>'Charts for slides'!$AL$158:$AL$165</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2CE-6344-A6F5-C8AE024C783A}"/>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43258504946493"/>
          <c:y val="0.13910243127503796"/>
          <c:w val="0.68668136735311947"/>
          <c:h val="0.75173539162867808"/>
        </c:manualLayout>
      </c:layout>
      <c:pieChart>
        <c:varyColors val="1"/>
        <c:ser>
          <c:idx val="0"/>
          <c:order val="0"/>
          <c:dLbls>
            <c:dLbl>
              <c:idx val="1"/>
              <c:layout>
                <c:manualLayout>
                  <c:x val="-0.15320393431479659"/>
                  <c:y val="-0.15858106105366196"/>
                </c:manualLayout>
              </c:layout>
              <c:showLegendKey val="0"/>
              <c:showVal val="0"/>
              <c:showCatName val="1"/>
              <c:showSerName val="0"/>
              <c:showPercent val="1"/>
              <c:showBubbleSize val="0"/>
              <c:extLst>
                <c:ext xmlns:c15="http://schemas.microsoft.com/office/drawing/2012/chart" uri="{CE6537A1-D6FC-4f65-9D91-7224C49458BB}">
                  <c15:layout>
                    <c:manualLayout>
                      <c:w val="0.25645006396172471"/>
                      <c:h val="0.16238036748103385"/>
                    </c:manualLayout>
                  </c15:layout>
                </c:ext>
                <c:ext xmlns:c16="http://schemas.microsoft.com/office/drawing/2014/chart" uri="{C3380CC4-5D6E-409C-BE32-E72D297353CC}">
                  <c16:uniqueId val="{00000000-6312-4DCA-AF87-AB425934F20F}"/>
                </c:ext>
              </c:extLst>
            </c:dLbl>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D9-424C-A53D-869381DB937B}"/>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slides'!$AP$183:$AP$190</c:f>
              <c:strCache>
                <c:ptCount val="8"/>
                <c:pt idx="0">
                  <c:v>Fabrinet</c:v>
                </c:pt>
                <c:pt idx="1">
                  <c:v>Coherent</c:v>
                </c:pt>
                <c:pt idx="2">
                  <c:v>Innolight</c:v>
                </c:pt>
                <c:pt idx="3">
                  <c:v>Lumentum</c:v>
                </c:pt>
                <c:pt idx="4">
                  <c:v>Accelink</c:v>
                </c:pt>
                <c:pt idx="5">
                  <c:v>Eoptolink</c:v>
                </c:pt>
                <c:pt idx="6">
                  <c:v>Hisense</c:v>
                </c:pt>
                <c:pt idx="7">
                  <c:v>All others</c:v>
                </c:pt>
              </c:strCache>
            </c:strRef>
          </c:cat>
          <c:val>
            <c:numRef>
              <c:f>'Charts for slides'!$AS$183:$AS$190</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BD9-424C-A53D-869381DB937B}"/>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503575994231412"/>
          <c:y val="0.24211075867170431"/>
          <c:w val="0.82263933377200649"/>
          <c:h val="0.72527928889820492"/>
        </c:manualLayout>
      </c:layout>
      <c:barChart>
        <c:barDir val="col"/>
        <c:grouping val="clustered"/>
        <c:varyColors val="0"/>
        <c:ser>
          <c:idx val="0"/>
          <c:order val="0"/>
          <c:tx>
            <c:strRef>
              <c:f>'Charts for slides'!$U$31</c:f>
              <c:strCache>
                <c:ptCount val="1"/>
                <c:pt idx="0">
                  <c:v>ICP</c:v>
                </c:pt>
              </c:strCache>
            </c:strRef>
          </c:tx>
          <c:invertIfNegative val="0"/>
          <c:cat>
            <c:strRef>
              <c:f>'Charts for slides'!$Z$29:$BH$29</c:f>
              <c:strCache>
                <c:ptCount val="35"/>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pt idx="33">
                  <c:v>2Q 23</c:v>
                </c:pt>
                <c:pt idx="34">
                  <c:v>3Q 23</c:v>
                </c:pt>
              </c:strCache>
            </c:strRef>
          </c:cat>
          <c:val>
            <c:numRef>
              <c:f>'Charts for slides'!$Z$31:$BH$31</c:f>
              <c:numCache>
                <c:formatCode>0.0%</c:formatCode>
                <c:ptCount val="35"/>
                <c:pt idx="0">
                  <c:v>0.28624980949418211</c:v>
                </c:pt>
                <c:pt idx="1">
                  <c:v>0.13827721282521077</c:v>
                </c:pt>
                <c:pt idx="2">
                  <c:v>4.6632607062302656E-2</c:v>
                </c:pt>
                <c:pt idx="3">
                  <c:v>1.207115884894927E-2</c:v>
                </c:pt>
                <c:pt idx="4">
                  <c:v>0.12855702735155194</c:v>
                </c:pt>
                <c:pt idx="5">
                  <c:v>0.13434028594697045</c:v>
                </c:pt>
                <c:pt idx="6">
                  <c:v>0.16627299066169132</c:v>
                </c:pt>
                <c:pt idx="7">
                  <c:v>0.21175590087091845</c:v>
                </c:pt>
                <c:pt idx="8">
                  <c:v>0.11789395542640491</c:v>
                </c:pt>
                <c:pt idx="9">
                  <c:v>0.2257423152019491</c:v>
                </c:pt>
                <c:pt idx="10">
                  <c:v>0.19355489169980711</c:v>
                </c:pt>
                <c:pt idx="11">
                  <c:v>0.32597970081442695</c:v>
                </c:pt>
                <c:pt idx="12">
                  <c:v>0.96061876078401132</c:v>
                </c:pt>
                <c:pt idx="13">
                  <c:v>0.59144185739689159</c:v>
                </c:pt>
                <c:pt idx="14">
                  <c:v>0.42587896969344641</c:v>
                </c:pt>
                <c:pt idx="15">
                  <c:v>0.30464211169263167</c:v>
                </c:pt>
                <c:pt idx="16">
                  <c:v>-0.14852762705252409</c:v>
                </c:pt>
                <c:pt idx="17">
                  <c:v>-1</c:v>
                </c:pt>
                <c:pt idx="18">
                  <c:v>-1</c:v>
                </c:pt>
                <c:pt idx="19">
                  <c:v>-1</c:v>
                </c:pt>
                <c:pt idx="20">
                  <c:v>-1</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2786-4507-86B7-B66F0043FA90}"/>
            </c:ext>
          </c:extLst>
        </c:ser>
        <c:ser>
          <c:idx val="1"/>
          <c:order val="1"/>
          <c:tx>
            <c:strRef>
              <c:f>'Charts for slides'!$U$30</c:f>
              <c:strCache>
                <c:ptCount val="1"/>
                <c:pt idx="0">
                  <c:v>CSP</c:v>
                </c:pt>
              </c:strCache>
            </c:strRef>
          </c:tx>
          <c:invertIfNegative val="0"/>
          <c:cat>
            <c:strRef>
              <c:f>'Charts for slides'!$Z$29:$BH$29</c:f>
              <c:strCache>
                <c:ptCount val="35"/>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pt idx="33">
                  <c:v>2Q 23</c:v>
                </c:pt>
                <c:pt idx="34">
                  <c:v>3Q 23</c:v>
                </c:pt>
              </c:strCache>
            </c:strRef>
          </c:cat>
          <c:val>
            <c:numRef>
              <c:f>'Charts for slides'!$Z$30:$BH$30</c:f>
              <c:numCache>
                <c:formatCode>0%</c:formatCode>
                <c:ptCount val="35"/>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-3.0504931515926925E-2</c:v>
                </c:pt>
                <c:pt idx="15">
                  <c:v>-8.3428973516589622E-2</c:v>
                </c:pt>
                <c:pt idx="16" formatCode="0.0%">
                  <c:v>2.7824470752758401E-2</c:v>
                </c:pt>
                <c:pt idx="17" formatCode="0.0%">
                  <c:v>-1</c:v>
                </c:pt>
                <c:pt idx="18" formatCode="0.0%">
                  <c:v>-1</c:v>
                </c:pt>
                <c:pt idx="19" formatCode="0.0%">
                  <c:v>-1</c:v>
                </c:pt>
                <c:pt idx="20" formatCode="0.0%">
                  <c:v>-1</c:v>
                </c:pt>
                <c:pt idx="21" formatCode="0.0%">
                  <c:v>0</c:v>
                </c:pt>
                <c:pt idx="22" formatCode="0.0%">
                  <c:v>0</c:v>
                </c:pt>
                <c:pt idx="23" formatCode="0.0%">
                  <c:v>0</c:v>
                </c:pt>
                <c:pt idx="24" formatCode="0.0%">
                  <c:v>0</c:v>
                </c:pt>
                <c:pt idx="25" formatCode="0.0%">
                  <c:v>0</c:v>
                </c:pt>
                <c:pt idx="26" formatCode="0.0%">
                  <c:v>0</c:v>
                </c:pt>
                <c:pt idx="27" formatCode="0.0%">
                  <c:v>0</c:v>
                </c:pt>
                <c:pt idx="28" formatCode="0.0%">
                  <c:v>0</c:v>
                </c:pt>
                <c:pt idx="29" formatCode="0.0%">
                  <c:v>0</c:v>
                </c:pt>
                <c:pt idx="30" formatCode="0.0%">
                  <c:v>0</c:v>
                </c:pt>
                <c:pt idx="31" formatCode="0.0%">
                  <c:v>0</c:v>
                </c:pt>
                <c:pt idx="32" formatCode="0.0%">
                  <c:v>0</c:v>
                </c:pt>
                <c:pt idx="33" formatCode="0.0%">
                  <c:v>0</c:v>
                </c:pt>
                <c:pt idx="34" formatCode="0.0%">
                  <c:v>0</c:v>
                </c:pt>
              </c:numCache>
            </c:numRef>
          </c:val>
          <c:extLst>
            <c:ext xmlns:c16="http://schemas.microsoft.com/office/drawing/2014/chart" uri="{C3380CC4-5D6E-409C-BE32-E72D297353CC}">
              <c16:uniqueId val="{00000001-2786-4507-86B7-B66F0043FA90}"/>
            </c:ext>
          </c:extLst>
        </c:ser>
        <c:dLbls>
          <c:showLegendKey val="0"/>
          <c:showVal val="0"/>
          <c:showCatName val="0"/>
          <c:showSerName val="0"/>
          <c:showPercent val="0"/>
          <c:showBubbleSize val="0"/>
        </c:dLbls>
        <c:gapWidth val="150"/>
        <c:axId val="164040704"/>
        <c:axId val="164042240"/>
      </c:barChart>
      <c:catAx>
        <c:axId val="164040704"/>
        <c:scaling>
          <c:orientation val="minMax"/>
        </c:scaling>
        <c:delete val="0"/>
        <c:axPos val="b"/>
        <c:numFmt formatCode="General" sourceLinked="0"/>
        <c:majorTickMark val="out"/>
        <c:minorTickMark val="none"/>
        <c:tickLblPos val="nextTo"/>
        <c:txPr>
          <a:bodyPr/>
          <a:lstStyle/>
          <a:p>
            <a:pPr>
              <a:defRPr sz="1050" b="0"/>
            </a:pPr>
            <a:endParaRPr lang="en-US"/>
          </a:p>
        </c:txPr>
        <c:crossAx val="164042240"/>
        <c:crossesAt val="0"/>
        <c:auto val="0"/>
        <c:lblAlgn val="ctr"/>
        <c:lblOffset val="200"/>
        <c:tickLblSkip val="4"/>
        <c:noMultiLvlLbl val="0"/>
      </c:catAx>
      <c:valAx>
        <c:axId val="164042240"/>
        <c:scaling>
          <c:orientation val="minMax"/>
          <c:max val="1"/>
          <c:min val="-0.2"/>
        </c:scaling>
        <c:delete val="0"/>
        <c:axPos val="l"/>
        <c:majorGridlines/>
        <c:numFmt formatCode="0%" sourceLinked="0"/>
        <c:majorTickMark val="out"/>
        <c:minorTickMark val="none"/>
        <c:tickLblPos val="low"/>
        <c:txPr>
          <a:bodyPr anchor="ctr" anchorCtr="1"/>
          <a:lstStyle/>
          <a:p>
            <a:pPr>
              <a:defRPr sz="1200" b="0"/>
            </a:pPr>
            <a:endParaRPr lang="en-US"/>
          </a:p>
        </c:txPr>
        <c:crossAx val="164040704"/>
        <c:crosses val="autoZero"/>
        <c:crossBetween val="between"/>
      </c:valAx>
    </c:plotArea>
    <c:legend>
      <c:legendPos val="t"/>
      <c:layout>
        <c:manualLayout>
          <c:xMode val="edge"/>
          <c:yMode val="edge"/>
          <c:x val="0.36394641354762164"/>
          <c:y val="9.9337436011646449E-2"/>
          <c:w val="0.25238114550749652"/>
          <c:h val="0.1357561367203314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4791143975649"/>
          <c:y val="4.1458370050314101E-2"/>
          <c:w val="0.86155936614206974"/>
          <c:h val="0.7880326331049774"/>
        </c:manualLayout>
      </c:layout>
      <c:barChart>
        <c:barDir val="col"/>
        <c:grouping val="clustered"/>
        <c:varyColors val="0"/>
        <c:ser>
          <c:idx val="2"/>
          <c:order val="0"/>
          <c:tx>
            <c:strRef>
              <c:f>Summary!$B$173</c:f>
              <c:strCache>
                <c:ptCount val="1"/>
                <c:pt idx="0">
                  <c:v>10G pluggables</c:v>
                </c:pt>
              </c:strCache>
            </c:strRef>
          </c:tx>
          <c:invertIfNegative val="0"/>
          <c:cat>
            <c:strRef>
              <c:f>Summary!$AA$172:$AP$172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Summary!$AA$173:$AP$173</c:f>
              <c:numCache>
                <c:formatCode>_("$"* #,##0_);_("$"* \(#,##0\);_("$"* "-"??_);_(@_)</c:formatCode>
                <c:ptCount val="16"/>
                <c:pt idx="0">
                  <c:v>33.716460714285709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A1AA-AF46-A7CA-A7D6308B3917}"/>
            </c:ext>
          </c:extLst>
        </c:ser>
        <c:ser>
          <c:idx val="0"/>
          <c:order val="1"/>
          <c:tx>
            <c:strRef>
              <c:f>Summary!$B$174</c:f>
              <c:strCache>
                <c:ptCount val="1"/>
                <c:pt idx="0">
                  <c:v>100G &amp; 200G pluggables</c:v>
                </c:pt>
              </c:strCache>
            </c:strRef>
          </c:tx>
          <c:invertIfNegative val="0"/>
          <c:cat>
            <c:strRef>
              <c:f>Summary!$AA$172:$AP$172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Summary!$AA$174:$AP$174</c:f>
              <c:numCache>
                <c:formatCode>_("$"* #,##0_);_("$"* \(#,##0\);_("$"* "-"??_);_(@_)</c:formatCode>
                <c:ptCount val="16"/>
                <c:pt idx="0">
                  <c:v>102.17749999999999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CB6-104E-887C-F048563B0FA6}"/>
            </c:ext>
          </c:extLst>
        </c:ser>
        <c:ser>
          <c:idx val="1"/>
          <c:order val="2"/>
          <c:tx>
            <c:strRef>
              <c:f>Summary!$B$175</c:f>
              <c:strCache>
                <c:ptCount val="1"/>
                <c:pt idx="0">
                  <c:v>400G pluggables</c:v>
                </c:pt>
              </c:strCache>
            </c:strRef>
          </c:tx>
          <c:invertIfNegative val="0"/>
          <c:cat>
            <c:strRef>
              <c:f>Summary!$AA$172:$AP$172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Summary!$AA$175:$AP$175</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CB6-104E-887C-F048563B0FA6}"/>
            </c:ext>
          </c:extLst>
        </c:ser>
        <c:dLbls>
          <c:showLegendKey val="0"/>
          <c:showVal val="0"/>
          <c:showCatName val="0"/>
          <c:showSerName val="0"/>
          <c:showPercent val="0"/>
          <c:showBubbleSize val="0"/>
        </c:dLbls>
        <c:gapWidth val="150"/>
        <c:axId val="129923712"/>
        <c:axId val="129937792"/>
      </c:barChart>
      <c:catAx>
        <c:axId val="12992371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29937792"/>
        <c:crosses val="autoZero"/>
        <c:auto val="1"/>
        <c:lblAlgn val="ctr"/>
        <c:lblOffset val="100"/>
        <c:noMultiLvlLbl val="0"/>
      </c:catAx>
      <c:valAx>
        <c:axId val="129937792"/>
        <c:scaling>
          <c:orientation val="minMax"/>
        </c:scaling>
        <c:delete val="0"/>
        <c:axPos val="l"/>
        <c:majorGridlines/>
        <c:title>
          <c:tx>
            <c:rich>
              <a:bodyPr rot="-5400000" vert="horz"/>
              <a:lstStyle/>
              <a:p>
                <a:pPr>
                  <a:defRPr sz="1400" b="0"/>
                </a:pPr>
                <a:r>
                  <a:rPr lang="en-US" sz="1400" b="0"/>
                  <a:t>Sales ($M)</a:t>
                </a:r>
              </a:p>
            </c:rich>
          </c:tx>
          <c:layout>
            <c:manualLayout>
              <c:xMode val="edge"/>
              <c:yMode val="edge"/>
              <c:x val="1.3381895052760474E-2"/>
              <c:y val="0.34920128485744334"/>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29923712"/>
        <c:crosses val="autoZero"/>
        <c:crossBetween val="between"/>
        <c:majorUnit val="50"/>
      </c:valAx>
    </c:plotArea>
    <c:legend>
      <c:legendPos val="t"/>
      <c:layout>
        <c:manualLayout>
          <c:xMode val="edge"/>
          <c:yMode val="edge"/>
          <c:x val="0.15428966231207122"/>
          <c:y val="4.7992682969729313E-2"/>
          <c:w val="0.60906554858242834"/>
          <c:h val="0.1546010972455158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Semiconductor Revenue ($ Million)</a:t>
            </a:r>
          </a:p>
        </c:rich>
      </c:tx>
      <c:layout>
        <c:manualLayout>
          <c:xMode val="edge"/>
          <c:yMode val="edge"/>
          <c:x val="0.25150372965333595"/>
          <c:y val="9.0429430041137817E-3"/>
        </c:manualLayout>
      </c:layout>
      <c:overlay val="0"/>
    </c:title>
    <c:autoTitleDeleted val="0"/>
    <c:plotArea>
      <c:layout>
        <c:manualLayout>
          <c:layoutTarget val="inner"/>
          <c:xMode val="edge"/>
          <c:yMode val="edge"/>
          <c:x val="9.5476367570491577E-2"/>
          <c:y val="0.10176545231427436"/>
          <c:w val="0.83574057680659741"/>
          <c:h val="0.6943879732287872"/>
        </c:manualLayout>
      </c:layout>
      <c:barChart>
        <c:barDir val="col"/>
        <c:grouping val="clustered"/>
        <c:varyColors val="0"/>
        <c:ser>
          <c:idx val="0"/>
          <c:order val="0"/>
          <c:tx>
            <c:v>Revenue</c:v>
          </c:tx>
          <c:invertIfNegative val="0"/>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vendors'!$K$27:$AG$27</c:f>
              <c:numCache>
                <c:formatCode>"$"#,##0_);\("$"#,##0\)</c:formatCode>
                <c:ptCount val="19"/>
                <c:pt idx="0">
                  <c:v>19220.700000000004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64095488"/>
        <c:axId val="164097024"/>
      </c:barChart>
      <c:lineChart>
        <c:grouping val="standard"/>
        <c:varyColors val="0"/>
        <c:ser>
          <c:idx val="1"/>
          <c:order val="1"/>
          <c:tx>
            <c:v>Year over Year (%)</c:v>
          </c:tx>
          <c:spPr>
            <a:ln>
              <a:solidFill>
                <a:schemeClr val="accent6"/>
              </a:solidFill>
            </a:ln>
          </c:spPr>
          <c:marker>
            <c:symbol val="none"/>
          </c:marker>
          <c:dLbls>
            <c:dLbl>
              <c:idx val="0"/>
              <c:layout>
                <c:manualLayout>
                  <c:x val="-1.5772349605678856E-2"/>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8D-42B8-8E5D-7BDCDE684854}"/>
                </c:ext>
              </c:extLst>
            </c:dLbl>
            <c:dLbl>
              <c:idx val="1"/>
              <c:layout>
                <c:manualLayout>
                  <c:x val="-2.8390229290221943E-2"/>
                  <c:y val="4.8316982819522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8D-42B8-8E5D-7BDCDE684854}"/>
                </c:ext>
              </c:extLst>
            </c:dLbl>
            <c:dLbl>
              <c:idx val="2"/>
              <c:layout>
                <c:manualLayout>
                  <c:x val="-7.8861748028394487E-3"/>
                  <c:y val="-1.115007295835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8D-42B8-8E5D-7BDCDE684854}"/>
                </c:ext>
              </c:extLst>
            </c:dLbl>
            <c:dLbl>
              <c:idx val="4"/>
              <c:layout>
                <c:manualLayout>
                  <c:x val="0"/>
                  <c:y val="-2.230014591670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8D-42B8-8E5D-7BDCDE684854}"/>
                </c:ext>
              </c:extLst>
            </c:dLbl>
            <c:dLbl>
              <c:idx val="5"/>
              <c:layout>
                <c:manualLayout>
                  <c:x val="1.577234960567884E-3"/>
                  <c:y val="1.8583454930585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8D-42B8-8E5D-7BDCDE684854}"/>
                </c:ext>
              </c:extLst>
            </c:dLbl>
            <c:dLbl>
              <c:idx val="6"/>
              <c:layout>
                <c:manualLayout>
                  <c:x val="4.7317048817036526E-3"/>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8D-42B8-8E5D-7BDCDE684854}"/>
                </c:ext>
              </c:extLst>
            </c:dLbl>
            <c:dLbl>
              <c:idx val="8"/>
              <c:layout>
                <c:manualLayout>
                  <c:x val="0"/>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8D-42B8-8E5D-7BDCDE684854}"/>
                </c:ext>
              </c:extLst>
            </c:dLbl>
            <c:dLbl>
              <c:idx val="9"/>
              <c:layout>
                <c:manualLayout>
                  <c:x val="7.8510899229220794E-3"/>
                  <c:y val="2.188663984356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7-4982-8EED-736074D738AF}"/>
                </c:ext>
              </c:extLst>
            </c:dLbl>
            <c:dLbl>
              <c:idx val="10"/>
              <c:layout>
                <c:manualLayout>
                  <c:x val="-1.1566256096453737E-16"/>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8D-42B8-8E5D-7BDCDE684854}"/>
                </c:ext>
              </c:extLst>
            </c:dLbl>
            <c:dLbl>
              <c:idx val="11"/>
              <c:layout>
                <c:manualLayout>
                  <c:x val="0"/>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8D-42B8-8E5D-7BDCDE684854}"/>
                </c:ext>
              </c:extLst>
            </c:dLbl>
            <c:dLbl>
              <c:idx val="13"/>
              <c:layout>
                <c:manualLayout>
                  <c:x val="-2.5235759369086144E-2"/>
                  <c:y val="-6.6900437750108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8D-42B8-8E5D-7BDCDE684854}"/>
                </c:ext>
              </c:extLst>
            </c:dLbl>
            <c:dLbl>
              <c:idx val="17"/>
              <c:layout>
                <c:manualLayout>
                  <c:x val="-1.9723865877712032E-2"/>
                  <c:y val="-3.4984606773019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CD-4810-8A1C-FFF73AD4F8E9}"/>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'Semiconductor vendors'!$O$7:$AG$7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'Semiconductor vendors'!$O$28:$AG$28</c:f>
              <c:numCache>
                <c:formatCode>0.0%</c:formatCode>
                <c:ptCount val="19"/>
                <c:pt idx="0">
                  <c:v>-4.9401666631964214E-2</c:v>
                </c:pt>
                <c:pt idx="1">
                  <c:v>-1</c:v>
                </c:pt>
                <c:pt idx="2">
                  <c:v>-1</c:v>
                </c:pt>
                <c:pt idx="3">
                  <c:v>-1</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7-BB8D-42B8-8E5D-7BDCDE684854}"/>
            </c:ext>
          </c:extLst>
        </c:ser>
        <c:dLbls>
          <c:showLegendKey val="0"/>
          <c:showVal val="0"/>
          <c:showCatName val="0"/>
          <c:showSerName val="0"/>
          <c:showPercent val="0"/>
          <c:showBubbleSize val="0"/>
        </c:dLbls>
        <c:marker val="1"/>
        <c:smooth val="0"/>
        <c:axId val="164120832"/>
        <c:axId val="164119296"/>
      </c:lineChart>
      <c:catAx>
        <c:axId val="164095488"/>
        <c:scaling>
          <c:orientation val="minMax"/>
        </c:scaling>
        <c:delete val="0"/>
        <c:axPos val="b"/>
        <c:numFmt formatCode="General" sourceLinked="0"/>
        <c:majorTickMark val="out"/>
        <c:minorTickMark val="none"/>
        <c:tickLblPos val="nextTo"/>
        <c:crossAx val="164097024"/>
        <c:crosses val="autoZero"/>
        <c:auto val="1"/>
        <c:lblAlgn val="ctr"/>
        <c:lblOffset val="100"/>
        <c:noMultiLvlLbl val="0"/>
      </c:catAx>
      <c:valAx>
        <c:axId val="164097024"/>
        <c:scaling>
          <c:orientation val="minMax"/>
          <c:min val="0"/>
        </c:scaling>
        <c:delete val="0"/>
        <c:axPos val="l"/>
        <c:majorGridlines/>
        <c:numFmt formatCode="&quot;$&quot;#,##0_);\(&quot;$&quot;#,##0\)" sourceLinked="0"/>
        <c:majorTickMark val="out"/>
        <c:minorTickMark val="none"/>
        <c:tickLblPos val="nextTo"/>
        <c:crossAx val="164095488"/>
        <c:crosses val="autoZero"/>
        <c:crossBetween val="between"/>
      </c:valAx>
      <c:valAx>
        <c:axId val="164119296"/>
        <c:scaling>
          <c:orientation val="minMax"/>
        </c:scaling>
        <c:delete val="0"/>
        <c:axPos val="r"/>
        <c:numFmt formatCode="0%" sourceLinked="0"/>
        <c:majorTickMark val="out"/>
        <c:minorTickMark val="none"/>
        <c:tickLblPos val="nextTo"/>
        <c:crossAx val="164120832"/>
        <c:crosses val="max"/>
        <c:crossBetween val="between"/>
      </c:valAx>
      <c:catAx>
        <c:axId val="164120832"/>
        <c:scaling>
          <c:orientation val="minMax"/>
        </c:scaling>
        <c:delete val="1"/>
        <c:axPos val="b"/>
        <c:numFmt formatCode="General" sourceLinked="1"/>
        <c:majorTickMark val="out"/>
        <c:minorTickMark val="none"/>
        <c:tickLblPos val="nextTo"/>
        <c:crossAx val="164119296"/>
        <c:crosses val="autoZero"/>
        <c:auto val="1"/>
        <c:lblAlgn val="ctr"/>
        <c:lblOffset val="100"/>
        <c:noMultiLvlLbl val="0"/>
      </c:catAx>
    </c:plotArea>
    <c:legend>
      <c:legendPos val="b"/>
      <c:layout>
        <c:manualLayout>
          <c:xMode val="edge"/>
          <c:yMode val="edge"/>
          <c:x val="0.31094963037025009"/>
          <c:y val="0.9219823689951262"/>
          <c:w val="0.34669276183280168"/>
          <c:h val="7.6205334592911123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a:t>
            </a:r>
          </a:p>
        </c:rich>
      </c:tx>
      <c:overlay val="1"/>
    </c:title>
    <c:autoTitleDeleted val="0"/>
    <c:plotArea>
      <c:layout/>
      <c:barChart>
        <c:barDir val="col"/>
        <c:grouping val="clustered"/>
        <c:varyColors val="0"/>
        <c:ser>
          <c:idx val="0"/>
          <c:order val="0"/>
          <c:invertIfNegative val="0"/>
          <c:trendline>
            <c:trendlineType val="movingAvg"/>
            <c:period val="2"/>
            <c:dispRSqr val="0"/>
            <c:dispEq val="0"/>
          </c:trendline>
          <c:cat>
            <c:strRef>
              <c:f>'Charts for slides'!$K$118:$BG$118</c:f>
              <c:strCache>
                <c:ptCount val="49"/>
                <c:pt idx="0">
                  <c:v>3Q 11</c:v>
                </c:pt>
                <c:pt idx="1">
                  <c:v>4Q 11</c:v>
                </c:pt>
                <c:pt idx="2">
                  <c:v>1Q 12</c:v>
                </c:pt>
                <c:pt idx="3">
                  <c:v>2Q 12</c:v>
                </c:pt>
                <c:pt idx="4">
                  <c:v>3Q 12</c:v>
                </c:pt>
                <c:pt idx="5">
                  <c:v>4Q 12</c:v>
                </c:pt>
                <c:pt idx="6">
                  <c:v>1Q 13</c:v>
                </c:pt>
                <c:pt idx="7">
                  <c:v>2Q 13</c:v>
                </c:pt>
                <c:pt idx="8">
                  <c:v>3Q 13</c:v>
                </c:pt>
                <c:pt idx="9">
                  <c:v>4Q 13</c:v>
                </c:pt>
                <c:pt idx="10">
                  <c:v>1Q 14</c:v>
                </c:pt>
                <c:pt idx="11">
                  <c:v>2Q 14</c:v>
                </c:pt>
                <c:pt idx="12">
                  <c:v>3Q 14</c:v>
                </c:pt>
                <c:pt idx="13">
                  <c:v>4Q 14</c:v>
                </c:pt>
                <c:pt idx="14">
                  <c:v>1Q 15</c:v>
                </c:pt>
                <c:pt idx="15">
                  <c:v>2Q 15</c:v>
                </c:pt>
                <c:pt idx="16">
                  <c:v>3Q 15</c:v>
                </c:pt>
                <c:pt idx="17">
                  <c:v>4Q 15</c:v>
                </c:pt>
                <c:pt idx="18">
                  <c:v>1Q 16</c:v>
                </c:pt>
                <c:pt idx="19">
                  <c:v>2Q 16</c:v>
                </c:pt>
                <c:pt idx="20">
                  <c:v>3Q 16</c:v>
                </c:pt>
                <c:pt idx="21">
                  <c:v>4Q 16</c:v>
                </c:pt>
                <c:pt idx="22">
                  <c:v>1Q 17</c:v>
                </c:pt>
                <c:pt idx="23">
                  <c:v>2Q 17</c:v>
                </c:pt>
                <c:pt idx="24">
                  <c:v>3Q 17</c:v>
                </c:pt>
                <c:pt idx="25">
                  <c:v>4Q 17</c:v>
                </c:pt>
                <c:pt idx="26">
                  <c:v>1Q 18</c:v>
                </c:pt>
                <c:pt idx="27">
                  <c:v>2Q 18</c:v>
                </c:pt>
                <c:pt idx="28">
                  <c:v>3Q 18</c:v>
                </c:pt>
                <c:pt idx="29">
                  <c:v>4Q 18</c:v>
                </c:pt>
                <c:pt idx="30">
                  <c:v>1Q 19</c:v>
                </c:pt>
                <c:pt idx="31">
                  <c:v>2Q 19</c:v>
                </c:pt>
                <c:pt idx="32">
                  <c:v>3Q 19</c:v>
                </c:pt>
                <c:pt idx="33">
                  <c:v>4Q 19</c:v>
                </c:pt>
                <c:pt idx="34">
                  <c:v>1Q 20</c:v>
                </c:pt>
                <c:pt idx="35">
                  <c:v>2Q 20</c:v>
                </c:pt>
                <c:pt idx="36">
                  <c:v>3Q 20</c:v>
                </c:pt>
                <c:pt idx="37">
                  <c:v>4Q 20</c:v>
                </c:pt>
                <c:pt idx="38">
                  <c:v>1Q 21</c:v>
                </c:pt>
                <c:pt idx="39">
                  <c:v>2Q 21</c:v>
                </c:pt>
                <c:pt idx="40">
                  <c:v>3Q 21</c:v>
                </c:pt>
                <c:pt idx="41">
                  <c:v>4Q 21</c:v>
                </c:pt>
                <c:pt idx="42">
                  <c:v>1Q 22</c:v>
                </c:pt>
                <c:pt idx="43">
                  <c:v>2Q 22</c:v>
                </c:pt>
                <c:pt idx="44">
                  <c:v>3Q 22</c:v>
                </c:pt>
                <c:pt idx="45">
                  <c:v>4Q 22</c:v>
                </c:pt>
                <c:pt idx="46">
                  <c:v>1Q 23</c:v>
                </c:pt>
                <c:pt idx="47">
                  <c:v>2Q 23</c:v>
                </c:pt>
                <c:pt idx="48">
                  <c:v>3Q 23</c:v>
                </c:pt>
              </c:strCache>
            </c:strRef>
          </c:cat>
          <c:val>
            <c:numRef>
              <c:f>'Charts for slides'!$K$122:$BG$122</c:f>
              <c:numCache>
                <c:formatCode>0.0%</c:formatCode>
                <c:ptCount val="49"/>
                <c:pt idx="0">
                  <c:v>0.37796133532325271</c:v>
                </c:pt>
                <c:pt idx="1">
                  <c:v>-0.19142578885789108</c:v>
                </c:pt>
                <c:pt idx="2">
                  <c:v>0.35996365375780792</c:v>
                </c:pt>
                <c:pt idx="3">
                  <c:v>0.48751505631235403</c:v>
                </c:pt>
                <c:pt idx="4">
                  <c:v>0.5991982526201225</c:v>
                </c:pt>
                <c:pt idx="5">
                  <c:v>0.74969286212948716</c:v>
                </c:pt>
                <c:pt idx="6">
                  <c:v>0.38063925836935808</c:v>
                </c:pt>
                <c:pt idx="7">
                  <c:v>0.40115829723703467</c:v>
                </c:pt>
                <c:pt idx="8">
                  <c:v>0.2016659148615898</c:v>
                </c:pt>
                <c:pt idx="9">
                  <c:v>0.15958737301684756</c:v>
                </c:pt>
                <c:pt idx="10">
                  <c:v>0.2647115180315962</c:v>
                </c:pt>
                <c:pt idx="11">
                  <c:v>0.2264248424026587</c:v>
                </c:pt>
                <c:pt idx="12">
                  <c:v>0.40159851827994353</c:v>
                </c:pt>
                <c:pt idx="13">
                  <c:v>0.38366221434251835</c:v>
                </c:pt>
                <c:pt idx="14">
                  <c:v>0.28624980949418211</c:v>
                </c:pt>
                <c:pt idx="15">
                  <c:v>0.13827721282521077</c:v>
                </c:pt>
                <c:pt idx="16">
                  <c:v>4.6632607062302656E-2</c:v>
                </c:pt>
                <c:pt idx="17">
                  <c:v>1.207115884894927E-2</c:v>
                </c:pt>
                <c:pt idx="18">
                  <c:v>0.12855702735155194</c:v>
                </c:pt>
                <c:pt idx="19">
                  <c:v>0.13434028594697045</c:v>
                </c:pt>
                <c:pt idx="20">
                  <c:v>0.16627299066169132</c:v>
                </c:pt>
                <c:pt idx="21">
                  <c:v>0.21175590087091845</c:v>
                </c:pt>
                <c:pt idx="22">
                  <c:v>0.11789395542640491</c:v>
                </c:pt>
                <c:pt idx="23">
                  <c:v>0.2257423152019491</c:v>
                </c:pt>
                <c:pt idx="24">
                  <c:v>0.19355489169980711</c:v>
                </c:pt>
                <c:pt idx="25">
                  <c:v>0.32597970081442695</c:v>
                </c:pt>
                <c:pt idx="26">
                  <c:v>0.96061876078401132</c:v>
                </c:pt>
                <c:pt idx="27">
                  <c:v>0.59144185739689159</c:v>
                </c:pt>
                <c:pt idx="28">
                  <c:v>0.42587896969344641</c:v>
                </c:pt>
                <c:pt idx="29">
                  <c:v>0.30464211169263167</c:v>
                </c:pt>
                <c:pt idx="30">
                  <c:v>-0.14852762705252409</c:v>
                </c:pt>
                <c:pt idx="31">
                  <c:v>-1</c:v>
                </c:pt>
                <c:pt idx="32">
                  <c:v>-1</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01-EEFD-4260-8673-F5A8EA3D9570}"/>
            </c:ext>
          </c:extLst>
        </c:ser>
        <c:dLbls>
          <c:showLegendKey val="0"/>
          <c:showVal val="0"/>
          <c:showCatName val="0"/>
          <c:showSerName val="0"/>
          <c:showPercent val="0"/>
          <c:showBubbleSize val="0"/>
        </c:dLbls>
        <c:gapWidth val="150"/>
        <c:axId val="163844480"/>
        <c:axId val="163846016"/>
      </c:barChart>
      <c:catAx>
        <c:axId val="163844480"/>
        <c:scaling>
          <c:orientation val="minMax"/>
        </c:scaling>
        <c:delete val="0"/>
        <c:axPos val="b"/>
        <c:numFmt formatCode="General" sourceLinked="0"/>
        <c:majorTickMark val="out"/>
        <c:minorTickMark val="none"/>
        <c:tickLblPos val="nextTo"/>
        <c:crossAx val="163846016"/>
        <c:crosses val="autoZero"/>
        <c:auto val="1"/>
        <c:lblAlgn val="ctr"/>
        <c:lblOffset val="100"/>
        <c:noMultiLvlLbl val="0"/>
      </c:catAx>
      <c:valAx>
        <c:axId val="163846016"/>
        <c:scaling>
          <c:orientation val="minMax"/>
          <c:min val="-0.2"/>
        </c:scaling>
        <c:delete val="0"/>
        <c:axPos val="l"/>
        <c:majorGridlines/>
        <c:title>
          <c:tx>
            <c:rich>
              <a:bodyPr rot="-5400000" vert="horz"/>
              <a:lstStyle/>
              <a:p>
                <a:pPr>
                  <a:defRPr/>
                </a:pPr>
                <a:r>
                  <a:rPr lang="en-US"/>
                  <a:t>y-o-y growth in quarterly spending</a:t>
                </a:r>
              </a:p>
            </c:rich>
          </c:tx>
          <c:layout>
            <c:manualLayout>
              <c:xMode val="edge"/>
              <c:yMode val="edge"/>
              <c:x val="1.9444444444444445E-2"/>
              <c:y val="0.14370370370370369"/>
            </c:manualLayout>
          </c:layout>
          <c:overlay val="0"/>
        </c:title>
        <c:numFmt formatCode="0%" sourceLinked="0"/>
        <c:majorTickMark val="out"/>
        <c:minorTickMark val="none"/>
        <c:tickLblPos val="nextTo"/>
        <c:crossAx val="163844480"/>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revenue</a:t>
            </a:r>
          </a:p>
        </c:rich>
      </c:tx>
      <c:overlay val="1"/>
    </c:title>
    <c:autoTitleDeleted val="0"/>
    <c:plotArea>
      <c:layout/>
      <c:barChart>
        <c:barDir val="col"/>
        <c:grouping val="clustered"/>
        <c:varyColors val="0"/>
        <c:ser>
          <c:idx val="0"/>
          <c:order val="0"/>
          <c:invertIfNegative val="0"/>
          <c:trendline>
            <c:trendlineType val="movingAvg"/>
            <c:period val="2"/>
            <c:dispRSqr val="0"/>
            <c:dispEq val="0"/>
          </c:trendline>
          <c:cat>
            <c:strRef>
              <c:f>'Charts for slides'!$K$118:$BG$118</c:f>
              <c:strCache>
                <c:ptCount val="49"/>
                <c:pt idx="0">
                  <c:v>3Q 11</c:v>
                </c:pt>
                <c:pt idx="1">
                  <c:v>4Q 11</c:v>
                </c:pt>
                <c:pt idx="2">
                  <c:v>1Q 12</c:v>
                </c:pt>
                <c:pt idx="3">
                  <c:v>2Q 12</c:v>
                </c:pt>
                <c:pt idx="4">
                  <c:v>3Q 12</c:v>
                </c:pt>
                <c:pt idx="5">
                  <c:v>4Q 12</c:v>
                </c:pt>
                <c:pt idx="6">
                  <c:v>1Q 13</c:v>
                </c:pt>
                <c:pt idx="7">
                  <c:v>2Q 13</c:v>
                </c:pt>
                <c:pt idx="8">
                  <c:v>3Q 13</c:v>
                </c:pt>
                <c:pt idx="9">
                  <c:v>4Q 13</c:v>
                </c:pt>
                <c:pt idx="10">
                  <c:v>1Q 14</c:v>
                </c:pt>
                <c:pt idx="11">
                  <c:v>2Q 14</c:v>
                </c:pt>
                <c:pt idx="12">
                  <c:v>3Q 14</c:v>
                </c:pt>
                <c:pt idx="13">
                  <c:v>4Q 14</c:v>
                </c:pt>
                <c:pt idx="14">
                  <c:v>1Q 15</c:v>
                </c:pt>
                <c:pt idx="15">
                  <c:v>2Q 15</c:v>
                </c:pt>
                <c:pt idx="16">
                  <c:v>3Q 15</c:v>
                </c:pt>
                <c:pt idx="17">
                  <c:v>4Q 15</c:v>
                </c:pt>
                <c:pt idx="18">
                  <c:v>1Q 16</c:v>
                </c:pt>
                <c:pt idx="19">
                  <c:v>2Q 16</c:v>
                </c:pt>
                <c:pt idx="20">
                  <c:v>3Q 16</c:v>
                </c:pt>
                <c:pt idx="21">
                  <c:v>4Q 16</c:v>
                </c:pt>
                <c:pt idx="22">
                  <c:v>1Q 17</c:v>
                </c:pt>
                <c:pt idx="23">
                  <c:v>2Q 17</c:v>
                </c:pt>
                <c:pt idx="24">
                  <c:v>3Q 17</c:v>
                </c:pt>
                <c:pt idx="25">
                  <c:v>4Q 17</c:v>
                </c:pt>
                <c:pt idx="26">
                  <c:v>1Q 18</c:v>
                </c:pt>
                <c:pt idx="27">
                  <c:v>2Q 18</c:v>
                </c:pt>
                <c:pt idx="28">
                  <c:v>3Q 18</c:v>
                </c:pt>
                <c:pt idx="29">
                  <c:v>4Q 18</c:v>
                </c:pt>
                <c:pt idx="30">
                  <c:v>1Q 19</c:v>
                </c:pt>
                <c:pt idx="31">
                  <c:v>2Q 19</c:v>
                </c:pt>
                <c:pt idx="32">
                  <c:v>3Q 19</c:v>
                </c:pt>
                <c:pt idx="33">
                  <c:v>4Q 19</c:v>
                </c:pt>
                <c:pt idx="34">
                  <c:v>1Q 20</c:v>
                </c:pt>
                <c:pt idx="35">
                  <c:v>2Q 20</c:v>
                </c:pt>
                <c:pt idx="36">
                  <c:v>3Q 20</c:v>
                </c:pt>
                <c:pt idx="37">
                  <c:v>4Q 20</c:v>
                </c:pt>
                <c:pt idx="38">
                  <c:v>1Q 21</c:v>
                </c:pt>
                <c:pt idx="39">
                  <c:v>2Q 21</c:v>
                </c:pt>
                <c:pt idx="40">
                  <c:v>3Q 21</c:v>
                </c:pt>
                <c:pt idx="41">
                  <c:v>4Q 21</c:v>
                </c:pt>
                <c:pt idx="42">
                  <c:v>1Q 22</c:v>
                </c:pt>
                <c:pt idx="43">
                  <c:v>2Q 22</c:v>
                </c:pt>
                <c:pt idx="44">
                  <c:v>3Q 22</c:v>
                </c:pt>
                <c:pt idx="45">
                  <c:v>4Q 22</c:v>
                </c:pt>
                <c:pt idx="46">
                  <c:v>1Q 23</c:v>
                </c:pt>
                <c:pt idx="47">
                  <c:v>2Q 23</c:v>
                </c:pt>
                <c:pt idx="48">
                  <c:v>3Q 23</c:v>
                </c:pt>
              </c:strCache>
            </c:strRef>
          </c:cat>
          <c:val>
            <c:numRef>
              <c:f>'Charts for slides'!$K$123:$BG$123</c:f>
              <c:numCache>
                <c:formatCode>0.0%</c:formatCode>
                <c:ptCount val="49"/>
                <c:pt idx="0">
                  <c:v>0.31040592794669575</c:v>
                </c:pt>
                <c:pt idx="1">
                  <c:v>0.40543726160159976</c:v>
                </c:pt>
                <c:pt idx="2">
                  <c:v>0.35815918843505057</c:v>
                </c:pt>
                <c:pt idx="3">
                  <c:v>0.2098988148202241</c:v>
                </c:pt>
                <c:pt idx="4">
                  <c:v>0.17821291239293502</c:v>
                </c:pt>
                <c:pt idx="5">
                  <c:v>0.16603298437705871</c:v>
                </c:pt>
                <c:pt idx="6">
                  <c:v>0.16176241652314594</c:v>
                </c:pt>
                <c:pt idx="7">
                  <c:v>0.13531987254793343</c:v>
                </c:pt>
                <c:pt idx="8">
                  <c:v>0.17988827236960026</c:v>
                </c:pt>
                <c:pt idx="9">
                  <c:v>0.17334347524602034</c:v>
                </c:pt>
                <c:pt idx="10">
                  <c:v>0.15945890387259798</c:v>
                </c:pt>
                <c:pt idx="11">
                  <c:v>0.15923541211435688</c:v>
                </c:pt>
                <c:pt idx="12">
                  <c:v>0.18738771318075131</c:v>
                </c:pt>
                <c:pt idx="13">
                  <c:v>0.20695885224212818</c:v>
                </c:pt>
                <c:pt idx="14">
                  <c:v>0.17608511132628313</c:v>
                </c:pt>
                <c:pt idx="15">
                  <c:v>0.18298670356883551</c:v>
                </c:pt>
                <c:pt idx="16">
                  <c:v>0.15964888222601425</c:v>
                </c:pt>
                <c:pt idx="17">
                  <c:v>9.6579641173541564E-2</c:v>
                </c:pt>
                <c:pt idx="18">
                  <c:v>4.7252782477593014E-2</c:v>
                </c:pt>
                <c:pt idx="19">
                  <c:v>5.8052229363779739E-2</c:v>
                </c:pt>
                <c:pt idx="20">
                  <c:v>7.8020209905074855E-2</c:v>
                </c:pt>
                <c:pt idx="21">
                  <c:v>0.11210073564597023</c:v>
                </c:pt>
                <c:pt idx="22">
                  <c:v>0.15273443658067198</c:v>
                </c:pt>
                <c:pt idx="23">
                  <c:v>0.19438248075963749</c:v>
                </c:pt>
                <c:pt idx="24">
                  <c:v>0.2541464250576364</c:v>
                </c:pt>
                <c:pt idx="25">
                  <c:v>0.25853716011571559</c:v>
                </c:pt>
                <c:pt idx="26">
                  <c:v>0.29395747015069884</c:v>
                </c:pt>
                <c:pt idx="27">
                  <c:v>0.29712618967069826</c:v>
                </c:pt>
                <c:pt idx="28">
                  <c:v>0.22880425009121197</c:v>
                </c:pt>
                <c:pt idx="29">
                  <c:v>0.11925507970425908</c:v>
                </c:pt>
                <c:pt idx="30">
                  <c:v>0.11349066536181596</c:v>
                </c:pt>
                <c:pt idx="31">
                  <c:v>-1</c:v>
                </c:pt>
                <c:pt idx="32">
                  <c:v>-1</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01-448F-4567-A128-2080355FF665}"/>
            </c:ext>
          </c:extLst>
        </c:ser>
        <c:dLbls>
          <c:showLegendKey val="0"/>
          <c:showVal val="0"/>
          <c:showCatName val="0"/>
          <c:showSerName val="0"/>
          <c:showPercent val="0"/>
          <c:showBubbleSize val="0"/>
        </c:dLbls>
        <c:gapWidth val="150"/>
        <c:axId val="163892608"/>
        <c:axId val="163894400"/>
      </c:barChart>
      <c:catAx>
        <c:axId val="163892608"/>
        <c:scaling>
          <c:orientation val="minMax"/>
        </c:scaling>
        <c:delete val="0"/>
        <c:axPos val="b"/>
        <c:numFmt formatCode="General" sourceLinked="0"/>
        <c:majorTickMark val="out"/>
        <c:minorTickMark val="none"/>
        <c:tickLblPos val="nextTo"/>
        <c:crossAx val="163894400"/>
        <c:crosses val="autoZero"/>
        <c:auto val="1"/>
        <c:lblAlgn val="ctr"/>
        <c:lblOffset val="100"/>
        <c:noMultiLvlLbl val="0"/>
      </c:catAx>
      <c:valAx>
        <c:axId val="163894400"/>
        <c:scaling>
          <c:orientation val="minMax"/>
          <c:min val="-5.000000000000001E-2"/>
        </c:scaling>
        <c:delete val="0"/>
        <c:axPos val="l"/>
        <c:majorGridlines/>
        <c:title>
          <c:tx>
            <c:rich>
              <a:bodyPr rot="-5400000" vert="horz"/>
              <a:lstStyle/>
              <a:p>
                <a:pPr>
                  <a:defRPr/>
                </a:pPr>
                <a:r>
                  <a:rPr lang="en-US"/>
                  <a:t>y-o-y growth in quarterly sales</a:t>
                </a:r>
              </a:p>
            </c:rich>
          </c:tx>
          <c:layout>
            <c:manualLayout>
              <c:xMode val="edge"/>
              <c:yMode val="edge"/>
              <c:x val="1.9444444444444445E-2"/>
              <c:y val="0.14370370370370369"/>
            </c:manualLayout>
          </c:layout>
          <c:overlay val="0"/>
        </c:title>
        <c:numFmt formatCode="0%" sourceLinked="0"/>
        <c:majorTickMark val="out"/>
        <c:minorTickMark val="none"/>
        <c:tickLblPos val="nextTo"/>
        <c:crossAx val="163892608"/>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6485245265394457"/>
          <c:h val="0.72055920093321668"/>
        </c:manualLayout>
      </c:layout>
      <c:lineChart>
        <c:grouping val="standard"/>
        <c:varyColors val="0"/>
        <c:ser>
          <c:idx val="0"/>
          <c:order val="0"/>
          <c:tx>
            <c:strRef>
              <c:f>CSPs!$B$10</c:f>
              <c:strCache>
                <c:ptCount val="1"/>
                <c:pt idx="0">
                  <c:v>China Mobile</c:v>
                </c:pt>
              </c:strCache>
            </c:strRef>
          </c:tx>
          <c:cat>
            <c:strRef>
              <c:f>CSPs!$C$7:$AG$7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CSPs!$C$10:$AG$10</c:f>
              <c:numCache>
                <c:formatCode>"$"#,##0_);\("$"#,##0\)</c:formatCode>
                <c:ptCount val="19"/>
                <c:pt idx="0">
                  <c:v>27424.878070474522</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CSPs!$C$11:$AG$11</c:f>
              <c:numCache>
                <c:formatCode>"$"#,##0_);\("$"#,##0\)</c:formatCode>
                <c:ptCount val="19"/>
                <c:pt idx="0">
                  <c:v>14251.300828676045</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CSPs!$C$12:$AG$12</c:f>
              <c:numCache>
                <c:formatCode>"$"#,##0_);\("$"#,##0\)</c:formatCode>
                <c:ptCount val="19"/>
                <c:pt idx="0">
                  <c:v>10843.500303897297</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31848448"/>
        <c:axId val="131850240"/>
      </c:lineChart>
      <c:catAx>
        <c:axId val="131848448"/>
        <c:scaling>
          <c:orientation val="minMax"/>
        </c:scaling>
        <c:delete val="0"/>
        <c:axPos val="b"/>
        <c:numFmt formatCode="General" sourceLinked="0"/>
        <c:majorTickMark val="out"/>
        <c:minorTickMark val="none"/>
        <c:tickLblPos val="nextTo"/>
        <c:crossAx val="131850240"/>
        <c:crosses val="autoZero"/>
        <c:auto val="1"/>
        <c:lblAlgn val="ctr"/>
        <c:lblOffset val="100"/>
        <c:noMultiLvlLbl val="0"/>
      </c:catAx>
      <c:valAx>
        <c:axId val="131850240"/>
        <c:scaling>
          <c:orientation val="minMax"/>
        </c:scaling>
        <c:delete val="0"/>
        <c:axPos val="l"/>
        <c:majorGridlines/>
        <c:numFmt formatCode="&quot;$&quot;#,##0_);\(&quot;$&quot;#,##0\)" sourceLinked="1"/>
        <c:majorTickMark val="out"/>
        <c:minorTickMark val="none"/>
        <c:tickLblPos val="nextTo"/>
        <c:crossAx val="131848448"/>
        <c:crosses val="autoZero"/>
        <c:crossBetween val="between"/>
      </c:valAx>
    </c:plotArea>
    <c:legend>
      <c:legendPos val="r"/>
      <c:layout>
        <c:manualLayout>
          <c:xMode val="edge"/>
          <c:yMode val="edge"/>
          <c:x val="0.79573869055841706"/>
          <c:y val="0.39080350463438446"/>
          <c:w val="0.19172998112078096"/>
          <c:h val="0.21839267374186921"/>
        </c:manualLayout>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China CSP capex</a:t>
            </a:r>
          </a:p>
        </c:rich>
      </c:tx>
      <c:layout>
        <c:manualLayout>
          <c:xMode val="edge"/>
          <c:yMode val="edge"/>
          <c:x val="0.41608048210724824"/>
          <c:y val="0"/>
        </c:manualLayout>
      </c:layout>
      <c:overlay val="1"/>
    </c:title>
    <c:autoTitleDeleted val="0"/>
    <c:plotArea>
      <c:layout>
        <c:manualLayout>
          <c:layoutTarget val="inner"/>
          <c:xMode val="edge"/>
          <c:yMode val="edge"/>
          <c:x val="0.12658041685357987"/>
          <c:y val="0.16714129483814524"/>
          <c:w val="0.82903436412553699"/>
          <c:h val="0.66037401574803145"/>
        </c:manualLayout>
      </c:layout>
      <c:lineChart>
        <c:grouping val="standard"/>
        <c:varyColors val="0"/>
        <c:ser>
          <c:idx val="0"/>
          <c:order val="0"/>
          <c:tx>
            <c:strRef>
              <c:f>CSPs!$B$10</c:f>
              <c:strCache>
                <c:ptCount val="1"/>
                <c:pt idx="0">
                  <c:v>China Mobile</c:v>
                </c:pt>
              </c:strCache>
            </c:strRef>
          </c:tx>
          <c:cat>
            <c:strRef>
              <c:f>CSPs!$O$7:$AG$7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CSPs!$C$32:$AG$32</c:f>
              <c:numCache>
                <c:formatCode>"$"#,##0_);\("$"#,##0\)</c:formatCode>
                <c:ptCount val="19"/>
                <c:pt idx="0">
                  <c:v>6315.1340854173768</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CSPs!$C$33:$AG$33</c:f>
              <c:numCache>
                <c:formatCode>"$"#,##0_);\("$"#,##0\)</c:formatCode>
                <c:ptCount val="19"/>
                <c:pt idx="0">
                  <c:v>2595.65352743229</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CSPs!$C$34:$AG$34</c:f>
              <c:numCache>
                <c:formatCode>"$"#,##0_);\("$"#,##0\)</c:formatCode>
                <c:ptCount val="19"/>
                <c:pt idx="0">
                  <c:v>1762.0854766740292</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32020864"/>
        <c:axId val="132039040"/>
      </c:lineChart>
      <c:catAx>
        <c:axId val="132020864"/>
        <c:scaling>
          <c:orientation val="minMax"/>
        </c:scaling>
        <c:delete val="0"/>
        <c:axPos val="b"/>
        <c:numFmt formatCode="General" sourceLinked="0"/>
        <c:majorTickMark val="out"/>
        <c:minorTickMark val="none"/>
        <c:tickLblPos val="nextTo"/>
        <c:crossAx val="132039040"/>
        <c:crosses val="autoZero"/>
        <c:auto val="1"/>
        <c:lblAlgn val="ctr"/>
        <c:lblOffset val="100"/>
        <c:noMultiLvlLbl val="0"/>
      </c:catAx>
      <c:valAx>
        <c:axId val="132039040"/>
        <c:scaling>
          <c:orientation val="minMax"/>
        </c:scaling>
        <c:delete val="0"/>
        <c:axPos val="l"/>
        <c:majorGridlines/>
        <c:numFmt formatCode="&quot;$&quot;#,##0_);\(&quot;$&quot;#,##0\)" sourceLinked="1"/>
        <c:majorTickMark val="out"/>
        <c:minorTickMark val="none"/>
        <c:tickLblPos val="nextTo"/>
        <c:crossAx val="132020864"/>
        <c:crosses val="autoZero"/>
        <c:crossBetween val="between"/>
      </c:valAx>
    </c:plotArea>
    <c:legend>
      <c:legendPos val="t"/>
      <c:layout>
        <c:manualLayout>
          <c:xMode val="edge"/>
          <c:yMode val="edge"/>
          <c:x val="0.19244534895961263"/>
          <c:y val="9.2592592592592587E-2"/>
          <c:w val="0.6389693932628525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equip'!$C$23:$AG$23</c:f>
              <c:numCache>
                <c:formatCode>0.0%</c:formatCode>
                <c:ptCount val="19"/>
                <c:pt idx="0">
                  <c:v>-1</c:v>
                </c:pt>
                <c:pt idx="1">
                  <c:v>-1</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164025856"/>
        <c:axId val="164027392"/>
      </c:lineChart>
      <c:catAx>
        <c:axId val="164025856"/>
        <c:scaling>
          <c:orientation val="minMax"/>
        </c:scaling>
        <c:delete val="0"/>
        <c:axPos val="b"/>
        <c:numFmt formatCode="General" sourceLinked="0"/>
        <c:majorTickMark val="out"/>
        <c:minorTickMark val="none"/>
        <c:tickLblPos val="nextTo"/>
        <c:crossAx val="164027392"/>
        <c:crosses val="autoZero"/>
        <c:auto val="1"/>
        <c:lblAlgn val="ctr"/>
        <c:lblOffset val="100"/>
        <c:noMultiLvlLbl val="0"/>
      </c:catAx>
      <c:valAx>
        <c:axId val="164027392"/>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164025856"/>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438775882181394"/>
          <c:w val="0.89256876324177448"/>
          <c:h val="0.76329068241469811"/>
        </c:manualLayout>
      </c:layout>
      <c:lineChart>
        <c:grouping val="standard"/>
        <c:varyColors val="0"/>
        <c:ser>
          <c:idx val="0"/>
          <c:order val="0"/>
          <c:tx>
            <c:strRef>
              <c:f>'Datacom equip'!$AI$35</c:f>
              <c:strCache>
                <c:ptCount val="1"/>
              </c:strCache>
            </c:strRef>
          </c:tx>
          <c:cat>
            <c:strRef>
              <c:f>'Datacom equip'!$G$7:$AG$7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equip'!$G$36:$AG$36</c:f>
              <c:numCache>
                <c:formatCode>0%</c:formatCode>
                <c:ptCount val="19"/>
                <c:pt idx="0">
                  <c:v>-1</c:v>
                </c:pt>
                <c:pt idx="1">
                  <c:v>-1</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B1B2-1C4A-B62A-22049FC4D684}"/>
            </c:ext>
          </c:extLst>
        </c:ser>
        <c:ser>
          <c:idx val="1"/>
          <c:order val="1"/>
          <c:tx>
            <c:strRef>
              <c:f>'Datacom equip'!$AI$37</c:f>
              <c:strCache>
                <c:ptCount val="1"/>
              </c:strCache>
            </c:strRef>
          </c:tx>
          <c:cat>
            <c:strRef>
              <c:f>'Datacom equip'!$G$7:$AG$7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equip'!$G$38:$AG$38</c:f>
              <c:numCache>
                <c:formatCode>0%</c:formatCode>
                <c:ptCount val="19"/>
                <c:pt idx="0">
                  <c:v>-1</c:v>
                </c:pt>
                <c:pt idx="1">
                  <c:v>-1</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163979648"/>
        <c:axId val="163981184"/>
      </c:lineChart>
      <c:catAx>
        <c:axId val="163979648"/>
        <c:scaling>
          <c:orientation val="minMax"/>
        </c:scaling>
        <c:delete val="0"/>
        <c:axPos val="b"/>
        <c:numFmt formatCode="General" sourceLinked="0"/>
        <c:majorTickMark val="out"/>
        <c:minorTickMark val="none"/>
        <c:tickLblPos val="nextTo"/>
        <c:crossAx val="163981184"/>
        <c:crossesAt val="-20"/>
        <c:auto val="1"/>
        <c:lblAlgn val="ctr"/>
        <c:lblOffset val="100"/>
        <c:noMultiLvlLbl val="0"/>
      </c:catAx>
      <c:valAx>
        <c:axId val="163981184"/>
        <c:scaling>
          <c:orientation val="minMax"/>
        </c:scaling>
        <c:delete val="0"/>
        <c:axPos val="l"/>
        <c:majorGridlines/>
        <c:numFmt formatCode="0%" sourceLinked="1"/>
        <c:majorTickMark val="out"/>
        <c:minorTickMark val="none"/>
        <c:tickLblPos val="nextTo"/>
        <c:crossAx val="163979648"/>
        <c:crosses val="autoZero"/>
        <c:crossBetween val="between"/>
      </c:valAx>
    </c:plotArea>
    <c:legend>
      <c:legendPos val="t"/>
      <c:layout>
        <c:manualLayout>
          <c:xMode val="edge"/>
          <c:yMode val="edge"/>
          <c:x val="7.0908961241035282E-2"/>
          <c:y val="8.5470431626668661E-2"/>
          <c:w val="0.5378635236384925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layout>
        <c:manualLayout>
          <c:xMode val="edge"/>
          <c:yMode val="edge"/>
          <c:x val="0.20853692630526446"/>
          <c:y val="2.0128824476650563E-2"/>
        </c:manualLayout>
      </c:layout>
      <c:overlay val="0"/>
    </c:title>
    <c:autoTitleDeleted val="0"/>
    <c:plotArea>
      <c:layout>
        <c:manualLayout>
          <c:layoutTarget val="inner"/>
          <c:xMode val="edge"/>
          <c:yMode val="edge"/>
          <c:x val="0.13474613436464145"/>
          <c:y val="0.14426144648585595"/>
          <c:w val="0.83616294745767861"/>
          <c:h val="0.73975867599883349"/>
        </c:manualLayout>
      </c:layout>
      <c:lineChart>
        <c:grouping val="standard"/>
        <c:varyColors val="0"/>
        <c:ser>
          <c:idx val="0"/>
          <c:order val="0"/>
          <c:tx>
            <c:strRef>
              <c:f>'Datacom equip'!$AI$35</c:f>
              <c:strCache>
                <c:ptCount val="1"/>
              </c:strCache>
            </c:strRef>
          </c:tx>
          <c:cat>
            <c:strRef>
              <c:f>'Datacom equip'!$G$7:$AG$7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equip'!$G$35:$AG$35</c:f>
              <c:numCache>
                <c:formatCode>"$"#,##0_);\("$"#,##0\)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CF2F-374D-8AC4-0E0FAE68C242}"/>
            </c:ext>
          </c:extLst>
        </c:ser>
        <c:ser>
          <c:idx val="1"/>
          <c:order val="1"/>
          <c:tx>
            <c:strRef>
              <c:f>'Datacom equip'!$AI$37</c:f>
              <c:strCache>
                <c:ptCount val="1"/>
              </c:strCache>
            </c:strRef>
          </c:tx>
          <c:cat>
            <c:strRef>
              <c:f>'Datacom equip'!$G$7:$AG$7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'Datacom equip'!$G$37:$AG$37</c:f>
              <c:numCache>
                <c:formatCode>"$"#,##0_);\("$"#,##0\)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164433280"/>
        <c:axId val="164435072"/>
      </c:lineChart>
      <c:catAx>
        <c:axId val="164433280"/>
        <c:scaling>
          <c:orientation val="minMax"/>
        </c:scaling>
        <c:delete val="0"/>
        <c:axPos val="b"/>
        <c:numFmt formatCode="General" sourceLinked="0"/>
        <c:majorTickMark val="out"/>
        <c:minorTickMark val="none"/>
        <c:tickLblPos val="nextTo"/>
        <c:crossAx val="164435072"/>
        <c:crosses val="autoZero"/>
        <c:auto val="1"/>
        <c:lblAlgn val="ctr"/>
        <c:lblOffset val="100"/>
        <c:noMultiLvlLbl val="0"/>
      </c:catAx>
      <c:valAx>
        <c:axId val="164435072"/>
        <c:scaling>
          <c:orientation val="minMax"/>
        </c:scaling>
        <c:delete val="0"/>
        <c:axPos val="l"/>
        <c:majorGridlines/>
        <c:numFmt formatCode="&quot;$&quot;#,##0_);\(&quot;$&quot;#,##0\)" sourceLinked="1"/>
        <c:majorTickMark val="out"/>
        <c:minorTickMark val="none"/>
        <c:tickLblPos val="nextTo"/>
        <c:crossAx val="164433280"/>
        <c:crosses val="autoZero"/>
        <c:crossBetween val="between"/>
      </c:valAx>
    </c:plotArea>
    <c:legend>
      <c:legendPos val="t"/>
      <c:layout>
        <c:manualLayout>
          <c:xMode val="edge"/>
          <c:yMode val="edge"/>
          <c:x val="5.8647662523604378E-2"/>
          <c:y val="8.1808763139057383E-2"/>
          <c:w val="0.5441587785436479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9720217408821"/>
          <c:y val="8.0632735570602965E-2"/>
          <c:w val="0.83432358452545896"/>
          <c:h val="0.76023357264471836"/>
        </c:manualLayout>
      </c:layout>
      <c:barChart>
        <c:barDir val="col"/>
        <c:grouping val="clustered"/>
        <c:varyColors val="0"/>
        <c:ser>
          <c:idx val="0"/>
          <c:order val="0"/>
          <c:tx>
            <c:strRef>
              <c:f>Summary!$B$103</c:f>
              <c:strCache>
                <c:ptCount val="1"/>
                <c:pt idx="0">
                  <c:v>1G and 10G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Summary!$AA$103:$AP$103</c:f>
              <c:numCache>
                <c:formatCode>_("$"* #,##0_);_("$"* \(#,##0\);_("$"* "-"??_);_(@_)</c:formatCode>
                <c:ptCount val="16"/>
                <c:pt idx="0">
                  <c:v>86.888916568371741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25G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Summary!$AA$104:$AP$104</c:f>
              <c:numCache>
                <c:formatCode>_("$"* #,##0_);_("$"* \(#,##0\);_("$"* "-"??_);_(@_)</c:formatCode>
                <c:ptCount val="16"/>
                <c:pt idx="0">
                  <c:v>19.550627830995758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100G </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Summary!$AA$106:$AP$106</c:f>
              <c:numCache>
                <c:formatCode>_("$"* #,##0_);_("$"* \(#,##0\);_("$"* "-"??_);_(@_)</c:formatCode>
                <c:ptCount val="16"/>
                <c:pt idx="0">
                  <c:v>421.0309889746535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31-ED45-975D-B62D2D3BCA15}"/>
            </c:ext>
          </c:extLst>
        </c:ser>
        <c:ser>
          <c:idx val="5"/>
          <c:order val="3"/>
          <c:tx>
            <c:strRef>
              <c:f>Summary!$B$107</c:f>
              <c:strCache>
                <c:ptCount val="1"/>
                <c:pt idx="0">
                  <c:v>200G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Summary!$AA$107:$AP$107</c:f>
              <c:numCache>
                <c:formatCode>_("$"* #,##0_);_("$"* \(#,##0\);_("$"* "-"??_);_(@_)</c:formatCode>
                <c:ptCount val="16"/>
                <c:pt idx="0">
                  <c:v>0.12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E7D-5D41-83D3-5D04E66CB324}"/>
            </c:ext>
          </c:extLst>
        </c:ser>
        <c:ser>
          <c:idx val="2"/>
          <c:order val="4"/>
          <c:tx>
            <c:strRef>
              <c:f>Summary!$B$108</c:f>
              <c:strCache>
                <c:ptCount val="1"/>
                <c:pt idx="0">
                  <c:v>400G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Summary!$AA$108:$AP$108</c:f>
              <c:numCache>
                <c:formatCode>_("$"* #,##0_);_("$"* \(#,##0\);_("$"* "-"??_);_(@_)</c:formatCode>
                <c:ptCount val="16"/>
                <c:pt idx="0">
                  <c:v>84.49552747937426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31-ED45-975D-B62D2D3BCA15}"/>
            </c:ext>
          </c:extLst>
        </c:ser>
        <c:ser>
          <c:idx val="4"/>
          <c:order val="5"/>
          <c:tx>
            <c:strRef>
              <c:f>Summary!$B$109</c:f>
              <c:strCache>
                <c:ptCount val="1"/>
                <c:pt idx="0">
                  <c:v>800G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Summary!$AA$109:$AP$109</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29981056"/>
        <c:axId val="129995136"/>
      </c:barChart>
      <c:catAx>
        <c:axId val="12998105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29995136"/>
        <c:crosses val="autoZero"/>
        <c:auto val="1"/>
        <c:lblAlgn val="ctr"/>
        <c:lblOffset val="100"/>
        <c:noMultiLvlLbl val="0"/>
      </c:catAx>
      <c:valAx>
        <c:axId val="129995136"/>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129981056"/>
        <c:crosses val="autoZero"/>
        <c:crossBetween val="between"/>
      </c:valAx>
    </c:plotArea>
    <c:legend>
      <c:legendPos val="r"/>
      <c:layout>
        <c:manualLayout>
          <c:xMode val="edge"/>
          <c:yMode val="edge"/>
          <c:x val="0.14916229892924154"/>
          <c:y val="4.4235490855101568E-2"/>
          <c:w val="0.78060791419317488"/>
          <c:h val="6.062367438957214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Summary!$B$138</c:f>
              <c:strCache>
                <c:ptCount val="1"/>
                <c:pt idx="0">
                  <c:v>4G</c:v>
                </c:pt>
              </c:strCache>
            </c:strRef>
          </c:tx>
          <c:invertIfNegative val="0"/>
          <c:cat>
            <c:strRef>
              <c:f>Summary!$AA$137:$AP$137</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Summary!$AA$138:$AP$138</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2F-7645-B76D-048AD1E72D02}"/>
            </c:ext>
          </c:extLst>
        </c:ser>
        <c:ser>
          <c:idx val="1"/>
          <c:order val="1"/>
          <c:tx>
            <c:strRef>
              <c:f>Summary!$B$139</c:f>
              <c:strCache>
                <c:ptCount val="1"/>
                <c:pt idx="0">
                  <c:v>8G</c:v>
                </c:pt>
              </c:strCache>
            </c:strRef>
          </c:tx>
          <c:invertIfNegative val="0"/>
          <c:cat>
            <c:strRef>
              <c:f>Summary!$AA$137:$AP$137</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Summary!$AA$139:$AP$139</c:f>
              <c:numCache>
                <c:formatCode>_("$"* #,##0.0_);_("$"* \(#,##0.0\);_("$"* "-"??_);_(@_)</c:formatCode>
                <c:ptCount val="16"/>
                <c:pt idx="0">
                  <c:v>0.64800000000000002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2F-7645-B76D-048AD1E72D02}"/>
            </c:ext>
          </c:extLst>
        </c:ser>
        <c:ser>
          <c:idx val="2"/>
          <c:order val="2"/>
          <c:tx>
            <c:strRef>
              <c:f>Summary!$B$140</c:f>
              <c:strCache>
                <c:ptCount val="1"/>
                <c:pt idx="0">
                  <c:v>16G</c:v>
                </c:pt>
              </c:strCache>
            </c:strRef>
          </c:tx>
          <c:invertIfNegative val="0"/>
          <c:cat>
            <c:strRef>
              <c:f>Summary!$AA$137:$AP$137</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Summary!$AA$140:$AP$140</c:f>
              <c:numCache>
                <c:formatCode>_("$"* #,##0.0_);_("$"* \(#,##0.0\);_("$"* "-"??_);_(@_)</c:formatCode>
                <c:ptCount val="16"/>
                <c:pt idx="0">
                  <c:v>13.899392857142857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2F-7645-B76D-048AD1E72D02}"/>
            </c:ext>
          </c:extLst>
        </c:ser>
        <c:ser>
          <c:idx val="3"/>
          <c:order val="3"/>
          <c:tx>
            <c:strRef>
              <c:f>Summary!$B$141</c:f>
              <c:strCache>
                <c:ptCount val="1"/>
                <c:pt idx="0">
                  <c:v>32G</c:v>
                </c:pt>
              </c:strCache>
            </c:strRef>
          </c:tx>
          <c:invertIfNegative val="0"/>
          <c:cat>
            <c:strRef>
              <c:f>Summary!$AA$137:$AP$137</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Summary!$AA$141:$AP$141</c:f>
              <c:numCache>
                <c:formatCode>_("$"* #,##0.0_);_("$"* \(#,##0.0\);_("$"* "-"??_);_(@_)</c:formatCode>
                <c:ptCount val="16"/>
                <c:pt idx="0">
                  <c:v>19.105799999999999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D14-1345-806B-C430B79931F2}"/>
            </c:ext>
          </c:extLst>
        </c:ser>
        <c:ser>
          <c:idx val="4"/>
          <c:order val="4"/>
          <c:tx>
            <c:strRef>
              <c:f>Summary!$B$142</c:f>
              <c:strCache>
                <c:ptCount val="1"/>
                <c:pt idx="0">
                  <c:v>64G</c:v>
                </c:pt>
              </c:strCache>
            </c:strRef>
          </c:tx>
          <c:invertIfNegative val="0"/>
          <c:cat>
            <c:strRef>
              <c:f>Summary!$AA$137:$AP$137</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Summary!$AA$142:$AP$142</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0D14-1345-806B-C430B79931F2}"/>
            </c:ext>
          </c:extLst>
        </c:ser>
        <c:dLbls>
          <c:showLegendKey val="0"/>
          <c:showVal val="0"/>
          <c:showCatName val="0"/>
          <c:showSerName val="0"/>
          <c:showPercent val="0"/>
          <c:showBubbleSize val="0"/>
        </c:dLbls>
        <c:gapWidth val="150"/>
        <c:axId val="130037248"/>
        <c:axId val="130038784"/>
      </c:barChart>
      <c:catAx>
        <c:axId val="130037248"/>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0038784"/>
        <c:crosses val="autoZero"/>
        <c:auto val="1"/>
        <c:lblAlgn val="ctr"/>
        <c:lblOffset val="100"/>
        <c:noMultiLvlLbl val="0"/>
      </c:catAx>
      <c:valAx>
        <c:axId val="130038784"/>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130037248"/>
        <c:crosses val="autoZero"/>
        <c:crossBetween val="between"/>
        <c:majorUnit val="10"/>
      </c:valAx>
    </c:plotArea>
    <c:legend>
      <c:legendPos val="r"/>
      <c:legendEntry>
        <c:idx val="0"/>
        <c:delete val="1"/>
      </c:legendEntry>
      <c:layout>
        <c:manualLayout>
          <c:xMode val="edge"/>
          <c:yMode val="edge"/>
          <c:x val="0.90995529281537801"/>
          <c:y val="0.17296203034175658"/>
          <c:w val="7.2949197860346898E-2"/>
          <c:h val="0.32677315696892634"/>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377413188302"/>
          <c:y val="4.7052231639928173E-2"/>
          <c:w val="0.85553907831589138"/>
          <c:h val="0.78203687568273483"/>
        </c:manualLayout>
      </c:layout>
      <c:barChart>
        <c:barDir val="col"/>
        <c:grouping val="clustered"/>
        <c:varyColors val="0"/>
        <c:ser>
          <c:idx val="0"/>
          <c:order val="0"/>
          <c:tx>
            <c:strRef>
              <c:f>Summary!$B$207</c:f>
              <c:strCache>
                <c:ptCount val="1"/>
                <c:pt idx="0">
                  <c:v>GPON TxRx</c:v>
                </c:pt>
              </c:strCache>
            </c:strRef>
          </c:tx>
          <c:invertIfNegative val="0"/>
          <c:cat>
            <c:strRef>
              <c:f>Summary!$AA$206:$AP$206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Summary!$AA$207:$AP$207</c:f>
              <c:numCache>
                <c:formatCode>_([$$-409]* #,##0.0_);_([$$-409]* \(#,##0.0\);_([$$-409]* "-"??_);_(@_)</c:formatCode>
                <c:ptCount val="16"/>
                <c:pt idx="0" formatCode="_(&quot;$&quot;* #,##0.0_);_(&quot;$&quot;* \(#,##0.0\);_(&quot;$&quot;* &quot;-&quot;??_);_(@_)">
                  <c:v>11.092025</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pt idx="14">
                  <c:v>0</c:v>
                </c:pt>
                <c:pt idx="15">
                  <c:v>0</c:v>
                </c:pt>
              </c:numCache>
            </c:numRef>
          </c:val>
          <c:extLs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Summary!$AA$206:$AP$206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Summary!$AA$209:$AP$209</c:f>
              <c:numCache>
                <c:formatCode>_([$$-409]* #,##0.0_);_([$$-409]* \(#,##0.0\);_([$$-409]* "-"??_);_(@_)</c:formatCode>
                <c:ptCount val="16"/>
                <c:pt idx="0" formatCode="_(&quot;$&quot;* #,##0.0_);_(&quot;$&quot;* \(#,##0.0\);_(&quot;$&quot;* &quot;-&quot;??_);_(@_)">
                  <c:v>16.091000000000001</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pt idx="14">
                  <c:v>0</c:v>
                </c:pt>
                <c:pt idx="15">
                  <c:v>0</c:v>
                </c:pt>
              </c:numCache>
            </c:numRef>
          </c:val>
          <c:extLs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Summary!$AA$206:$AP$206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Summary!$AA$210:$AP$210</c:f>
              <c:numCache>
                <c:formatCode>_([$$-409]* #,##0.0_);_([$$-409]* \(#,##0.0\);_([$$-409]* "-"??_);_(@_)</c:formatCode>
                <c:ptCount val="16"/>
                <c:pt idx="0" formatCode="_(&quot;$&quot;* #,##0.0_);_(&quot;$&quot;* \(#,##0.0\);_(&quot;$&quot;* &quot;-&quot;??_);_(@_)">
                  <c:v>41.731266605562581</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pt idx="14">
                  <c:v>0</c:v>
                </c:pt>
                <c:pt idx="15">
                  <c:v>0</c:v>
                </c:pt>
              </c:numCache>
            </c:numRef>
          </c:val>
          <c:extLst>
            <c:ext xmlns:c16="http://schemas.microsoft.com/office/drawing/2014/chart" uri="{C3380CC4-5D6E-409C-BE32-E72D297353CC}">
              <c16:uniqueId val="{00000002-E1DE-8E4E-A7FD-945CEF43288F}"/>
            </c:ext>
          </c:extLst>
        </c:ser>
        <c:ser>
          <c:idx val="3"/>
          <c:order val="3"/>
          <c:tx>
            <c:strRef>
              <c:f>Summary!$B$211</c:f>
              <c:strCache>
                <c:ptCount val="1"/>
                <c:pt idx="0">
                  <c:v>25G PON ONU/ONTs</c:v>
                </c:pt>
              </c:strCache>
            </c:strRef>
          </c:tx>
          <c:invertIfNegative val="0"/>
          <c:cat>
            <c:strRef>
              <c:f>Summary!$AA$206:$AP$206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Summary!$AA$211:$AN$211</c:f>
              <c:numCache>
                <c:formatCode>_([$$-409]* #,##0.0_);_([$$-409]* \(#,##0.0\);_([$$-409]* "-"??_);_(@_)</c:formatCode>
                <c:ptCount val="14"/>
                <c:pt idx="12">
                  <c:v>0</c:v>
                </c:pt>
                <c:pt idx="13">
                  <c:v>0</c:v>
                </c:pt>
              </c:numCache>
            </c:numRef>
          </c:val>
          <c:extLst>
            <c:ext xmlns:c16="http://schemas.microsoft.com/office/drawing/2014/chart" uri="{C3380CC4-5D6E-409C-BE32-E72D297353CC}">
              <c16:uniqueId val="{00000000-2118-489D-B3EA-804E531BE456}"/>
            </c:ext>
          </c:extLst>
        </c:ser>
        <c:dLbls>
          <c:showLegendKey val="0"/>
          <c:showVal val="0"/>
          <c:showCatName val="0"/>
          <c:showSerName val="0"/>
          <c:showPercent val="0"/>
          <c:showBubbleSize val="0"/>
        </c:dLbls>
        <c:gapWidth val="150"/>
        <c:axId val="130067840"/>
        <c:axId val="130073728"/>
      </c:barChart>
      <c:catAx>
        <c:axId val="13006784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0073728"/>
        <c:crosses val="autoZero"/>
        <c:auto val="1"/>
        <c:lblAlgn val="ctr"/>
        <c:lblOffset val="100"/>
        <c:noMultiLvlLbl val="0"/>
      </c:catAx>
      <c:valAx>
        <c:axId val="13007372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30067840"/>
        <c:crosses val="autoZero"/>
        <c:crossBetween val="between"/>
      </c:valAx>
    </c:plotArea>
    <c:legend>
      <c:legendPos val="t"/>
      <c:layout>
        <c:manualLayout>
          <c:xMode val="edge"/>
          <c:yMode val="edge"/>
          <c:x val="0.12942269848895693"/>
          <c:y val="9.9253953137618381E-2"/>
          <c:w val="0.84162128606265463"/>
          <c:h val="6.9361361514978279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364890660587"/>
          <c:y val="0.110655959144385"/>
          <c:w val="0.83049095436318954"/>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Summary!$AA$69:$AP$69</c:f>
              <c:numCache>
                <c:formatCode>_("$"* #,##0_);_("$"* \(#,##0\);_("$"* "-"??_);_(@_)</c:formatCode>
                <c:ptCount val="16"/>
                <c:pt idx="0">
                  <c:v>717.2642359701008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Summary!$AA$70:$AP$70</c:f>
              <c:numCache>
                <c:formatCode>_("$"* #,##0_);_("$"* \(#,##0\);_("$"* "-"??_);_(@_)</c:formatCode>
                <c:ptCount val="16"/>
                <c:pt idx="0">
                  <c:v>37.153192857142855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Summary!$AA$71:$AP$71</c:f>
              <c:numCache>
                <c:formatCode>_("$"* #,##0_);_("$"* \(#,##0\);_("$"* "-"??_);_(@_)</c:formatCode>
                <c:ptCount val="16"/>
                <c:pt idx="0">
                  <c:v>66.098707101490291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30179072"/>
        <c:axId val="130180608"/>
      </c:barChart>
      <c:catAx>
        <c:axId val="13017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30180608"/>
        <c:crosses val="autoZero"/>
        <c:auto val="1"/>
        <c:lblAlgn val="ctr"/>
        <c:lblOffset val="100"/>
        <c:tickLblSkip val="1"/>
        <c:tickMarkSkip val="1"/>
        <c:noMultiLvlLbl val="0"/>
      </c:catAx>
      <c:valAx>
        <c:axId val="130180608"/>
        <c:scaling>
          <c:orientation val="minMax"/>
          <c:max val="1600"/>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9.9990149292938143E-3"/>
              <c:y val="0.357798726999036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0179072"/>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4498194334712"/>
          <c:y val="5.246265161089652E-2"/>
          <c:w val="0.86257534847479655"/>
          <c:h val="0.7734723454904554"/>
        </c:manualLayout>
      </c:layout>
      <c:barChart>
        <c:barDir val="col"/>
        <c:grouping val="clustered"/>
        <c:varyColors val="0"/>
        <c:ser>
          <c:idx val="2"/>
          <c:order val="0"/>
          <c:tx>
            <c:strRef>
              <c:f>Summary!$B$287</c:f>
              <c:strCache>
                <c:ptCount val="1"/>
                <c:pt idx="0">
                  <c:v>10 Gbps grey optics</c:v>
                </c:pt>
              </c:strCache>
            </c:strRef>
          </c:tx>
          <c:invertIfNegative val="0"/>
          <c:cat>
            <c:strRef>
              <c:f>Summary!$AA$283:$AP$283</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Summary!$AA$287:$AP$287</c:f>
              <c:numCache>
                <c:formatCode>_([$$-409]* #,##0.0_);_([$$-409]* \(#,##0.0\);_([$$-409]* "-"??_);_(@_)</c:formatCode>
                <c:ptCount val="16"/>
                <c:pt idx="0">
                  <c:v>30.305115892541078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370-0849-B149-3C224E0EDC34}"/>
            </c:ext>
          </c:extLst>
        </c:ser>
        <c:ser>
          <c:idx val="4"/>
          <c:order val="1"/>
          <c:tx>
            <c:strRef>
              <c:f>Summary!$B$288</c:f>
              <c:strCache>
                <c:ptCount val="1"/>
                <c:pt idx="0">
                  <c:v>25 Gbps grey optics</c:v>
                </c:pt>
              </c:strCache>
            </c:strRef>
          </c:tx>
          <c:invertIfNegative val="0"/>
          <c:cat>
            <c:strRef>
              <c:f>Summary!$AA$283:$AP$283</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Summary!$AA$288:$AP$288</c:f>
              <c:numCache>
                <c:formatCode>_([$$-409]* #,##0_);_([$$-409]* \(#,##0\);_([$$-409]* "-"??_);_(@_)</c:formatCode>
                <c:ptCount val="16"/>
                <c:pt idx="0">
                  <c:v>61.633664879757298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370-0849-B149-3C224E0EDC34}"/>
            </c:ext>
          </c:extLst>
        </c:ser>
        <c:ser>
          <c:idx val="5"/>
          <c:order val="2"/>
          <c:tx>
            <c:strRef>
              <c:f>Summary!$B$290</c:f>
              <c:strCache>
                <c:ptCount val="1"/>
                <c:pt idx="0">
                  <c:v>10/25G CWDM/DWDM </c:v>
                </c:pt>
              </c:strCache>
            </c:strRef>
          </c:tx>
          <c:invertIfNegative val="0"/>
          <c:cat>
            <c:strRef>
              <c:f>Summary!$AA$283:$AP$283</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Summary!$AA$290:$AP$290</c:f>
              <c:numCache>
                <c:formatCode>_([$$-409]* #,##0_);_([$$-409]* \(#,##0\);_([$$-409]* "-"??_);_(@_)</c:formatCode>
                <c:ptCount val="16"/>
                <c:pt idx="0">
                  <c:v>53.594433890133025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30237184"/>
        <c:axId val="130238720"/>
      </c:barChart>
      <c:catAx>
        <c:axId val="130237184"/>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0238720"/>
        <c:crosses val="autoZero"/>
        <c:auto val="1"/>
        <c:lblAlgn val="ctr"/>
        <c:lblOffset val="100"/>
        <c:noMultiLvlLbl val="0"/>
      </c:catAx>
      <c:valAx>
        <c:axId val="130238720"/>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130237184"/>
        <c:crosses val="autoZero"/>
        <c:crossBetween val="between"/>
        <c:majorUnit val="20"/>
      </c:valAx>
    </c:plotArea>
    <c:legend>
      <c:legendPos val="t"/>
      <c:layout>
        <c:manualLayout>
          <c:xMode val="edge"/>
          <c:yMode val="edge"/>
          <c:x val="0.31029798209805309"/>
          <c:y val="8.3771957516612094E-2"/>
          <c:w val="0.28509858977542474"/>
          <c:h val="0.25462578500457167"/>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6.xml"/><Relationship Id="rId3" Type="http://schemas.openxmlformats.org/officeDocument/2006/relationships/chart" Target="../charts/chart14.xml"/><Relationship Id="rId21" Type="http://schemas.openxmlformats.org/officeDocument/2006/relationships/chart" Target="../charts/chart31.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5.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0.xml"/><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28" Type="http://schemas.openxmlformats.org/officeDocument/2006/relationships/chart" Target="../charts/chart38.xml"/><Relationship Id="rId10" Type="http://schemas.openxmlformats.org/officeDocument/2006/relationships/chart" Target="../charts/chart21.xml"/><Relationship Id="rId19" Type="http://schemas.openxmlformats.org/officeDocument/2006/relationships/image" Target="../media/image1.png"/><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4.xml"/><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image" Target="../media/image1.png"/><Relationship Id="rId1" Type="http://schemas.openxmlformats.org/officeDocument/2006/relationships/chart" Target="../charts/chart45.xml"/><Relationship Id="rId4" Type="http://schemas.openxmlformats.org/officeDocument/2006/relationships/chart" Target="../charts/chart4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274659</xdr:colOff>
      <xdr:row>212</xdr:row>
      <xdr:rowOff>26826</xdr:rowOff>
    </xdr:from>
    <xdr:to>
      <xdr:col>13</xdr:col>
      <xdr:colOff>15579</xdr:colOff>
      <xdr:row>230</xdr:row>
      <xdr:rowOff>154842</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210910</xdr:colOff>
      <xdr:row>99</xdr:row>
      <xdr:rowOff>15875</xdr:rowOff>
    </xdr:from>
    <xdr:to>
      <xdr:col>10</xdr:col>
      <xdr:colOff>83344</xdr:colOff>
      <xdr:row>114</xdr:row>
      <xdr:rowOff>9188</xdr:rowOff>
    </xdr:to>
    <xdr:graphicFrame macro="">
      <xdr:nvGraphicFramePr>
        <xdr:cNvPr id="10" name="Chart 9">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460906</xdr:colOff>
      <xdr:row>99</xdr:row>
      <xdr:rowOff>15874</xdr:rowOff>
    </xdr:from>
    <xdr:to>
      <xdr:col>17</xdr:col>
      <xdr:colOff>728134</xdr:colOff>
      <xdr:row>114</xdr:row>
      <xdr:rowOff>9206</xdr:rowOff>
    </xdr:to>
    <xdr:graphicFrame macro="">
      <xdr:nvGraphicFramePr>
        <xdr:cNvPr id="11" name="Chart 10">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728133</xdr:colOff>
      <xdr:row>51</xdr:row>
      <xdr:rowOff>103545</xdr:rowOff>
    </xdr:from>
    <xdr:to>
      <xdr:col>22</xdr:col>
      <xdr:colOff>507999</xdr:colOff>
      <xdr:row>70</xdr:row>
      <xdr:rowOff>16934</xdr:rowOff>
    </xdr:to>
    <xdr:graphicFrame macro="">
      <xdr:nvGraphicFramePr>
        <xdr:cNvPr id="13" name="Chart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531813</xdr:colOff>
      <xdr:row>21</xdr:row>
      <xdr:rowOff>120602</xdr:rowOff>
    </xdr:from>
    <xdr:to>
      <xdr:col>16</xdr:col>
      <xdr:colOff>366409</xdr:colOff>
      <xdr:row>37</xdr:row>
      <xdr:rowOff>91138</xdr:rowOff>
    </xdr:to>
    <xdr:grpSp>
      <xdr:nvGrpSpPr>
        <xdr:cNvPr id="27" name="Group 26">
          <a:extLst>
            <a:ext uri="{FF2B5EF4-FFF2-40B4-BE49-F238E27FC236}">
              <a16:creationId xmlns:a16="http://schemas.microsoft.com/office/drawing/2014/main" id="{9429185C-8836-EB12-1562-F8674D9E3996}"/>
            </a:ext>
          </a:extLst>
        </xdr:cNvPr>
        <xdr:cNvGrpSpPr/>
      </xdr:nvGrpSpPr>
      <xdr:grpSpPr>
        <a:xfrm>
          <a:off x="2640013" y="6258935"/>
          <a:ext cx="9799863" cy="2916936"/>
          <a:chOff x="2636838" y="6254702"/>
          <a:chExt cx="9740596" cy="2847086"/>
        </a:xfrm>
      </xdr:grpSpPr>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7510775" y="6254702"/>
          <a:ext cx="4866659" cy="284708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4" name="Chart 13">
            <a:extLst>
              <a:ext uri="{FF2B5EF4-FFF2-40B4-BE49-F238E27FC236}">
                <a16:creationId xmlns:a16="http://schemas.microsoft.com/office/drawing/2014/main" id="{00000000-0008-0000-0A00-00000E000000}"/>
              </a:ext>
            </a:extLst>
          </xdr:cNvPr>
          <xdr:cNvGraphicFramePr>
            <a:graphicFrameLocks/>
          </xdr:cNvGraphicFramePr>
        </xdr:nvGraphicFramePr>
        <xdr:xfrm>
          <a:off x="2636838" y="6254702"/>
          <a:ext cx="4866659" cy="284708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editAs="oneCell">
    <xdr:from>
      <xdr:col>13</xdr:col>
      <xdr:colOff>533401</xdr:colOff>
      <xdr:row>127</xdr:row>
      <xdr:rowOff>126207</xdr:rowOff>
    </xdr:from>
    <xdr:to>
      <xdr:col>22</xdr:col>
      <xdr:colOff>646854</xdr:colOff>
      <xdr:row>147</xdr:row>
      <xdr:rowOff>51700</xdr:rowOff>
    </xdr:to>
    <xdr:graphicFrame macro="">
      <xdr:nvGraphicFramePr>
        <xdr:cNvPr id="19" name="Chart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269346</xdr:colOff>
      <xdr:row>179</xdr:row>
      <xdr:rowOff>90063</xdr:rowOff>
    </xdr:from>
    <xdr:to>
      <xdr:col>30</xdr:col>
      <xdr:colOff>320781</xdr:colOff>
      <xdr:row>197</xdr:row>
      <xdr:rowOff>9841</xdr:rowOff>
    </xdr:to>
    <xdr:graphicFrame macro="">
      <xdr:nvGraphicFramePr>
        <xdr:cNvPr id="25" name="Chart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518954</xdr:colOff>
      <xdr:row>245</xdr:row>
      <xdr:rowOff>94864</xdr:rowOff>
    </xdr:from>
    <xdr:to>
      <xdr:col>11</xdr:col>
      <xdr:colOff>595154</xdr:colOff>
      <xdr:row>264</xdr:row>
      <xdr:rowOff>64384</xdr:rowOff>
    </xdr:to>
    <xdr:graphicFrame macro="">
      <xdr:nvGraphicFramePr>
        <xdr:cNvPr id="24" name="Chart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393065</xdr:colOff>
      <xdr:row>212</xdr:row>
      <xdr:rowOff>7937</xdr:rowOff>
    </xdr:from>
    <xdr:to>
      <xdr:col>22</xdr:col>
      <xdr:colOff>713105</xdr:colOff>
      <xdr:row>230</xdr:row>
      <xdr:rowOff>99377</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452436</xdr:colOff>
      <xdr:row>7</xdr:row>
      <xdr:rowOff>28177</xdr:rowOff>
    </xdr:from>
    <xdr:to>
      <xdr:col>21</xdr:col>
      <xdr:colOff>254316</xdr:colOff>
      <xdr:row>15</xdr:row>
      <xdr:rowOff>119617</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179915</xdr:colOff>
      <xdr:row>127</xdr:row>
      <xdr:rowOff>115623</xdr:rowOff>
    </xdr:from>
    <xdr:to>
      <xdr:col>13</xdr:col>
      <xdr:colOff>313266</xdr:colOff>
      <xdr:row>147</xdr:row>
      <xdr:rowOff>101600</xdr:rowOff>
    </xdr:to>
    <xdr:graphicFrame macro="">
      <xdr:nvGraphicFramePr>
        <xdr:cNvPr id="32" name="Chart 31">
          <a:extLst>
            <a:ext uri="{FF2B5EF4-FFF2-40B4-BE49-F238E27FC236}">
              <a16:creationId xmlns:a16="http://schemas.microsoft.com/office/drawing/2014/main" id="{00000000-0008-0000-0A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13</xdr:col>
      <xdr:colOff>465667</xdr:colOff>
      <xdr:row>179</xdr:row>
      <xdr:rowOff>166263</xdr:rowOff>
    </xdr:from>
    <xdr:to>
      <xdr:col>21</xdr:col>
      <xdr:colOff>711200</xdr:colOff>
      <xdr:row>197</xdr:row>
      <xdr:rowOff>86041</xdr:rowOff>
    </xdr:to>
    <xdr:graphicFrame macro="">
      <xdr:nvGraphicFramePr>
        <xdr:cNvPr id="41" name="Chart 40">
          <a:extLst>
            <a:ext uri="{FF2B5EF4-FFF2-40B4-BE49-F238E27FC236}">
              <a16:creationId xmlns:a16="http://schemas.microsoft.com/office/drawing/2014/main" id="{00000000-0008-0000-0A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22</xdr:col>
      <xdr:colOff>701018</xdr:colOff>
      <xdr:row>51</xdr:row>
      <xdr:rowOff>103546</xdr:rowOff>
    </xdr:from>
    <xdr:to>
      <xdr:col>31</xdr:col>
      <xdr:colOff>29400</xdr:colOff>
      <xdr:row>69</xdr:row>
      <xdr:rowOff>35813</xdr:rowOff>
    </xdr:to>
    <xdr:graphicFrame macro="">
      <xdr:nvGraphicFramePr>
        <xdr:cNvPr id="42" name="Chart 41">
          <a:extLst>
            <a:ext uri="{FF2B5EF4-FFF2-40B4-BE49-F238E27FC236}">
              <a16:creationId xmlns:a16="http://schemas.microsoft.com/office/drawing/2014/main" id="{00000000-0008-0000-0A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62</xdr:col>
      <xdr:colOff>422487</xdr:colOff>
      <xdr:row>32</xdr:row>
      <xdr:rowOff>92021</xdr:rowOff>
    </xdr:from>
    <xdr:to>
      <xdr:col>72</xdr:col>
      <xdr:colOff>39849</xdr:colOff>
      <xdr:row>49</xdr:row>
      <xdr:rowOff>127747</xdr:rowOff>
    </xdr:to>
    <xdr:graphicFrame macro="">
      <xdr:nvGraphicFramePr>
        <xdr:cNvPr id="43" name="Chart 42">
          <a:extLst>
            <a:ext uri="{FF2B5EF4-FFF2-40B4-BE49-F238E27FC236}">
              <a16:creationId xmlns:a16="http://schemas.microsoft.com/office/drawing/2014/main" id="{00000000-0008-0000-0A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72</xdr:col>
      <xdr:colOff>109115</xdr:colOff>
      <xdr:row>32</xdr:row>
      <xdr:rowOff>92021</xdr:rowOff>
    </xdr:from>
    <xdr:to>
      <xdr:col>81</xdr:col>
      <xdr:colOff>354342</xdr:colOff>
      <xdr:row>49</xdr:row>
      <xdr:rowOff>126658</xdr:rowOff>
    </xdr:to>
    <xdr:graphicFrame macro="">
      <xdr:nvGraphicFramePr>
        <xdr:cNvPr id="45" name="Chart 44">
          <a:extLst>
            <a:ext uri="{FF2B5EF4-FFF2-40B4-BE49-F238E27FC236}">
              <a16:creationId xmlns:a16="http://schemas.microsoft.com/office/drawing/2014/main" id="{00000000-0008-0000-0A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31</xdr:col>
      <xdr:colOff>513785</xdr:colOff>
      <xdr:row>51</xdr:row>
      <xdr:rowOff>118786</xdr:rowOff>
    </xdr:from>
    <xdr:to>
      <xdr:col>41</xdr:col>
      <xdr:colOff>259150</xdr:colOff>
      <xdr:row>69</xdr:row>
      <xdr:rowOff>51053</xdr:rowOff>
    </xdr:to>
    <xdr:graphicFrame macro="">
      <xdr:nvGraphicFramePr>
        <xdr:cNvPr id="44" name="Chart 43">
          <a:extLst>
            <a:ext uri="{FF2B5EF4-FFF2-40B4-BE49-F238E27FC236}">
              <a16:creationId xmlns:a16="http://schemas.microsoft.com/office/drawing/2014/main" id="{00000000-0008-0000-0A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4</xdr:col>
      <xdr:colOff>146050</xdr:colOff>
      <xdr:row>51</xdr:row>
      <xdr:rowOff>85119</xdr:rowOff>
    </xdr:from>
    <xdr:to>
      <xdr:col>12</xdr:col>
      <xdr:colOff>687070</xdr:colOff>
      <xdr:row>70</xdr:row>
      <xdr:rowOff>97904</xdr:rowOff>
    </xdr:to>
    <xdr:graphicFrame macro="">
      <xdr:nvGraphicFramePr>
        <xdr:cNvPr id="48" name="Chart 47">
          <a:extLst>
            <a:ext uri="{FF2B5EF4-FFF2-40B4-BE49-F238E27FC236}">
              <a16:creationId xmlns:a16="http://schemas.microsoft.com/office/drawing/2014/main" id="{00000000-0008-0000-0A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15</xdr:col>
      <xdr:colOff>134937</xdr:colOff>
      <xdr:row>0</xdr:row>
      <xdr:rowOff>55562</xdr:rowOff>
    </xdr:from>
    <xdr:to>
      <xdr:col>19</xdr:col>
      <xdr:colOff>172548</xdr:colOff>
      <xdr:row>3</xdr:row>
      <xdr:rowOff>98716</xdr:rowOff>
    </xdr:to>
    <xdr:pic>
      <xdr:nvPicPr>
        <xdr:cNvPr id="51" name="Picture 50">
          <a:extLst>
            <a:ext uri="{FF2B5EF4-FFF2-40B4-BE49-F238E27FC236}">
              <a16:creationId xmlns:a16="http://schemas.microsoft.com/office/drawing/2014/main" id="{00000000-0008-0000-0A00-000033000000}"/>
            </a:ext>
          </a:extLst>
        </xdr:cNvPr>
        <xdr:cNvPicPr>
          <a:picLocks noChangeAspect="1"/>
        </xdr:cNvPicPr>
      </xdr:nvPicPr>
      <xdr:blipFill>
        <a:blip xmlns:r="http://schemas.openxmlformats.org/officeDocument/2006/relationships" r:embed="rId19"/>
        <a:stretch>
          <a:fillRect/>
        </a:stretch>
      </xdr:blipFill>
      <xdr:spPr>
        <a:xfrm>
          <a:off x="10882312" y="55562"/>
          <a:ext cx="3177051" cy="666407"/>
        </a:xfrm>
        <a:prstGeom prst="rect">
          <a:avLst/>
        </a:prstGeom>
      </xdr:spPr>
    </xdr:pic>
    <xdr:clientData/>
  </xdr:twoCellAnchor>
  <xdr:twoCellAnchor editAs="oneCell">
    <xdr:from>
      <xdr:col>23</xdr:col>
      <xdr:colOff>439206</xdr:colOff>
      <xdr:row>127</xdr:row>
      <xdr:rowOff>138906</xdr:rowOff>
    </xdr:from>
    <xdr:to>
      <xdr:col>33</xdr:col>
      <xdr:colOff>50797</xdr:colOff>
      <xdr:row>147</xdr:row>
      <xdr:rowOff>63232</xdr:rowOff>
    </xdr:to>
    <xdr:graphicFrame macro="">
      <xdr:nvGraphicFramePr>
        <xdr:cNvPr id="53" name="Chart 52">
          <a:extLst>
            <a:ext uri="{FF2B5EF4-FFF2-40B4-BE49-F238E27FC236}">
              <a16:creationId xmlns:a16="http://schemas.microsoft.com/office/drawing/2014/main" id="{00000000-0008-0000-0A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13</xdr:col>
      <xdr:colOff>759778</xdr:colOff>
      <xdr:row>154</xdr:row>
      <xdr:rowOff>1287</xdr:rowOff>
    </xdr:from>
    <xdr:to>
      <xdr:col>22</xdr:col>
      <xdr:colOff>233151</xdr:colOff>
      <xdr:row>171</xdr:row>
      <xdr:rowOff>107544</xdr:rowOff>
    </xdr:to>
    <xdr:graphicFrame macro="">
      <xdr:nvGraphicFramePr>
        <xdr:cNvPr id="57" name="Chart 56">
          <a:extLst>
            <a:ext uri="{FF2B5EF4-FFF2-40B4-BE49-F238E27FC236}">
              <a16:creationId xmlns:a16="http://schemas.microsoft.com/office/drawing/2014/main" id="{00000000-0008-0000-0A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22</xdr:col>
      <xdr:colOff>693206</xdr:colOff>
      <xdr:row>154</xdr:row>
      <xdr:rowOff>1287</xdr:rowOff>
    </xdr:from>
    <xdr:to>
      <xdr:col>31</xdr:col>
      <xdr:colOff>108795</xdr:colOff>
      <xdr:row>171</xdr:row>
      <xdr:rowOff>107544</xdr:rowOff>
    </xdr:to>
    <xdr:graphicFrame macro="">
      <xdr:nvGraphicFramePr>
        <xdr:cNvPr id="58" name="Chart 57">
          <a:extLst>
            <a:ext uri="{FF2B5EF4-FFF2-40B4-BE49-F238E27FC236}">
              <a16:creationId xmlns:a16="http://schemas.microsoft.com/office/drawing/2014/main" id="{00000000-0008-0000-0A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4</xdr:col>
      <xdr:colOff>219075</xdr:colOff>
      <xdr:row>180</xdr:row>
      <xdr:rowOff>67733</xdr:rowOff>
    </xdr:from>
    <xdr:to>
      <xdr:col>12</xdr:col>
      <xdr:colOff>760095</xdr:colOff>
      <xdr:row>199</xdr:row>
      <xdr:rowOff>53636</xdr:rowOff>
    </xdr:to>
    <xdr:graphicFrame macro="">
      <xdr:nvGraphicFramePr>
        <xdr:cNvPr id="38" name="Chart 37">
          <a:extLst>
            <a:ext uri="{FF2B5EF4-FFF2-40B4-BE49-F238E27FC236}">
              <a16:creationId xmlns:a16="http://schemas.microsoft.com/office/drawing/2014/main" id="{00000000-0008-0000-0A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30</xdr:col>
      <xdr:colOff>644314</xdr:colOff>
      <xdr:row>179</xdr:row>
      <xdr:rowOff>74188</xdr:rowOff>
    </xdr:from>
    <xdr:to>
      <xdr:col>40</xdr:col>
      <xdr:colOff>415714</xdr:colOff>
      <xdr:row>196</xdr:row>
      <xdr:rowOff>177057</xdr:rowOff>
    </xdr:to>
    <xdr:graphicFrame macro="">
      <xdr:nvGraphicFramePr>
        <xdr:cNvPr id="40" name="Chart 39">
          <a:extLst>
            <a:ext uri="{FF2B5EF4-FFF2-40B4-BE49-F238E27FC236}">
              <a16:creationId xmlns:a16="http://schemas.microsoft.com/office/drawing/2014/main" id="{00000000-0008-0000-0A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43</xdr:col>
      <xdr:colOff>617536</xdr:colOff>
      <xdr:row>130</xdr:row>
      <xdr:rowOff>19436</xdr:rowOff>
    </xdr:from>
    <xdr:to>
      <xdr:col>50</xdr:col>
      <xdr:colOff>5650</xdr:colOff>
      <xdr:row>149</xdr:row>
      <xdr:rowOff>95636</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53</xdr:col>
      <xdr:colOff>598419</xdr:colOff>
      <xdr:row>51</xdr:row>
      <xdr:rowOff>121603</xdr:rowOff>
    </xdr:from>
    <xdr:to>
      <xdr:col>59</xdr:col>
      <xdr:colOff>607945</xdr:colOff>
      <xdr:row>71</xdr:row>
      <xdr:rowOff>68475</xdr:rowOff>
    </xdr:to>
    <xdr:graphicFrame macro="">
      <xdr:nvGraphicFramePr>
        <xdr:cNvPr id="50" name="Chart 49">
          <a:extLst>
            <a:ext uri="{FF2B5EF4-FFF2-40B4-BE49-F238E27FC236}">
              <a16:creationId xmlns:a16="http://schemas.microsoft.com/office/drawing/2014/main" id="{00000000-0008-0000-0A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44</xdr:col>
      <xdr:colOff>43</xdr:colOff>
      <xdr:row>155</xdr:row>
      <xdr:rowOff>19594</xdr:rowOff>
    </xdr:from>
    <xdr:to>
      <xdr:col>50</xdr:col>
      <xdr:colOff>188257</xdr:colOff>
      <xdr:row>174</xdr:row>
      <xdr:rowOff>65314</xdr:rowOff>
    </xdr:to>
    <xdr:graphicFrame macro="">
      <xdr:nvGraphicFramePr>
        <xdr:cNvPr id="56" name="Chart 55">
          <a:extLst>
            <a:ext uri="{FF2B5EF4-FFF2-40B4-BE49-F238E27FC236}">
              <a16:creationId xmlns:a16="http://schemas.microsoft.com/office/drawing/2014/main" id="{00000000-0008-0000-0A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49</xdr:col>
      <xdr:colOff>561828</xdr:colOff>
      <xdr:row>180</xdr:row>
      <xdr:rowOff>151764</xdr:rowOff>
    </xdr:from>
    <xdr:to>
      <xdr:col>56</xdr:col>
      <xdr:colOff>35275</xdr:colOff>
      <xdr:row>200</xdr:row>
      <xdr:rowOff>574</xdr:rowOff>
    </xdr:to>
    <xdr:graphicFrame macro="">
      <xdr:nvGraphicFramePr>
        <xdr:cNvPr id="59" name="Chart 58">
          <a:extLst>
            <a:ext uri="{FF2B5EF4-FFF2-40B4-BE49-F238E27FC236}">
              <a16:creationId xmlns:a16="http://schemas.microsoft.com/office/drawing/2014/main" id="{00000000-0008-0000-0A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61</xdr:col>
      <xdr:colOff>422488</xdr:colOff>
      <xdr:row>16</xdr:row>
      <xdr:rowOff>71120</xdr:rowOff>
    </xdr:from>
    <xdr:to>
      <xdr:col>71</xdr:col>
      <xdr:colOff>71197</xdr:colOff>
      <xdr:row>31</xdr:row>
      <xdr:rowOff>168179</xdr:rowOff>
    </xdr:to>
    <xdr:grpSp>
      <xdr:nvGrpSpPr>
        <xdr:cNvPr id="12" name="Group 11">
          <a:extLst>
            <a:ext uri="{FF2B5EF4-FFF2-40B4-BE49-F238E27FC236}">
              <a16:creationId xmlns:a16="http://schemas.microsoft.com/office/drawing/2014/main" id="{00000000-0008-0000-0A00-00000C000000}"/>
            </a:ext>
          </a:extLst>
        </xdr:cNvPr>
        <xdr:cNvGrpSpPr/>
      </xdr:nvGrpSpPr>
      <xdr:grpSpPr>
        <a:xfrm>
          <a:off x="42645755" y="4947920"/>
          <a:ext cx="5710842" cy="3187392"/>
          <a:chOff x="42925154" y="4770120"/>
          <a:chExt cx="5660043" cy="3034992"/>
        </a:xfrm>
      </xdr:grpSpPr>
      <xdr:graphicFrame macro="">
        <xdr:nvGraphicFramePr>
          <xdr:cNvPr id="18" name="Chart 17">
            <a:extLst>
              <a:ext uri="{FF2B5EF4-FFF2-40B4-BE49-F238E27FC236}">
                <a16:creationId xmlns:a16="http://schemas.microsoft.com/office/drawing/2014/main" id="{00000000-0008-0000-0A00-000012000000}"/>
              </a:ext>
            </a:extLst>
          </xdr:cNvPr>
          <xdr:cNvGraphicFramePr/>
        </xdr:nvGraphicFramePr>
        <xdr:xfrm>
          <a:off x="42925154" y="4770120"/>
          <a:ext cx="5660043" cy="3034992"/>
        </xdr:xfrm>
        <a:graphic>
          <a:graphicData uri="http://schemas.openxmlformats.org/drawingml/2006/chart">
            <c:chart xmlns:c="http://schemas.openxmlformats.org/drawingml/2006/chart" xmlns:r="http://schemas.openxmlformats.org/officeDocument/2006/relationships" r:id="rId29"/>
          </a:graphicData>
        </a:graphic>
      </xdr:graphicFrame>
      <xdr:pic>
        <xdr:nvPicPr>
          <xdr:cNvPr id="20" name="Picture 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46938880" y="5147733"/>
            <a:ext cx="1561198" cy="304801"/>
          </a:xfrm>
          <a:prstGeom prst="rect">
            <a:avLst/>
          </a:prstGeom>
        </xdr:spPr>
      </xdr:pic>
    </xdr:grpSp>
    <xdr:clientData/>
  </xdr:twoCellAnchor>
  <xdr:twoCellAnchor>
    <xdr:from>
      <xdr:col>4</xdr:col>
      <xdr:colOff>219074</xdr:colOff>
      <xdr:row>154</xdr:row>
      <xdr:rowOff>1287</xdr:rowOff>
    </xdr:from>
    <xdr:to>
      <xdr:col>13</xdr:col>
      <xdr:colOff>351154</xdr:colOff>
      <xdr:row>173</xdr:row>
      <xdr:rowOff>160121</xdr:rowOff>
    </xdr:to>
    <xdr:grpSp>
      <xdr:nvGrpSpPr>
        <xdr:cNvPr id="23" name="Group 22">
          <a:extLst>
            <a:ext uri="{FF2B5EF4-FFF2-40B4-BE49-F238E27FC236}">
              <a16:creationId xmlns:a16="http://schemas.microsoft.com/office/drawing/2014/main" id="{00000000-0008-0000-0A00-000017000000}"/>
            </a:ext>
          </a:extLst>
        </xdr:cNvPr>
        <xdr:cNvGrpSpPr/>
      </xdr:nvGrpSpPr>
      <xdr:grpSpPr>
        <a:xfrm>
          <a:off x="2327274" y="30269620"/>
          <a:ext cx="7735147" cy="3630168"/>
          <a:chOff x="2327274" y="30117220"/>
          <a:chExt cx="7726680" cy="3630168"/>
        </a:xfrm>
      </xdr:grpSpPr>
      <xdr:graphicFrame macro="">
        <xdr:nvGraphicFramePr>
          <xdr:cNvPr id="55" name="Chart 54">
            <a:extLst>
              <a:ext uri="{FF2B5EF4-FFF2-40B4-BE49-F238E27FC236}">
                <a16:creationId xmlns:a16="http://schemas.microsoft.com/office/drawing/2014/main" id="{00000000-0008-0000-0A00-000037000000}"/>
              </a:ext>
            </a:extLst>
          </xdr:cNvPr>
          <xdr:cNvGraphicFramePr>
            <a:graphicFrameLocks/>
          </xdr:cNvGraphicFramePr>
        </xdr:nvGraphicFramePr>
        <xdr:xfrm>
          <a:off x="2327274" y="30117220"/>
          <a:ext cx="7726680" cy="3630168"/>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17" name="TextBox 16">
            <a:extLst>
              <a:ext uri="{FF2B5EF4-FFF2-40B4-BE49-F238E27FC236}">
                <a16:creationId xmlns:a16="http://schemas.microsoft.com/office/drawing/2014/main" id="{00000000-0008-0000-0A00-000011000000}"/>
              </a:ext>
            </a:extLst>
          </xdr:cNvPr>
          <xdr:cNvSpPr txBox="1"/>
        </xdr:nvSpPr>
        <xdr:spPr>
          <a:xfrm>
            <a:off x="7971046" y="30379110"/>
            <a:ext cx="1005840" cy="228600"/>
          </a:xfrm>
          <a:prstGeom prst="rect">
            <a:avLst/>
          </a:prstGeom>
          <a:solidFill>
            <a:srgbClr val="FFC000"/>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NVIDIA</a:t>
            </a:r>
            <a:r>
              <a:rPr lang="en-US" sz="1100" b="1" baseline="0"/>
              <a:t> effect</a:t>
            </a:r>
            <a:endParaRPr lang="en-US" sz="1100" b="1"/>
          </a:p>
        </xdr:txBody>
      </xdr:sp>
    </xdr:grpSp>
    <xdr:clientData/>
  </xdr:twoCellAnchor>
  <xdr:twoCellAnchor>
    <xdr:from>
      <xdr:col>47</xdr:col>
      <xdr:colOff>380999</xdr:colOff>
      <xdr:row>99</xdr:row>
      <xdr:rowOff>70755</xdr:rowOff>
    </xdr:from>
    <xdr:to>
      <xdr:col>56</xdr:col>
      <xdr:colOff>508000</xdr:colOff>
      <xdr:row>114</xdr:row>
      <xdr:rowOff>110670</xdr:rowOff>
    </xdr:to>
    <xdr:graphicFrame macro="">
      <xdr:nvGraphicFramePr>
        <xdr:cNvPr id="6" name="Chart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41</xdr:col>
      <xdr:colOff>79827</xdr:colOff>
      <xdr:row>99</xdr:row>
      <xdr:rowOff>68941</xdr:rowOff>
    </xdr:from>
    <xdr:to>
      <xdr:col>47</xdr:col>
      <xdr:colOff>406399</xdr:colOff>
      <xdr:row>114</xdr:row>
      <xdr:rowOff>108856</xdr:rowOff>
    </xdr:to>
    <xdr:graphicFrame macro="">
      <xdr:nvGraphicFramePr>
        <xdr:cNvPr id="52" name="Chart 51">
          <a:extLst>
            <a:ext uri="{FF2B5EF4-FFF2-40B4-BE49-F238E27FC236}">
              <a16:creationId xmlns:a16="http://schemas.microsoft.com/office/drawing/2014/main" id="{00000000-0008-0000-0A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0.17138</cdr:x>
      <cdr:y>0.15243</cdr:y>
    </cdr:from>
    <cdr:to>
      <cdr:x>0.46992</cdr:x>
      <cdr:y>0.28256</cdr:y>
    </cdr:to>
    <cdr:pic>
      <cdr:nvPicPr>
        <cdr:cNvPr id="3" name="Picture 2">
          <a:extLst xmlns:a="http://schemas.openxmlformats.org/drawingml/2006/main">
            <a:ext uri="{FF2B5EF4-FFF2-40B4-BE49-F238E27FC236}">
              <a16:creationId xmlns:a16="http://schemas.microsoft.com/office/drawing/2014/main" id="{00000000-0008-0000-0B00-00003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57139" y="530571"/>
          <a:ext cx="2189947" cy="452958"/>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0.36529</cdr:x>
      <cdr:y>0.20947</cdr:y>
    </cdr:from>
    <cdr:to>
      <cdr:x>0.52325</cdr:x>
      <cdr:y>0.3658</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228646" y="661181"/>
          <a:ext cx="963726" cy="493436"/>
        </a:xfrm>
        <a:prstGeom xmlns:a="http://schemas.openxmlformats.org/drawingml/2006/main" prst="rect">
          <a:avLst/>
        </a:prstGeom>
      </cdr:spPr>
    </cdr:pic>
  </cdr:relSizeAnchor>
  <cdr:relSizeAnchor xmlns:cdr="http://schemas.openxmlformats.org/drawingml/2006/chartDrawing">
    <cdr:from>
      <cdr:x>0.26842</cdr:x>
      <cdr:y>0.47489</cdr:y>
    </cdr:from>
    <cdr:to>
      <cdr:x>0.47371</cdr:x>
      <cdr:y>0.57803</cdr:y>
    </cdr:to>
    <cdr:sp macro="" textlink="">
      <cdr:nvSpPr>
        <cdr:cNvPr id="7" name="TextBox 6"/>
        <cdr:cNvSpPr txBox="1"/>
      </cdr:nvSpPr>
      <cdr:spPr>
        <a:xfrm xmlns:a="http://schemas.openxmlformats.org/drawingml/2006/main">
          <a:off x="1623996" y="1490876"/>
          <a:ext cx="1242062" cy="3238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Equipment</a:t>
          </a:r>
        </a:p>
      </cdr:txBody>
    </cdr:sp>
  </cdr:relSizeAnchor>
  <cdr:relSizeAnchor xmlns:cdr="http://schemas.openxmlformats.org/drawingml/2006/chartDrawing">
    <cdr:from>
      <cdr:x>0</cdr:x>
      <cdr:y>0.65179</cdr:y>
    </cdr:from>
    <cdr:to>
      <cdr:x>0.24631</cdr:x>
      <cdr:y>0.80812</cdr:y>
    </cdr:to>
    <cdr:pic>
      <cdr:nvPicPr>
        <cdr:cNvPr id="6"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0" y="2057302"/>
          <a:ext cx="1502757" cy="493436"/>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0.80816</cdr:x>
      <cdr:y>0.11672</cdr:y>
    </cdr:from>
    <cdr:to>
      <cdr:x>0.85905</cdr:x>
      <cdr:y>0.22711</cdr:y>
    </cdr:to>
    <cdr:cxnSp macro="">
      <cdr:nvCxnSpPr>
        <cdr:cNvPr id="3" name="Straight Arrow Connector 2">
          <a:extLst xmlns:a="http://schemas.openxmlformats.org/drawingml/2006/main">
            <a:ext uri="{FF2B5EF4-FFF2-40B4-BE49-F238E27FC236}">
              <a16:creationId xmlns:a16="http://schemas.microsoft.com/office/drawing/2014/main" id="{E4303836-E3CE-04DF-F756-107627C9B073}"/>
            </a:ext>
          </a:extLst>
        </cdr:cNvPr>
        <cdr:cNvCxnSpPr/>
      </cdr:nvCxnSpPr>
      <cdr:spPr>
        <a:xfrm xmlns:a="http://schemas.openxmlformats.org/drawingml/2006/main">
          <a:off x="6218761" y="415450"/>
          <a:ext cx="391590" cy="392888"/>
        </a:xfrm>
        <a:prstGeom xmlns:a="http://schemas.openxmlformats.org/drawingml/2006/main" prst="straightConnector1">
          <a:avLst/>
        </a:prstGeom>
        <a:ln xmlns:a="http://schemas.openxmlformats.org/drawingml/2006/main" w="127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editAs="oneCell">
    <xdr:from>
      <xdr:col>14</xdr:col>
      <xdr:colOff>388619</xdr:colOff>
      <xdr:row>60</xdr:row>
      <xdr:rowOff>152174</xdr:rowOff>
    </xdr:from>
    <xdr:to>
      <xdr:col>23</xdr:col>
      <xdr:colOff>137159</xdr:colOff>
      <xdr:row>79</xdr:row>
      <xdr:rowOff>121694</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348931</xdr:colOff>
      <xdr:row>61</xdr:row>
      <xdr:rowOff>1543</xdr:rowOff>
    </xdr:from>
    <xdr:to>
      <xdr:col>31</xdr:col>
      <xdr:colOff>722311</xdr:colOff>
      <xdr:row>79</xdr:row>
      <xdr:rowOff>138703</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394335</xdr:colOff>
      <xdr:row>0</xdr:row>
      <xdr:rowOff>19050</xdr:rowOff>
    </xdr:from>
    <xdr:to>
      <xdr:col>32</xdr:col>
      <xdr:colOff>6812</xdr:colOff>
      <xdr:row>3</xdr:row>
      <xdr:rowOff>35534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3"/>
        <a:stretch>
          <a:fillRect/>
        </a:stretch>
      </xdr:blipFill>
      <xdr:spPr>
        <a:xfrm>
          <a:off x="11871960" y="19050"/>
          <a:ext cx="2612852" cy="57845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0</xdr:colOff>
      <xdr:row>0</xdr:row>
      <xdr:rowOff>0</xdr:rowOff>
    </xdr:from>
    <xdr:to>
      <xdr:col>29</xdr:col>
      <xdr:colOff>509732</xdr:colOff>
      <xdr:row>3</xdr:row>
      <xdr:rowOff>24104</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0165080" y="0"/>
          <a:ext cx="2620472" cy="5727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33</xdr:col>
      <xdr:colOff>548375</xdr:colOff>
      <xdr:row>38</xdr:row>
      <xdr:rowOff>162189</xdr:rowOff>
    </xdr:from>
    <xdr:to>
      <xdr:col>43</xdr:col>
      <xdr:colOff>200607</xdr:colOff>
      <xdr:row>57</xdr:row>
      <xdr:rowOff>127899</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25</xdr:col>
      <xdr:colOff>668472</xdr:colOff>
      <xdr:row>0</xdr:row>
      <xdr:rowOff>0</xdr:rowOff>
    </xdr:from>
    <xdr:to>
      <xdr:col>30</xdr:col>
      <xdr:colOff>245981</xdr:colOff>
      <xdr:row>3</xdr:row>
      <xdr:rowOff>42428</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stretch>
          <a:fillRect/>
        </a:stretch>
      </xdr:blipFill>
      <xdr:spPr>
        <a:xfrm>
          <a:off x="9614352" y="0"/>
          <a:ext cx="2724569" cy="598688"/>
        </a:xfrm>
        <a:prstGeom prst="rect">
          <a:avLst/>
        </a:prstGeom>
      </xdr:spPr>
    </xdr:pic>
    <xdr:clientData/>
  </xdr:twoCellAnchor>
  <xdr:twoCellAnchor editAs="oneCell">
    <xdr:from>
      <xdr:col>2</xdr:col>
      <xdr:colOff>0</xdr:colOff>
      <xdr:row>39</xdr:row>
      <xdr:rowOff>5556</xdr:rowOff>
    </xdr:from>
    <xdr:to>
      <xdr:col>23</xdr:col>
      <xdr:colOff>525780</xdr:colOff>
      <xdr:row>57</xdr:row>
      <xdr:rowOff>142716</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14607</xdr:colOff>
      <xdr:row>39</xdr:row>
      <xdr:rowOff>5556</xdr:rowOff>
    </xdr:from>
    <xdr:to>
      <xdr:col>33</xdr:col>
      <xdr:colOff>349887</xdr:colOff>
      <xdr:row>57</xdr:row>
      <xdr:rowOff>142716</xdr:rowOff>
    </xdr:to>
    <xdr:graphicFrame macro="">
      <xdr:nvGraphicFramePr>
        <xdr:cNvPr id="6" name="Chart 5">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0</xdr:colOff>
      <xdr:row>0</xdr:row>
      <xdr:rowOff>138546</xdr:rowOff>
    </xdr:from>
    <xdr:to>
      <xdr:col>30</xdr:col>
      <xdr:colOff>210474</xdr:colOff>
      <xdr:row>3</xdr:row>
      <xdr:rowOff>157801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0453255" y="138546"/>
          <a:ext cx="2620472" cy="57274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25</xdr:col>
      <xdr:colOff>579120</xdr:colOff>
      <xdr:row>0</xdr:row>
      <xdr:rowOff>0</xdr:rowOff>
    </xdr:from>
    <xdr:to>
      <xdr:col>30</xdr:col>
      <xdr:colOff>189692</xdr:colOff>
      <xdr:row>3</xdr:row>
      <xdr:rowOff>16484</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9563100" y="0"/>
          <a:ext cx="2620472" cy="572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96761</xdr:colOff>
      <xdr:row>9</xdr:row>
      <xdr:rowOff>111126</xdr:rowOff>
    </xdr:from>
    <xdr:to>
      <xdr:col>13</xdr:col>
      <xdr:colOff>762000</xdr:colOff>
      <xdr:row>33</xdr:row>
      <xdr:rowOff>79375</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84667</xdr:colOff>
      <xdr:row>43</xdr:row>
      <xdr:rowOff>193523</xdr:rowOff>
    </xdr:from>
    <xdr:to>
      <xdr:col>12</xdr:col>
      <xdr:colOff>752927</xdr:colOff>
      <xdr:row>65</xdr:row>
      <xdr:rowOff>58057</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46868</xdr:colOff>
      <xdr:row>218</xdr:row>
      <xdr:rowOff>45358</xdr:rowOff>
    </xdr:from>
    <xdr:to>
      <xdr:col>12</xdr:col>
      <xdr:colOff>767443</xdr:colOff>
      <xdr:row>240</xdr:row>
      <xdr:rowOff>35722</xdr:rowOff>
    </xdr:to>
    <xdr:graphicFrame macro="">
      <xdr:nvGraphicFramePr>
        <xdr:cNvPr id="4" name="Chart 4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65766</xdr:colOff>
      <xdr:row>147</xdr:row>
      <xdr:rowOff>102054</xdr:rowOff>
    </xdr:from>
    <xdr:to>
      <xdr:col>12</xdr:col>
      <xdr:colOff>127000</xdr:colOff>
      <xdr:row>168</xdr:row>
      <xdr:rowOff>165554</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4535</xdr:colOff>
      <xdr:row>77</xdr:row>
      <xdr:rowOff>155223</xdr:rowOff>
    </xdr:from>
    <xdr:to>
      <xdr:col>12</xdr:col>
      <xdr:colOff>539750</xdr:colOff>
      <xdr:row>98</xdr:row>
      <xdr:rowOff>113394</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7558</xdr:colOff>
      <xdr:row>113</xdr:row>
      <xdr:rowOff>148166</xdr:rowOff>
    </xdr:from>
    <xdr:to>
      <xdr:col>12</xdr:col>
      <xdr:colOff>861785</xdr:colOff>
      <xdr:row>134</xdr:row>
      <xdr:rowOff>65012</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123975</xdr:colOff>
      <xdr:row>180</xdr:row>
      <xdr:rowOff>51405</xdr:rowOff>
    </xdr:from>
    <xdr:to>
      <xdr:col>12</xdr:col>
      <xdr:colOff>666750</xdr:colOff>
      <xdr:row>202</xdr:row>
      <xdr:rowOff>56848</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169408</xdr:colOff>
      <xdr:row>43</xdr:row>
      <xdr:rowOff>36777</xdr:rowOff>
    </xdr:from>
    <xdr:to>
      <xdr:col>30</xdr:col>
      <xdr:colOff>820553</xdr:colOff>
      <xdr:row>64</xdr:row>
      <xdr:rowOff>65314</xdr:rowOff>
    </xdr:to>
    <xdr:graphicFrame macro="">
      <xdr:nvGraphicFramePr>
        <xdr:cNvPr id="9" name="Chart 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79376</xdr:colOff>
      <xdr:row>258</xdr:row>
      <xdr:rowOff>131346</xdr:rowOff>
    </xdr:from>
    <xdr:to>
      <xdr:col>12</xdr:col>
      <xdr:colOff>743859</xdr:colOff>
      <xdr:row>279</xdr:row>
      <xdr:rowOff>105833</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250371</xdr:colOff>
      <xdr:row>0</xdr:row>
      <xdr:rowOff>29029</xdr:rowOff>
    </xdr:from>
    <xdr:to>
      <xdr:col>13</xdr:col>
      <xdr:colOff>250148</xdr:colOff>
      <xdr:row>3</xdr:row>
      <xdr:rowOff>121627</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0"/>
        <a:stretch>
          <a:fillRect/>
        </a:stretch>
      </xdr:blipFill>
      <xdr:spPr>
        <a:xfrm>
          <a:off x="7500257" y="29029"/>
          <a:ext cx="3134862" cy="734855"/>
        </a:xfrm>
        <a:prstGeom prst="rect">
          <a:avLst/>
        </a:prstGeom>
      </xdr:spPr>
    </xdr:pic>
    <xdr:clientData/>
  </xdr:twoCellAnchor>
  <xdr:twoCellAnchor>
    <xdr:from>
      <xdr:col>29</xdr:col>
      <xdr:colOff>417285</xdr:colOff>
      <xdr:row>80</xdr:row>
      <xdr:rowOff>24945</xdr:rowOff>
    </xdr:from>
    <xdr:to>
      <xdr:col>35</xdr:col>
      <xdr:colOff>802818</xdr:colOff>
      <xdr:row>98</xdr:row>
      <xdr:rowOff>65464</xdr:rowOff>
    </xdr:to>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539299</xdr:colOff>
      <xdr:row>80</xdr:row>
      <xdr:rowOff>37042</xdr:rowOff>
    </xdr:from>
    <xdr:to>
      <xdr:col>29</xdr:col>
      <xdr:colOff>366032</xdr:colOff>
      <xdr:row>98</xdr:row>
      <xdr:rowOff>37042</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7620</xdr:colOff>
      <xdr:row>0</xdr:row>
      <xdr:rowOff>0</xdr:rowOff>
    </xdr:from>
    <xdr:to>
      <xdr:col>30</xdr:col>
      <xdr:colOff>151592</xdr:colOff>
      <xdr:row>3</xdr:row>
      <xdr:rowOff>16484</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9433560" y="0"/>
          <a:ext cx="2620472" cy="57274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0.15397</cdr:x>
      <cdr:y>0.06047</cdr:y>
    </cdr:from>
    <cdr:to>
      <cdr:x>0.45234</cdr:x>
      <cdr:y>0.19199</cdr:y>
    </cdr:to>
    <cdr:pic>
      <cdr:nvPicPr>
        <cdr:cNvPr id="2" name="Picture 1">
          <a:extLst xmlns:a="http://schemas.openxmlformats.org/drawingml/2006/main">
            <a:ext uri="{FF2B5EF4-FFF2-40B4-BE49-F238E27FC236}">
              <a16:creationId xmlns:a16="http://schemas.microsoft.com/office/drawing/2014/main" id="{00000000-0008-0000-0400-00000D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3874" y="291853"/>
          <a:ext cx="2836742" cy="63479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19</xdr:col>
      <xdr:colOff>714377</xdr:colOff>
      <xdr:row>0</xdr:row>
      <xdr:rowOff>127000</xdr:rowOff>
    </xdr:from>
    <xdr:to>
      <xdr:col>24</xdr:col>
      <xdr:colOff>1814</xdr:colOff>
      <xdr:row>4</xdr:row>
      <xdr:rowOff>50935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336520" y="127000"/>
          <a:ext cx="4186008" cy="894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639535</xdr:colOff>
      <xdr:row>0</xdr:row>
      <xdr:rowOff>61609</xdr:rowOff>
    </xdr:from>
    <xdr:to>
      <xdr:col>24</xdr:col>
      <xdr:colOff>196077</xdr:colOff>
      <xdr:row>4</xdr:row>
      <xdr:rowOff>23846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177892" y="61609"/>
          <a:ext cx="4160746" cy="896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662214</xdr:colOff>
      <xdr:row>0</xdr:row>
      <xdr:rowOff>63500</xdr:rowOff>
    </xdr:from>
    <xdr:to>
      <xdr:col>23</xdr:col>
      <xdr:colOff>927944</xdr:colOff>
      <xdr:row>3</xdr:row>
      <xdr:rowOff>170582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6105071" y="63500"/>
          <a:ext cx="3948730" cy="8509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62366</xdr:colOff>
      <xdr:row>0</xdr:row>
      <xdr:rowOff>90715</xdr:rowOff>
    </xdr:from>
    <xdr:to>
      <xdr:col>24</xdr:col>
      <xdr:colOff>313754</xdr:colOff>
      <xdr:row>4</xdr:row>
      <xdr:rowOff>791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094866" y="90715"/>
          <a:ext cx="4242818" cy="8807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727982</xdr:colOff>
      <xdr:row>0</xdr:row>
      <xdr:rowOff>85725</xdr:rowOff>
    </xdr:from>
    <xdr:to>
      <xdr:col>23</xdr:col>
      <xdr:colOff>718918</xdr:colOff>
      <xdr:row>4</xdr:row>
      <xdr:rowOff>9408</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071507" y="85725"/>
          <a:ext cx="4039061" cy="8666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56696</xdr:colOff>
      <xdr:row>0</xdr:row>
      <xdr:rowOff>0</xdr:rowOff>
    </xdr:from>
    <xdr:to>
      <xdr:col>21</xdr:col>
      <xdr:colOff>757489</xdr:colOff>
      <xdr:row>3</xdr:row>
      <xdr:rowOff>152737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281839" y="0"/>
          <a:ext cx="4039079" cy="8965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I62"/>
  <sheetViews>
    <sheetView showGridLines="0" tabSelected="1" zoomScaleNormal="100" zoomScalePageLayoutView="80" workbookViewId="0"/>
  </sheetViews>
  <sheetFormatPr defaultColWidth="8.44140625" defaultRowHeight="13.2"/>
  <cols>
    <col min="1" max="1" width="4.44140625" customWidth="1"/>
    <col min="2" max="2" width="36.109375" customWidth="1"/>
    <col min="3" max="3" width="55.44140625" customWidth="1"/>
  </cols>
  <sheetData>
    <row r="1" spans="1:9" ht="15.6">
      <c r="A1" s="49"/>
      <c r="B1" s="50" t="s">
        <v>611</v>
      </c>
      <c r="C1" s="49"/>
      <c r="D1" s="49"/>
      <c r="E1" s="49"/>
      <c r="F1" s="49"/>
      <c r="G1" s="49"/>
      <c r="H1" s="49"/>
      <c r="I1" s="49"/>
    </row>
    <row r="2" spans="1:9">
      <c r="A2" s="49"/>
      <c r="B2" s="225" t="s">
        <v>631</v>
      </c>
      <c r="C2" s="49"/>
      <c r="D2" s="49"/>
      <c r="E2" s="49"/>
      <c r="F2" s="49"/>
      <c r="G2" s="49"/>
      <c r="H2" s="49"/>
      <c r="I2" s="49"/>
    </row>
    <row r="3" spans="1:9">
      <c r="A3" s="49"/>
      <c r="C3" s="49"/>
      <c r="D3" s="49"/>
      <c r="E3" s="49"/>
      <c r="F3" s="49"/>
      <c r="G3" s="49"/>
      <c r="H3" s="49"/>
      <c r="I3" s="49"/>
    </row>
    <row r="4" spans="1:9" ht="13.8">
      <c r="A4" s="49"/>
      <c r="B4" s="51" t="s">
        <v>143</v>
      </c>
      <c r="C4" s="49"/>
      <c r="D4" s="49"/>
      <c r="E4" s="49"/>
      <c r="F4" s="49"/>
      <c r="G4" s="49"/>
      <c r="H4" s="49"/>
      <c r="I4" s="49"/>
    </row>
    <row r="5" spans="1:9">
      <c r="A5" s="49"/>
      <c r="B5" s="49"/>
      <c r="C5" s="49"/>
      <c r="D5" s="49"/>
      <c r="E5" s="49"/>
      <c r="F5" s="49"/>
      <c r="G5" s="49"/>
      <c r="H5" s="49"/>
      <c r="I5" s="49"/>
    </row>
    <row r="6" spans="1:9">
      <c r="A6" s="49"/>
      <c r="B6" s="2214" t="s">
        <v>298</v>
      </c>
      <c r="C6" s="2214"/>
      <c r="D6" s="2214"/>
      <c r="E6" s="2214"/>
      <c r="F6" s="2214"/>
      <c r="G6" s="2214"/>
      <c r="H6" s="49"/>
      <c r="I6" s="49"/>
    </row>
    <row r="7" spans="1:9">
      <c r="A7" s="49"/>
      <c r="B7" s="2214"/>
      <c r="C7" s="2214"/>
      <c r="D7" s="2214"/>
      <c r="E7" s="2214"/>
      <c r="F7" s="2214"/>
      <c r="G7" s="2214"/>
      <c r="H7" s="49"/>
      <c r="I7" s="49"/>
    </row>
    <row r="8" spans="1:9">
      <c r="A8" s="49"/>
      <c r="B8" s="2214"/>
      <c r="C8" s="2214"/>
      <c r="D8" s="2214"/>
      <c r="E8" s="2214"/>
      <c r="F8" s="2214"/>
      <c r="G8" s="2214"/>
      <c r="H8" s="49"/>
      <c r="I8" s="49"/>
    </row>
    <row r="9" spans="1:9">
      <c r="A9" s="49"/>
      <c r="B9" s="2214"/>
      <c r="C9" s="2214"/>
      <c r="D9" s="2214"/>
      <c r="E9" s="2214"/>
      <c r="F9" s="2214"/>
      <c r="G9" s="2214"/>
      <c r="H9" s="49"/>
      <c r="I9" s="49"/>
    </row>
    <row r="10" spans="1:9">
      <c r="A10" s="49"/>
      <c r="B10" s="2214"/>
      <c r="C10" s="2214"/>
      <c r="D10" s="2214"/>
      <c r="E10" s="2214"/>
      <c r="F10" s="2214"/>
      <c r="G10" s="2214"/>
      <c r="H10" s="49"/>
      <c r="I10" s="49"/>
    </row>
    <row r="11" spans="1:9">
      <c r="A11" s="49"/>
      <c r="B11" s="49"/>
      <c r="C11" s="49"/>
      <c r="D11" s="49"/>
      <c r="E11" s="49"/>
      <c r="F11" s="49"/>
      <c r="G11" s="49"/>
      <c r="H11" s="49"/>
      <c r="I11" s="49"/>
    </row>
    <row r="12" spans="1:9">
      <c r="A12" s="49"/>
      <c r="B12" s="52" t="s">
        <v>144</v>
      </c>
      <c r="C12" s="49"/>
      <c r="D12" s="49"/>
      <c r="E12" s="49"/>
      <c r="F12" s="49"/>
      <c r="G12" s="49"/>
      <c r="H12" s="49"/>
      <c r="I12" s="49"/>
    </row>
    <row r="13" spans="1:9">
      <c r="A13" s="49"/>
      <c r="B13" s="52" t="s">
        <v>145</v>
      </c>
      <c r="C13" s="49"/>
      <c r="D13" s="49"/>
      <c r="E13" s="49"/>
      <c r="F13" s="49"/>
      <c r="G13" s="49"/>
      <c r="H13" s="49"/>
      <c r="I13" s="49"/>
    </row>
    <row r="14" spans="1:9">
      <c r="A14" s="49"/>
      <c r="B14" s="52" t="s">
        <v>146</v>
      </c>
      <c r="C14" s="49"/>
      <c r="D14" s="49"/>
      <c r="E14" s="49"/>
      <c r="F14" s="49"/>
      <c r="G14" s="49"/>
      <c r="H14" s="49"/>
      <c r="I14" s="49"/>
    </row>
    <row r="15" spans="1:9">
      <c r="A15" s="49"/>
      <c r="B15" s="52"/>
      <c r="C15" s="49"/>
      <c r="D15" s="49"/>
      <c r="E15" s="49"/>
      <c r="F15" s="49"/>
      <c r="G15" s="49"/>
      <c r="H15" s="49"/>
      <c r="I15" s="49"/>
    </row>
    <row r="16" spans="1:9">
      <c r="A16" s="49"/>
      <c r="B16" s="49" t="s">
        <v>630</v>
      </c>
      <c r="C16" s="49"/>
      <c r="D16" s="49"/>
      <c r="E16" s="49"/>
      <c r="F16" s="49"/>
      <c r="G16" s="49"/>
      <c r="H16" s="49"/>
      <c r="I16" s="49"/>
    </row>
    <row r="17" spans="1:9">
      <c r="A17" s="49"/>
      <c r="B17" s="49"/>
      <c r="C17" s="49"/>
      <c r="D17" s="49"/>
      <c r="E17" s="49"/>
      <c r="F17" s="49"/>
      <c r="G17" s="49"/>
      <c r="H17" s="49"/>
      <c r="I17" s="49"/>
    </row>
    <row r="18" spans="1:9">
      <c r="A18" s="49"/>
      <c r="B18" s="53" t="s">
        <v>147</v>
      </c>
      <c r="C18" s="54" t="s">
        <v>148</v>
      </c>
      <c r="D18" s="49"/>
      <c r="E18" s="49"/>
      <c r="F18" s="49"/>
      <c r="G18" s="49"/>
      <c r="H18" s="49"/>
      <c r="I18" s="49"/>
    </row>
    <row r="19" spans="1:9">
      <c r="A19" s="49"/>
      <c r="B19" s="55" t="s">
        <v>545</v>
      </c>
      <c r="C19" s="56" t="s">
        <v>149</v>
      </c>
      <c r="D19" s="49"/>
      <c r="E19" s="49"/>
      <c r="G19" s="49"/>
      <c r="H19" s="49"/>
      <c r="I19" s="49"/>
    </row>
    <row r="20" spans="1:9">
      <c r="A20" s="49"/>
      <c r="B20" s="55" t="s">
        <v>531</v>
      </c>
      <c r="C20" s="56" t="s">
        <v>149</v>
      </c>
      <c r="D20" s="49"/>
      <c r="E20" s="49"/>
      <c r="G20" s="49"/>
      <c r="I20" s="49"/>
    </row>
    <row r="21" spans="1:9">
      <c r="A21" s="49"/>
      <c r="B21" s="55" t="s">
        <v>31</v>
      </c>
      <c r="C21" s="57" t="s">
        <v>150</v>
      </c>
      <c r="D21" s="49"/>
      <c r="G21" s="49"/>
      <c r="I21" s="49"/>
    </row>
    <row r="22" spans="1:9">
      <c r="A22" s="49"/>
      <c r="B22" s="58" t="s">
        <v>32</v>
      </c>
      <c r="C22" s="57" t="s">
        <v>150</v>
      </c>
      <c r="D22" s="49"/>
      <c r="E22" s="49"/>
      <c r="F22" s="60"/>
      <c r="G22" s="60"/>
      <c r="H22" s="49"/>
      <c r="I22" s="49"/>
    </row>
    <row r="23" spans="1:9">
      <c r="A23" s="49"/>
      <c r="B23" s="59" t="s">
        <v>124</v>
      </c>
      <c r="C23" s="56" t="s">
        <v>151</v>
      </c>
      <c r="D23" s="49"/>
      <c r="E23" s="49"/>
      <c r="F23" s="60"/>
      <c r="G23" s="60"/>
      <c r="H23" s="49"/>
      <c r="I23" s="49"/>
    </row>
    <row r="24" spans="1:9">
      <c r="A24" s="49"/>
      <c r="B24" s="59" t="s">
        <v>125</v>
      </c>
      <c r="C24" s="57" t="s">
        <v>151</v>
      </c>
      <c r="D24" s="49"/>
      <c r="E24" s="49"/>
      <c r="F24" s="60"/>
      <c r="G24" s="60"/>
      <c r="H24" s="49"/>
      <c r="I24" s="49"/>
    </row>
    <row r="25" spans="1:9">
      <c r="A25" s="49"/>
      <c r="B25" s="59" t="s">
        <v>4</v>
      </c>
      <c r="C25" s="57" t="s">
        <v>150</v>
      </c>
      <c r="D25" s="49"/>
      <c r="E25" s="49"/>
      <c r="F25" s="60"/>
      <c r="G25" s="60"/>
      <c r="H25" s="49"/>
      <c r="I25" s="49"/>
    </row>
    <row r="26" spans="1:9">
      <c r="A26" s="49"/>
      <c r="B26" s="59" t="s">
        <v>299</v>
      </c>
      <c r="C26" s="56" t="s">
        <v>149</v>
      </c>
      <c r="D26" s="49"/>
      <c r="E26" s="49"/>
      <c r="F26" s="60"/>
      <c r="G26" s="60"/>
      <c r="H26" s="49"/>
      <c r="I26" s="49"/>
    </row>
    <row r="27" spans="1:9">
      <c r="A27" s="49"/>
      <c r="B27" s="61" t="s">
        <v>126</v>
      </c>
      <c r="C27" s="57" t="s">
        <v>151</v>
      </c>
      <c r="D27" s="49"/>
      <c r="E27" s="49"/>
      <c r="F27" s="60"/>
      <c r="G27" s="60"/>
      <c r="H27" s="49"/>
      <c r="I27" s="49"/>
    </row>
    <row r="28" spans="1:9">
      <c r="A28" s="49"/>
      <c r="B28" s="61" t="s">
        <v>34</v>
      </c>
      <c r="C28" s="57" t="s">
        <v>150</v>
      </c>
      <c r="D28" s="49"/>
      <c r="E28" s="49"/>
      <c r="F28" s="60"/>
      <c r="G28" s="60"/>
      <c r="H28" s="49"/>
      <c r="I28" s="49"/>
    </row>
    <row r="29" spans="1:9">
      <c r="A29" s="49"/>
      <c r="B29" s="59" t="s">
        <v>127</v>
      </c>
      <c r="C29" s="56" t="s">
        <v>151</v>
      </c>
      <c r="D29" s="49"/>
      <c r="E29" s="49"/>
      <c r="F29" s="60"/>
      <c r="G29" s="60"/>
      <c r="H29" s="49"/>
      <c r="I29" s="49"/>
    </row>
    <row r="30" spans="1:9">
      <c r="A30" s="49"/>
      <c r="B30" s="61" t="s">
        <v>128</v>
      </c>
      <c r="C30" s="57" t="s">
        <v>150</v>
      </c>
      <c r="D30" s="49"/>
      <c r="E30" s="49"/>
      <c r="F30" s="60"/>
      <c r="G30" s="60"/>
      <c r="H30" s="49"/>
      <c r="I30" s="49"/>
    </row>
    <row r="31" spans="1:9">
      <c r="A31" s="49"/>
      <c r="B31" s="59" t="s">
        <v>256</v>
      </c>
      <c r="C31" s="57" t="s">
        <v>149</v>
      </c>
      <c r="D31" s="49"/>
      <c r="E31" s="49"/>
      <c r="F31" s="60"/>
      <c r="G31" s="60"/>
      <c r="H31" s="49"/>
      <c r="I31" s="49"/>
    </row>
    <row r="32" spans="1:9">
      <c r="A32" s="49"/>
      <c r="B32" s="59" t="s">
        <v>345</v>
      </c>
      <c r="C32" s="57" t="s">
        <v>152</v>
      </c>
      <c r="D32" s="49"/>
      <c r="E32" s="49"/>
      <c r="F32" s="60"/>
      <c r="G32" s="60"/>
      <c r="H32" s="49"/>
      <c r="I32" s="49"/>
    </row>
    <row r="33" spans="1:9">
      <c r="A33" s="49"/>
      <c r="B33" s="59" t="s">
        <v>137</v>
      </c>
      <c r="C33" s="57" t="s">
        <v>152</v>
      </c>
      <c r="D33" s="49"/>
      <c r="E33" s="49"/>
      <c r="F33" s="60"/>
      <c r="G33" s="60"/>
      <c r="H33" s="49"/>
      <c r="I33" s="49"/>
    </row>
    <row r="34" spans="1:9">
      <c r="A34" s="49"/>
      <c r="B34" s="61" t="s">
        <v>129</v>
      </c>
      <c r="C34" s="57" t="s">
        <v>150</v>
      </c>
      <c r="D34" s="49"/>
      <c r="E34" s="49"/>
      <c r="F34" s="60"/>
      <c r="G34" s="60"/>
      <c r="H34" s="49"/>
      <c r="I34" s="49"/>
    </row>
    <row r="35" spans="1:9">
      <c r="A35" s="49"/>
      <c r="B35" s="59" t="s">
        <v>130</v>
      </c>
      <c r="C35" s="56" t="s">
        <v>152</v>
      </c>
      <c r="D35" s="49"/>
      <c r="E35" s="49"/>
      <c r="F35" s="60"/>
      <c r="G35" s="60"/>
      <c r="H35" s="49"/>
      <c r="I35" s="49"/>
    </row>
    <row r="36" spans="1:9">
      <c r="A36" s="49"/>
      <c r="B36" s="59" t="s">
        <v>131</v>
      </c>
      <c r="C36" s="57" t="s">
        <v>150</v>
      </c>
      <c r="D36" s="49"/>
      <c r="E36" s="49"/>
      <c r="F36" s="60"/>
      <c r="G36" s="60"/>
      <c r="H36" s="49"/>
      <c r="I36" s="49"/>
    </row>
    <row r="37" spans="1:9">
      <c r="A37" s="49"/>
      <c r="B37" s="61" t="s">
        <v>38</v>
      </c>
      <c r="C37" s="57" t="s">
        <v>150</v>
      </c>
      <c r="D37" s="49"/>
      <c r="E37" s="49"/>
      <c r="F37" s="60"/>
      <c r="G37" s="60"/>
      <c r="H37" s="49"/>
      <c r="I37" s="49"/>
    </row>
    <row r="38" spans="1:9">
      <c r="A38" s="49"/>
      <c r="B38" s="59" t="s">
        <v>346</v>
      </c>
      <c r="C38" s="57" t="s">
        <v>151</v>
      </c>
      <c r="D38" s="49"/>
      <c r="E38" s="49"/>
      <c r="F38" s="60"/>
      <c r="G38" s="60"/>
      <c r="H38" s="49"/>
      <c r="I38" s="49"/>
    </row>
    <row r="39" spans="1:9">
      <c r="A39" s="49"/>
      <c r="D39" s="49"/>
      <c r="E39" s="49"/>
      <c r="F39" s="60"/>
      <c r="G39" s="62"/>
      <c r="H39" s="49"/>
      <c r="I39" s="49"/>
    </row>
    <row r="40" spans="1:9">
      <c r="A40" s="49"/>
      <c r="B40" t="s">
        <v>530</v>
      </c>
      <c r="D40" s="49"/>
      <c r="E40" s="49"/>
      <c r="F40" s="60"/>
      <c r="G40" s="60"/>
      <c r="H40" s="49"/>
      <c r="I40" s="49"/>
    </row>
    <row r="41" spans="1:9">
      <c r="A41" s="49"/>
      <c r="B41" s="59" t="s">
        <v>123</v>
      </c>
      <c r="C41" s="56" t="s">
        <v>149</v>
      </c>
      <c r="D41" s="49"/>
      <c r="E41" s="49"/>
      <c r="F41" s="60"/>
      <c r="G41" s="60"/>
      <c r="H41" s="49"/>
      <c r="I41" s="49"/>
    </row>
    <row r="42" spans="1:9">
      <c r="A42" s="49"/>
      <c r="B42" s="59" t="s">
        <v>33</v>
      </c>
      <c r="C42" s="56" t="s">
        <v>152</v>
      </c>
      <c r="D42" s="49"/>
      <c r="E42" s="49"/>
      <c r="F42" s="60"/>
      <c r="G42" s="60"/>
      <c r="H42" s="49"/>
      <c r="I42" s="49"/>
    </row>
    <row r="43" spans="1:9">
      <c r="A43" s="49"/>
      <c r="B43" s="59" t="s">
        <v>316</v>
      </c>
      <c r="C43" s="56" t="s">
        <v>152</v>
      </c>
      <c r="D43" s="49"/>
      <c r="E43" s="49"/>
      <c r="F43" s="60"/>
      <c r="G43" s="60"/>
      <c r="H43" s="49"/>
      <c r="I43" s="49"/>
    </row>
    <row r="44" spans="1:9">
      <c r="A44" s="49"/>
      <c r="B44" s="59" t="s">
        <v>257</v>
      </c>
      <c r="C44" s="57" t="s">
        <v>152</v>
      </c>
      <c r="D44" s="49"/>
      <c r="E44" s="49"/>
      <c r="F44" s="60"/>
      <c r="G44" s="60"/>
      <c r="H44" s="49"/>
      <c r="I44" s="49"/>
    </row>
    <row r="45" spans="1:9">
      <c r="A45" s="49"/>
      <c r="B45" s="61" t="s">
        <v>35</v>
      </c>
      <c r="C45" s="57" t="s">
        <v>151</v>
      </c>
      <c r="D45" s="49"/>
      <c r="E45" s="49"/>
      <c r="F45" s="60"/>
      <c r="G45" s="60"/>
      <c r="H45" s="49"/>
      <c r="I45" s="49"/>
    </row>
    <row r="46" spans="1:9">
      <c r="A46" s="49"/>
      <c r="B46" s="59" t="s">
        <v>37</v>
      </c>
      <c r="C46" s="56" t="s">
        <v>149</v>
      </c>
      <c r="D46" s="49"/>
      <c r="E46" s="49"/>
      <c r="F46" s="60"/>
      <c r="G46" s="60"/>
      <c r="H46" s="49"/>
      <c r="I46" s="49"/>
    </row>
    <row r="47" spans="1:9">
      <c r="A47" s="49"/>
      <c r="D47" s="49"/>
      <c r="E47" s="49"/>
      <c r="F47" s="60"/>
      <c r="G47" s="60"/>
      <c r="H47" s="49"/>
      <c r="I47" s="49"/>
    </row>
    <row r="48" spans="1:9">
      <c r="A48" s="49"/>
      <c r="D48" s="49"/>
      <c r="E48" s="49"/>
      <c r="F48" s="60"/>
      <c r="G48" s="60"/>
      <c r="H48" s="49"/>
      <c r="I48" s="49"/>
    </row>
    <row r="49" spans="1:9">
      <c r="A49" s="49"/>
      <c r="B49" s="49" t="s">
        <v>153</v>
      </c>
      <c r="C49" s="49"/>
      <c r="D49" s="49"/>
      <c r="E49" s="49"/>
      <c r="F49" s="60"/>
      <c r="G49" s="60"/>
      <c r="H49" s="49"/>
      <c r="I49" s="49"/>
    </row>
    <row r="50" spans="1:9">
      <c r="A50" s="49"/>
      <c r="B50" s="49" t="s">
        <v>154</v>
      </c>
      <c r="C50" s="49"/>
      <c r="D50" s="49"/>
      <c r="E50" s="49"/>
      <c r="F50" s="60"/>
      <c r="G50" s="60"/>
      <c r="H50" s="49"/>
      <c r="I50" s="49"/>
    </row>
    <row r="51" spans="1:9">
      <c r="A51" s="49"/>
      <c r="B51" s="49"/>
      <c r="C51" s="49"/>
      <c r="D51" s="49"/>
      <c r="E51" s="49"/>
      <c r="F51" s="60"/>
      <c r="G51" s="60"/>
      <c r="H51" s="49"/>
      <c r="I51" s="49"/>
    </row>
    <row r="52" spans="1:9" ht="18.75" customHeight="1">
      <c r="A52" s="49"/>
      <c r="B52" s="2215" t="s">
        <v>564</v>
      </c>
      <c r="C52" s="2216"/>
      <c r="D52" s="49"/>
      <c r="E52" s="49"/>
      <c r="F52" s="60"/>
      <c r="G52" s="60"/>
      <c r="H52" s="49"/>
      <c r="I52" s="49"/>
    </row>
    <row r="53" spans="1:9" ht="33" customHeight="1">
      <c r="A53" s="49"/>
      <c r="B53" s="2216"/>
      <c r="C53" s="2216"/>
      <c r="D53" s="49"/>
      <c r="E53" s="49"/>
      <c r="F53" s="60"/>
      <c r="G53" s="60"/>
      <c r="H53" s="49"/>
      <c r="I53" s="49"/>
    </row>
    <row r="54" spans="1:9">
      <c r="A54" s="49"/>
      <c r="B54" s="49"/>
      <c r="C54" s="49"/>
      <c r="D54" s="49"/>
      <c r="E54" s="49"/>
      <c r="F54" s="60"/>
      <c r="G54" s="60"/>
      <c r="H54" s="49"/>
      <c r="I54" s="49"/>
    </row>
    <row r="55" spans="1:9">
      <c r="A55" s="49"/>
      <c r="B55" s="49"/>
      <c r="C55" s="49"/>
      <c r="D55" s="49"/>
      <c r="E55" s="49"/>
      <c r="F55" s="60"/>
      <c r="G55" s="60"/>
      <c r="H55" s="49"/>
      <c r="I55" s="49"/>
    </row>
    <row r="56" spans="1:9">
      <c r="A56" s="49"/>
      <c r="B56" s="49"/>
      <c r="C56" s="49"/>
      <c r="D56" s="49"/>
      <c r="E56" s="49"/>
      <c r="F56" s="60"/>
      <c r="G56" s="60"/>
      <c r="H56" s="49"/>
      <c r="I56" s="49"/>
    </row>
    <row r="57" spans="1:9">
      <c r="A57" s="49"/>
      <c r="B57" s="49"/>
      <c r="C57" s="49"/>
      <c r="D57" s="49"/>
      <c r="E57" s="49"/>
      <c r="F57" s="60"/>
      <c r="G57" s="60"/>
      <c r="H57" s="49"/>
      <c r="I57" s="49"/>
    </row>
    <row r="58" spans="1:9">
      <c r="A58" s="49"/>
      <c r="B58" s="49"/>
      <c r="C58" s="49"/>
      <c r="D58" s="49"/>
      <c r="E58" s="49"/>
      <c r="F58" s="60"/>
      <c r="G58" s="60"/>
      <c r="H58" s="49"/>
      <c r="I58" s="49"/>
    </row>
    <row r="59" spans="1:9">
      <c r="F59" s="60"/>
      <c r="G59" s="60"/>
    </row>
    <row r="60" spans="1:9">
      <c r="F60" s="60"/>
      <c r="G60" s="60"/>
    </row>
    <row r="61" spans="1:9">
      <c r="F61" s="60"/>
      <c r="G61" s="60"/>
    </row>
    <row r="62" spans="1:9">
      <c r="F62" s="60"/>
      <c r="G62" s="60"/>
    </row>
  </sheetData>
  <mergeCells count="2">
    <mergeCell ref="B6:G10"/>
    <mergeCell ref="B52:C53"/>
  </mergeCells>
  <hyperlinks>
    <hyperlink ref="B50" r:id="rId1" xr:uid="{00000000-0004-0000-0200-000000000000}"/>
  </hyperlinks>
  <pageMargins left="0.75" right="0.75" top="1" bottom="1" header="0.5" footer="0.5"/>
  <pageSetup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1:AO85"/>
  <sheetViews>
    <sheetView showGridLines="0" zoomScale="90" zoomScaleNormal="90"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0" customWidth="1"/>
    <col min="3" max="9" width="9.44140625" hidden="1" customWidth="1" outlineLevel="1"/>
    <col min="10" max="10" width="10.77734375" hidden="1" customWidth="1" outlineLevel="1"/>
    <col min="11" max="12" width="9.44140625" hidden="1" customWidth="1" outlineLevel="1"/>
    <col min="13" max="13" width="8.77734375" hidden="1" customWidth="1" outlineLevel="1"/>
    <col min="14" max="14" width="10" hidden="1" customWidth="1" outlineLevel="1"/>
    <col min="15" max="15" width="10" customWidth="1" collapsed="1"/>
    <col min="16" max="17" width="10" customWidth="1"/>
    <col min="18" max="18" width="11.109375" customWidth="1"/>
    <col min="19" max="21" width="10" customWidth="1"/>
    <col min="22" max="22" width="11.109375" customWidth="1"/>
    <col min="23" max="25" width="10" customWidth="1"/>
    <col min="26" max="26" width="10.44140625" customWidth="1"/>
    <col min="27" max="29" width="10" customWidth="1"/>
    <col min="30" max="33" width="11.109375" customWidth="1"/>
    <col min="35" max="35" width="9.44140625" customWidth="1"/>
    <col min="37" max="37" width="11.44140625" customWidth="1"/>
    <col min="38" max="39" width="10.109375" bestFit="1" customWidth="1"/>
    <col min="40" max="40" width="9.77734375" bestFit="1" customWidth="1"/>
    <col min="41" max="41" width="11.44140625" customWidth="1"/>
  </cols>
  <sheetData>
    <row r="1" spans="2:41">
      <c r="AM1" s="2"/>
    </row>
    <row r="2" spans="2:41" ht="17.399999999999999">
      <c r="B2" s="32" t="str">
        <f>'Charts for slides'!B2</f>
        <v>Quarterly Market Update for the quarter ended September 30, 2023</v>
      </c>
      <c r="X2" s="1617"/>
      <c r="AB2" s="1617"/>
    </row>
    <row r="3" spans="2:41">
      <c r="B3" s="969" t="str">
        <f>Introduction!$B$2</f>
        <v>December 2023 QMU - Sample template for illustrative purposes only</v>
      </c>
      <c r="AB3" s="1617"/>
    </row>
    <row r="4" spans="2:41" ht="13.8">
      <c r="B4" s="25" t="s">
        <v>322</v>
      </c>
      <c r="U4" s="13"/>
      <c r="AB4" s="1617"/>
    </row>
    <row r="5" spans="2:41" ht="13.8">
      <c r="B5" s="25"/>
      <c r="T5" s="13"/>
      <c r="U5" s="13"/>
      <c r="V5" s="13"/>
      <c r="W5" s="13"/>
      <c r="Y5" s="13"/>
      <c r="Z5" s="13"/>
    </row>
    <row r="6" spans="2:41">
      <c r="B6" s="1476" t="s">
        <v>252</v>
      </c>
      <c r="O6" s="1"/>
      <c r="P6" s="1382"/>
      <c r="Q6" s="1"/>
      <c r="R6" s="1"/>
      <c r="S6" s="1"/>
      <c r="T6" s="1382"/>
      <c r="U6" s="1"/>
      <c r="V6" s="1"/>
      <c r="W6" s="1"/>
      <c r="X6" s="13"/>
      <c r="AA6" s="1"/>
      <c r="AB6" s="13"/>
      <c r="AH6" s="23" t="s">
        <v>270</v>
      </c>
      <c r="AI6" s="23" t="s">
        <v>347</v>
      </c>
      <c r="AJ6" s="23" t="s">
        <v>270</v>
      </c>
    </row>
    <row r="7" spans="2:41">
      <c r="B7" s="1523" t="s">
        <v>41</v>
      </c>
      <c r="C7" s="1478" t="s">
        <v>96</v>
      </c>
      <c r="D7" s="1479" t="s">
        <v>97</v>
      </c>
      <c r="E7" s="1479" t="s">
        <v>98</v>
      </c>
      <c r="F7" s="1480" t="s">
        <v>99</v>
      </c>
      <c r="G7" s="1524" t="s">
        <v>100</v>
      </c>
      <c r="H7" s="1479" t="s">
        <v>101</v>
      </c>
      <c r="I7" s="1479" t="s">
        <v>102</v>
      </c>
      <c r="J7" s="1480" t="s">
        <v>103</v>
      </c>
      <c r="K7" s="1524" t="s">
        <v>104</v>
      </c>
      <c r="L7" s="1479" t="s">
        <v>105</v>
      </c>
      <c r="M7" s="1479" t="s">
        <v>106</v>
      </c>
      <c r="N7" s="1480" t="s">
        <v>107</v>
      </c>
      <c r="O7" s="1524" t="s">
        <v>108</v>
      </c>
      <c r="P7" s="1479" t="s">
        <v>109</v>
      </c>
      <c r="Q7" s="1479" t="s">
        <v>110</v>
      </c>
      <c r="R7" s="1480" t="s">
        <v>111</v>
      </c>
      <c r="S7" s="1524" t="s">
        <v>112</v>
      </c>
      <c r="T7" s="1479" t="s">
        <v>113</v>
      </c>
      <c r="U7" s="1479" t="s">
        <v>114</v>
      </c>
      <c r="V7" s="1480" t="s">
        <v>115</v>
      </c>
      <c r="W7" s="1524" t="s">
        <v>463</v>
      </c>
      <c r="X7" s="1525" t="s">
        <v>464</v>
      </c>
      <c r="Y7" s="1525" t="s">
        <v>465</v>
      </c>
      <c r="Z7" s="1480" t="s">
        <v>466</v>
      </c>
      <c r="AA7" s="1524" t="s">
        <v>467</v>
      </c>
      <c r="AB7" s="1525" t="s">
        <v>468</v>
      </c>
      <c r="AC7" s="1525" t="s">
        <v>469</v>
      </c>
      <c r="AD7" s="1480" t="s">
        <v>470</v>
      </c>
      <c r="AE7" s="1939" t="s">
        <v>568</v>
      </c>
      <c r="AF7" s="1479" t="s">
        <v>594</v>
      </c>
      <c r="AG7" s="1944" t="s">
        <v>595</v>
      </c>
      <c r="AH7" s="23" t="s">
        <v>251</v>
      </c>
      <c r="AI7" s="23" t="s">
        <v>348</v>
      </c>
      <c r="AJ7" s="23" t="s">
        <v>279</v>
      </c>
      <c r="AK7" s="2" t="s">
        <v>497</v>
      </c>
      <c r="AN7" s="13"/>
      <c r="AO7" s="13"/>
    </row>
    <row r="8" spans="2:41" ht="17.25" customHeight="1">
      <c r="B8" s="1589" t="s">
        <v>53</v>
      </c>
      <c r="C8" s="1483">
        <v>40535</v>
      </c>
      <c r="D8" s="1484">
        <v>40520</v>
      </c>
      <c r="E8" s="1484">
        <v>40890</v>
      </c>
      <c r="F8" s="1485">
        <v>41841</v>
      </c>
      <c r="G8" s="1618">
        <v>39365</v>
      </c>
      <c r="H8" s="1484">
        <v>39837</v>
      </c>
      <c r="I8" s="1484">
        <v>39668</v>
      </c>
      <c r="J8" s="1485">
        <v>41676</v>
      </c>
      <c r="K8" s="1618">
        <v>38038</v>
      </c>
      <c r="L8" s="1484">
        <v>38986</v>
      </c>
      <c r="M8" s="1484">
        <v>45739</v>
      </c>
      <c r="N8" s="1485">
        <v>47993</v>
      </c>
      <c r="O8" s="1618">
        <v>44827</v>
      </c>
      <c r="P8" s="1484"/>
      <c r="Q8" s="1484"/>
      <c r="R8" s="1485"/>
      <c r="S8" s="1618"/>
      <c r="T8" s="1484"/>
      <c r="U8" s="1484"/>
      <c r="V8" s="1501"/>
      <c r="W8" s="1618"/>
      <c r="X8" s="1580"/>
      <c r="Y8" s="1580"/>
      <c r="Z8" s="1485"/>
      <c r="AA8" s="1618"/>
      <c r="AB8" s="1580"/>
      <c r="AC8" s="1580"/>
      <c r="AD8" s="1485"/>
      <c r="AE8" s="1959"/>
      <c r="AF8" s="1484"/>
      <c r="AG8" s="1945"/>
      <c r="AH8" s="1488" t="e">
        <f>AG8/AC8-1</f>
        <v>#DIV/0!</v>
      </c>
      <c r="AI8" s="1489">
        <f>AG8-AC8</f>
        <v>0</v>
      </c>
      <c r="AJ8" s="1544" t="e">
        <f>AG8/AF8-1</f>
        <v>#DIV/0!</v>
      </c>
      <c r="AK8" s="1604"/>
      <c r="AM8" s="43"/>
      <c r="AN8" s="45"/>
      <c r="AO8" s="45"/>
    </row>
    <row r="9" spans="2:41" ht="17.25" customHeight="1">
      <c r="B9" s="1589" t="s">
        <v>54</v>
      </c>
      <c r="C9" s="1483">
        <v>8090.4019453583178</v>
      </c>
      <c r="D9" s="1484">
        <v>8277.1965027948972</v>
      </c>
      <c r="E9" s="1484">
        <v>7885.2717248621684</v>
      </c>
      <c r="F9" s="1485">
        <v>7606.7527308838144</v>
      </c>
      <c r="G9" s="1618">
        <v>7586.1214374225519</v>
      </c>
      <c r="H9" s="1484">
        <v>7473.7516005121633</v>
      </c>
      <c r="I9" s="1484">
        <v>7784.6113582831722</v>
      </c>
      <c r="J9" s="1485">
        <v>7919.8726452639949</v>
      </c>
      <c r="K9" s="1618">
        <v>8303.6459782911206</v>
      </c>
      <c r="L9" s="1484">
        <v>7768.1120021747993</v>
      </c>
      <c r="M9" s="1484">
        <v>7700.729927007299</v>
      </c>
      <c r="N9" s="1485">
        <v>7694.8803704656548</v>
      </c>
      <c r="O9" s="1618">
        <v>7623.0789268038543</v>
      </c>
      <c r="P9" s="1484"/>
      <c r="Q9" s="1484"/>
      <c r="R9" s="1485"/>
      <c r="S9" s="1618"/>
      <c r="T9" s="1484"/>
      <c r="U9" s="1484"/>
      <c r="V9" s="1501"/>
      <c r="W9" s="1618"/>
      <c r="X9" s="1580"/>
      <c r="Y9" s="1580"/>
      <c r="Z9" s="1485"/>
      <c r="AA9" s="1618"/>
      <c r="AB9" s="1580"/>
      <c r="AC9" s="1580"/>
      <c r="AD9" s="1485"/>
      <c r="AE9" s="1940"/>
      <c r="AF9" s="1484"/>
      <c r="AG9" s="1945"/>
      <c r="AH9" s="1488" t="e">
        <f t="shared" ref="AH9:AH23" si="0">AG9/AC9-1</f>
        <v>#DIV/0!</v>
      </c>
      <c r="AI9" s="1489">
        <f t="shared" ref="AI9:AI23" si="1">AG9-AC9</f>
        <v>0</v>
      </c>
      <c r="AJ9" s="1544" t="e">
        <f t="shared" ref="AJ9:AJ23" si="2">AG9/AF9-1</f>
        <v>#DIV/0!</v>
      </c>
      <c r="AK9" s="1604"/>
      <c r="AM9" s="43"/>
      <c r="AN9" s="45"/>
      <c r="AO9" s="45"/>
    </row>
    <row r="10" spans="2:41" ht="17.25" customHeight="1">
      <c r="B10" s="1589" t="s">
        <v>55</v>
      </c>
      <c r="C10" s="1483">
        <v>29523.131563638592</v>
      </c>
      <c r="D10" s="1484">
        <v>29523.131563638592</v>
      </c>
      <c r="E10" s="1484">
        <v>25862.695078031215</v>
      </c>
      <c r="F10" s="1501">
        <v>29225.160453920671</v>
      </c>
      <c r="G10" s="1618">
        <v>26724.763979665942</v>
      </c>
      <c r="H10" s="1484">
        <v>29875.464819540648</v>
      </c>
      <c r="I10" s="1484">
        <v>27085.276432395149</v>
      </c>
      <c r="J10" s="1501">
        <v>25872.012102874432</v>
      </c>
      <c r="K10" s="1618">
        <v>29183.18545088415</v>
      </c>
      <c r="L10" s="1484">
        <v>32346.522856963693</v>
      </c>
      <c r="M10" s="1484">
        <v>25853.816300129369</v>
      </c>
      <c r="N10" s="1501">
        <v>24457.894051802683</v>
      </c>
      <c r="O10" s="1618">
        <v>27424.878070474522</v>
      </c>
      <c r="P10" s="1484"/>
      <c r="Q10" s="1484"/>
      <c r="R10" s="1485"/>
      <c r="S10" s="1618"/>
      <c r="T10" s="1484"/>
      <c r="U10" s="1484"/>
      <c r="V10" s="1501"/>
      <c r="W10" s="1527"/>
      <c r="X10" s="1528"/>
      <c r="Y10" s="1580"/>
      <c r="Z10" s="1501"/>
      <c r="AA10" s="1618"/>
      <c r="AB10" s="1580"/>
      <c r="AC10" s="1580"/>
      <c r="AD10" s="1660"/>
      <c r="AE10" s="1956"/>
      <c r="AF10" s="1694"/>
      <c r="AG10" s="1958"/>
      <c r="AH10" s="1488" t="e">
        <f t="shared" si="0"/>
        <v>#DIV/0!</v>
      </c>
      <c r="AI10" s="1489">
        <f t="shared" si="1"/>
        <v>0</v>
      </c>
      <c r="AJ10" s="1544" t="e">
        <f t="shared" si="2"/>
        <v>#DIV/0!</v>
      </c>
      <c r="AK10" s="1604"/>
      <c r="AM10" s="43"/>
      <c r="AN10" s="45"/>
      <c r="AO10" s="45"/>
    </row>
    <row r="11" spans="2:41" ht="17.25" customHeight="1">
      <c r="B11" s="1589" t="s">
        <v>56</v>
      </c>
      <c r="C11" s="1483">
        <v>13839.441535776616</v>
      </c>
      <c r="D11" s="1484">
        <v>13839.441535776616</v>
      </c>
      <c r="E11" s="1484">
        <v>13053.421368547419</v>
      </c>
      <c r="F11" s="1501">
        <v>13790.960592709789</v>
      </c>
      <c r="G11" s="1618">
        <v>13279.30283224401</v>
      </c>
      <c r="H11" s="1484">
        <v>13516.587677725118</v>
      </c>
      <c r="I11" s="1484">
        <v>13583.049678357751</v>
      </c>
      <c r="J11" s="1501">
        <v>13664.227369125183</v>
      </c>
      <c r="K11" s="1618">
        <v>15199.326662890944</v>
      </c>
      <c r="L11" s="1484">
        <v>12694.393929892769</v>
      </c>
      <c r="M11" s="1484">
        <v>15786.046101375987</v>
      </c>
      <c r="N11" s="1501">
        <v>13327.114697673074</v>
      </c>
      <c r="O11" s="1618">
        <v>14251.300828676045</v>
      </c>
      <c r="P11" s="1484"/>
      <c r="Q11" s="1484"/>
      <c r="R11" s="1485"/>
      <c r="S11" s="1618"/>
      <c r="T11" s="1484"/>
      <c r="U11" s="1484"/>
      <c r="V11" s="1501"/>
      <c r="W11" s="1618"/>
      <c r="X11" s="1580"/>
      <c r="Y11" s="1580"/>
      <c r="Z11" s="1501"/>
      <c r="AA11" s="1618"/>
      <c r="AB11" s="1580"/>
      <c r="AC11" s="1580"/>
      <c r="AD11" s="1660"/>
      <c r="AE11" s="1956"/>
      <c r="AF11" s="1694"/>
      <c r="AG11" s="1958"/>
      <c r="AH11" s="1488" t="e">
        <f t="shared" si="0"/>
        <v>#DIV/0!</v>
      </c>
      <c r="AI11" s="1489">
        <f t="shared" si="1"/>
        <v>0</v>
      </c>
      <c r="AJ11" s="1544" t="e">
        <f t="shared" si="2"/>
        <v>#DIV/0!</v>
      </c>
      <c r="AK11" s="1604"/>
      <c r="AM11" s="43"/>
      <c r="AN11" s="45"/>
      <c r="AO11" s="45"/>
    </row>
    <row r="12" spans="2:41" ht="17.25" customHeight="1">
      <c r="B12" s="1589" t="s">
        <v>57</v>
      </c>
      <c r="C12" s="1483">
        <v>10703.132175989713</v>
      </c>
      <c r="D12" s="1484">
        <v>10703.132175989713</v>
      </c>
      <c r="E12" s="1484">
        <v>10036.614645858344</v>
      </c>
      <c r="F12" s="1501">
        <v>10463.559275638336</v>
      </c>
      <c r="G12" s="1618">
        <v>10022.512708787219</v>
      </c>
      <c r="H12" s="1484">
        <v>10084.578928180825</v>
      </c>
      <c r="I12" s="1484">
        <v>10139.303333383317</v>
      </c>
      <c r="J12" s="1501">
        <v>10446.4447806354</v>
      </c>
      <c r="K12" s="1618">
        <v>11788.905669876031</v>
      </c>
      <c r="L12" s="1484">
        <v>11627.578854957044</v>
      </c>
      <c r="M12" s="1484">
        <v>10379.718922733153</v>
      </c>
      <c r="N12" s="1501">
        <v>10291.842017730343</v>
      </c>
      <c r="O12" s="1618">
        <v>10843.500303897297</v>
      </c>
      <c r="P12" s="1484"/>
      <c r="Q12" s="1484"/>
      <c r="R12" s="1485"/>
      <c r="S12" s="1618"/>
      <c r="T12" s="1484"/>
      <c r="U12" s="1484"/>
      <c r="V12" s="1501"/>
      <c r="W12" s="1618"/>
      <c r="X12" s="1580"/>
      <c r="Y12" s="1580"/>
      <c r="Z12" s="1501"/>
      <c r="AA12" s="1618"/>
      <c r="AB12" s="1580"/>
      <c r="AC12" s="1580"/>
      <c r="AD12" s="1501"/>
      <c r="AE12" s="1942"/>
      <c r="AF12" s="1496"/>
      <c r="AG12" s="1947"/>
      <c r="AH12" s="1488" t="e">
        <f t="shared" si="0"/>
        <v>#DIV/0!</v>
      </c>
      <c r="AI12" s="1489">
        <f t="shared" si="1"/>
        <v>0</v>
      </c>
      <c r="AJ12" s="1544" t="e">
        <f t="shared" si="2"/>
        <v>#DIV/0!</v>
      </c>
      <c r="AK12" s="1604"/>
      <c r="AM12" s="43"/>
      <c r="AN12" s="45"/>
      <c r="AO12" s="45"/>
    </row>
    <row r="13" spans="2:41" ht="17.25" customHeight="1">
      <c r="B13" s="1589" t="s">
        <v>58</v>
      </c>
      <c r="C13" s="1483">
        <v>12204</v>
      </c>
      <c r="D13" s="1484">
        <v>12444</v>
      </c>
      <c r="E13" s="1484">
        <v>12557</v>
      </c>
      <c r="F13" s="1485">
        <v>12843</v>
      </c>
      <c r="G13" s="1618">
        <v>12912</v>
      </c>
      <c r="H13" s="1484">
        <v>13122</v>
      </c>
      <c r="I13" s="1484">
        <v>13203</v>
      </c>
      <c r="J13" s="1485">
        <v>13282</v>
      </c>
      <c r="K13" s="1618">
        <v>13518</v>
      </c>
      <c r="L13" s="1484">
        <v>13710</v>
      </c>
      <c r="M13" s="1484">
        <v>13787</v>
      </c>
      <c r="N13" s="1485">
        <v>14128</v>
      </c>
      <c r="O13" s="1618">
        <v>14280</v>
      </c>
      <c r="P13" s="1484"/>
      <c r="Q13" s="1484"/>
      <c r="R13" s="1485"/>
      <c r="S13" s="1618"/>
      <c r="T13" s="1484"/>
      <c r="U13" s="1484"/>
      <c r="V13" s="1501"/>
      <c r="W13" s="1618"/>
      <c r="X13" s="1580"/>
      <c r="Y13" s="1580"/>
      <c r="Z13" s="1485"/>
      <c r="AA13" s="1618"/>
      <c r="AB13" s="1580"/>
      <c r="AC13" s="1580"/>
      <c r="AD13" s="1485"/>
      <c r="AE13" s="1940"/>
      <c r="AF13" s="1484"/>
      <c r="AG13" s="1945"/>
      <c r="AH13" s="1488" t="e">
        <f t="shared" si="0"/>
        <v>#DIV/0!</v>
      </c>
      <c r="AI13" s="1489">
        <f t="shared" si="1"/>
        <v>0</v>
      </c>
      <c r="AJ13" s="1544" t="e">
        <f t="shared" si="2"/>
        <v>#DIV/0!</v>
      </c>
      <c r="AK13" s="1604"/>
      <c r="AM13" s="43"/>
      <c r="AN13" s="45"/>
      <c r="AO13" s="45"/>
    </row>
    <row r="14" spans="2:41" ht="17.25" customHeight="1">
      <c r="B14" s="1589" t="s">
        <v>59</v>
      </c>
      <c r="C14" s="1483">
        <v>19431.279620853078</v>
      </c>
      <c r="D14" s="1484">
        <v>20116.292198261261</v>
      </c>
      <c r="E14" s="1484">
        <v>20204.218279209908</v>
      </c>
      <c r="F14" s="1485">
        <v>21070.619946091643</v>
      </c>
      <c r="G14" s="1618">
        <v>19874.227243658068</v>
      </c>
      <c r="H14" s="1484">
        <v>20815.42699724518</v>
      </c>
      <c r="I14" s="1484">
        <v>21433.940105695827</v>
      </c>
      <c r="J14" s="1485">
        <v>22554.443790464979</v>
      </c>
      <c r="K14" s="1618">
        <v>22027.774364016223</v>
      </c>
      <c r="L14" s="1484">
        <v>21870.683496070491</v>
      </c>
      <c r="M14" s="1484">
        <v>22219.120725750174</v>
      </c>
      <c r="N14" s="1485">
        <v>23118.439068918302</v>
      </c>
      <c r="O14" s="1618">
        <v>22127.852844328376</v>
      </c>
      <c r="P14" s="1484"/>
      <c r="Q14" s="1484"/>
      <c r="R14" s="1485"/>
      <c r="S14" s="1618"/>
      <c r="T14" s="1484"/>
      <c r="U14" s="1484"/>
      <c r="V14" s="1501"/>
      <c r="W14" s="1618"/>
      <c r="X14" s="1580"/>
      <c r="Y14" s="1580"/>
      <c r="Z14" s="1485"/>
      <c r="AA14" s="1618"/>
      <c r="AB14" s="1580"/>
      <c r="AC14" s="1580"/>
      <c r="AD14" s="1485"/>
      <c r="AE14" s="1940"/>
      <c r="AF14" s="1484"/>
      <c r="AG14" s="1945"/>
      <c r="AH14" s="1488" t="e">
        <f t="shared" si="0"/>
        <v>#DIV/0!</v>
      </c>
      <c r="AI14" s="1489">
        <f t="shared" si="1"/>
        <v>0</v>
      </c>
      <c r="AJ14" s="1544" t="e">
        <f t="shared" si="2"/>
        <v>#DIV/0!</v>
      </c>
      <c r="AK14" s="1604"/>
      <c r="AM14" s="43"/>
      <c r="AN14" s="45"/>
      <c r="AO14" s="45"/>
    </row>
    <row r="15" spans="2:41" ht="17.25" customHeight="1">
      <c r="B15" s="1589" t="s">
        <v>559</v>
      </c>
      <c r="C15" s="1483">
        <v>11031.632315661853</v>
      </c>
      <c r="D15" s="1484">
        <v>11369.538218358361</v>
      </c>
      <c r="E15" s="1484">
        <v>11519.919651824574</v>
      </c>
      <c r="F15" s="1485">
        <v>11129.919137466306</v>
      </c>
      <c r="G15" s="1618">
        <v>10733.319121722447</v>
      </c>
      <c r="H15" s="1484">
        <v>11246.280991735537</v>
      </c>
      <c r="I15" s="1484">
        <v>12065.766294773926</v>
      </c>
      <c r="J15" s="1485">
        <v>12414.361389052383</v>
      </c>
      <c r="K15" s="1618">
        <v>12390.315841219124</v>
      </c>
      <c r="L15" s="1484">
        <v>12121.93379376042</v>
      </c>
      <c r="M15" s="1484">
        <v>11987.67155152361</v>
      </c>
      <c r="N15" s="1485">
        <v>12335.691465084437</v>
      </c>
      <c r="O15" s="1618">
        <v>11564.66447144317</v>
      </c>
      <c r="P15" s="1484"/>
      <c r="Q15" s="1484"/>
      <c r="R15" s="1485"/>
      <c r="S15" s="1618"/>
      <c r="T15" s="1484"/>
      <c r="U15" s="1484"/>
      <c r="V15" s="1501"/>
      <c r="W15" s="1618"/>
      <c r="X15" s="1580"/>
      <c r="Y15" s="1580"/>
      <c r="Z15" s="1485"/>
      <c r="AA15" s="1618"/>
      <c r="AB15" s="1580"/>
      <c r="AC15" s="1580"/>
      <c r="AD15" s="1485"/>
      <c r="AE15" s="1940"/>
      <c r="AF15" s="1484"/>
      <c r="AG15" s="1945"/>
      <c r="AH15" s="1488" t="e">
        <f t="shared" si="0"/>
        <v>#DIV/0!</v>
      </c>
      <c r="AI15" s="1489">
        <f t="shared" si="1"/>
        <v>0</v>
      </c>
      <c r="AJ15" s="1544" t="e">
        <f t="shared" si="2"/>
        <v>#DIV/0!</v>
      </c>
      <c r="AK15" s="1604"/>
      <c r="AM15" s="43"/>
      <c r="AN15" s="45"/>
      <c r="AO15" s="45"/>
    </row>
    <row r="16" spans="2:41" ht="17.25" customHeight="1">
      <c r="B16" s="1589" t="s">
        <v>60</v>
      </c>
      <c r="C16" s="1483">
        <v>10131.990624186128</v>
      </c>
      <c r="D16" s="1484">
        <v>10478.586828967151</v>
      </c>
      <c r="E16" s="1484">
        <v>11441.064928518255</v>
      </c>
      <c r="F16" s="1485">
        <v>11158.44572790914</v>
      </c>
      <c r="G16" s="1618">
        <v>10796.217044433877</v>
      </c>
      <c r="H16" s="1484">
        <v>10781.736280262936</v>
      </c>
      <c r="I16" s="1484">
        <v>10968.651060371531</v>
      </c>
      <c r="J16" s="1485">
        <v>11906.475903614459</v>
      </c>
      <c r="K16" s="1618">
        <v>11836.654983028562</v>
      </c>
      <c r="L16" s="1484">
        <v>11187.434927012948</v>
      </c>
      <c r="M16" s="1484">
        <v>11127.753857194115</v>
      </c>
      <c r="N16" s="1485">
        <v>11608.108539391984</v>
      </c>
      <c r="O16" s="1618">
        <v>11881.221736916024</v>
      </c>
      <c r="P16" s="1484"/>
      <c r="Q16" s="1484"/>
      <c r="R16" s="1485"/>
      <c r="S16" s="1618"/>
      <c r="T16" s="1484"/>
      <c r="U16" s="1484"/>
      <c r="V16" s="1501"/>
      <c r="W16" s="1618"/>
      <c r="X16" s="1580"/>
      <c r="Y16" s="1580"/>
      <c r="Z16" s="1485"/>
      <c r="AA16" s="1618"/>
      <c r="AB16" s="1580"/>
      <c r="AC16" s="1580"/>
      <c r="AD16" s="1485"/>
      <c r="AE16" s="1940"/>
      <c r="AF16" s="1484"/>
      <c r="AG16" s="1945"/>
      <c r="AH16" s="1488" t="e">
        <f t="shared" si="0"/>
        <v>#DIV/0!</v>
      </c>
      <c r="AI16" s="1489">
        <f t="shared" si="1"/>
        <v>0</v>
      </c>
      <c r="AJ16" s="1544" t="e">
        <f t="shared" si="2"/>
        <v>#DIV/0!</v>
      </c>
      <c r="AK16" s="1604"/>
      <c r="AM16" s="43"/>
      <c r="AN16" s="45"/>
      <c r="AO16" s="45"/>
    </row>
    <row r="17" spans="2:41" ht="17.25" customHeight="1">
      <c r="B17" s="1589" t="s">
        <v>61</v>
      </c>
      <c r="C17" s="1483">
        <v>26440.116329542485</v>
      </c>
      <c r="D17" s="1484">
        <v>25182.458273932123</v>
      </c>
      <c r="E17" s="1484">
        <v>27428.09329261502</v>
      </c>
      <c r="F17" s="1485">
        <v>25926.827885921561</v>
      </c>
      <c r="G17" s="1618">
        <v>26686.004121096845</v>
      </c>
      <c r="H17" s="1484">
        <v>25273.369336437132</v>
      </c>
      <c r="I17" s="1484">
        <v>25723.177168270122</v>
      </c>
      <c r="J17" s="1485">
        <v>27083.628632175758</v>
      </c>
      <c r="K17" s="1618">
        <v>28417.464145758619</v>
      </c>
      <c r="L17" s="1484">
        <v>26122.890765290376</v>
      </c>
      <c r="M17" s="1484">
        <v>26376.928597057766</v>
      </c>
      <c r="N17" s="1485">
        <v>26613.569551665078</v>
      </c>
      <c r="O17" s="1618">
        <v>28004.11446044008</v>
      </c>
      <c r="P17" s="1484"/>
      <c r="Q17" s="1484"/>
      <c r="R17" s="1485"/>
      <c r="S17" s="1618"/>
      <c r="T17" s="1484"/>
      <c r="U17" s="1484"/>
      <c r="V17" s="1501"/>
      <c r="W17" s="1618"/>
      <c r="X17" s="1580"/>
      <c r="Y17" s="1580"/>
      <c r="Z17" s="1485"/>
      <c r="AA17" s="1618"/>
      <c r="AB17" s="1580"/>
      <c r="AC17" s="1580"/>
      <c r="AD17" s="1485"/>
      <c r="AE17" s="1940"/>
      <c r="AF17" s="1484"/>
      <c r="AG17" s="1945"/>
      <c r="AH17" s="1488" t="e">
        <f t="shared" si="0"/>
        <v>#DIV/0!</v>
      </c>
      <c r="AI17" s="1489">
        <f t="shared" si="1"/>
        <v>0</v>
      </c>
      <c r="AJ17" s="1544" t="e">
        <f t="shared" si="2"/>
        <v>#DIV/0!</v>
      </c>
      <c r="AK17" s="1604"/>
      <c r="AM17" s="43"/>
      <c r="AN17" s="45"/>
      <c r="AO17" s="45"/>
    </row>
    <row r="18" spans="2:41" ht="17.25" customHeight="1">
      <c r="B18" s="1589" t="s">
        <v>62</v>
      </c>
      <c r="C18" s="1483">
        <v>20343.285007379112</v>
      </c>
      <c r="D18" s="1484">
        <v>19711.509405629473</v>
      </c>
      <c r="E18" s="1484">
        <v>20958.14063449451</v>
      </c>
      <c r="F18" s="1485">
        <v>21113.469614613216</v>
      </c>
      <c r="G18" s="1618">
        <v>20425.300716789068</v>
      </c>
      <c r="H18" s="1484">
        <v>19663.118526007504</v>
      </c>
      <c r="I18" s="1484">
        <v>20047.644189445116</v>
      </c>
      <c r="J18" s="1485">
        <v>21262.74805102764</v>
      </c>
      <c r="K18" s="1618">
        <v>21675.897233230779</v>
      </c>
      <c r="L18" s="1484">
        <v>20812.211607052104</v>
      </c>
      <c r="M18" s="1484">
        <v>21358.719052744887</v>
      </c>
      <c r="N18" s="1485">
        <v>22292.623378097087</v>
      </c>
      <c r="O18" s="1618">
        <v>22095.560431818616</v>
      </c>
      <c r="P18" s="1484"/>
      <c r="Q18" s="1484"/>
      <c r="R18" s="1485"/>
      <c r="S18" s="1618"/>
      <c r="T18" s="1484"/>
      <c r="U18" s="1484"/>
      <c r="V18" s="1501"/>
      <c r="W18" s="1618"/>
      <c r="X18" s="1580"/>
      <c r="Y18" s="1580"/>
      <c r="Z18" s="1485"/>
      <c r="AA18" s="1618"/>
      <c r="AB18" s="1580"/>
      <c r="AC18" s="1580"/>
      <c r="AD18" s="1485"/>
      <c r="AE18" s="1940"/>
      <c r="AF18" s="1484"/>
      <c r="AG18" s="1945"/>
      <c r="AH18" s="1488" t="e">
        <f t="shared" si="0"/>
        <v>#DIV/0!</v>
      </c>
      <c r="AI18" s="1489">
        <f t="shared" si="1"/>
        <v>0</v>
      </c>
      <c r="AJ18" s="1544" t="e">
        <f t="shared" si="2"/>
        <v>#DIV/0!</v>
      </c>
      <c r="AK18" s="1604"/>
      <c r="AM18" s="43"/>
      <c r="AN18" s="45"/>
      <c r="AO18" s="45"/>
    </row>
    <row r="19" spans="2:41" ht="17.25" customHeight="1">
      <c r="B19" s="1589" t="s">
        <v>63</v>
      </c>
      <c r="C19" s="1483">
        <v>4893.6404717293062</v>
      </c>
      <c r="D19" s="1484">
        <v>5256.858981596477</v>
      </c>
      <c r="E19" s="1484">
        <v>5404.53074433657</v>
      </c>
      <c r="F19" s="1485">
        <v>4544.907391486423</v>
      </c>
      <c r="G19" s="1618">
        <v>5136.4314645065015</v>
      </c>
      <c r="H19" s="1484">
        <v>5457.8512396694214</v>
      </c>
      <c r="I19" s="1484">
        <v>5762.7715795654722</v>
      </c>
      <c r="J19" s="1485">
        <v>6061.212477928193</v>
      </c>
      <c r="K19" s="1618">
        <v>5787.1451394862979</v>
      </c>
      <c r="L19" s="1484">
        <v>5634.6749226006186</v>
      </c>
      <c r="M19" s="1484">
        <v>5426.843451965573</v>
      </c>
      <c r="N19" s="1485">
        <v>5581.9260611592881</v>
      </c>
      <c r="O19" s="1618">
        <v>5076.6435789712732</v>
      </c>
      <c r="P19" s="1484"/>
      <c r="Q19" s="1484"/>
      <c r="R19" s="1485"/>
      <c r="S19" s="1618"/>
      <c r="T19" s="1484"/>
      <c r="U19" s="1484"/>
      <c r="V19" s="1501"/>
      <c r="W19" s="1618"/>
      <c r="X19" s="1580"/>
      <c r="Y19" s="1580"/>
      <c r="Z19" s="1485"/>
      <c r="AA19" s="1618"/>
      <c r="AB19" s="1580"/>
      <c r="AC19" s="1580"/>
      <c r="AD19" s="1485"/>
      <c r="AE19" s="1940"/>
      <c r="AF19" s="1484"/>
      <c r="AG19" s="1945"/>
      <c r="AH19" s="1488" t="e">
        <f t="shared" si="0"/>
        <v>#DIV/0!</v>
      </c>
      <c r="AI19" s="1489">
        <f t="shared" si="1"/>
        <v>0</v>
      </c>
      <c r="AJ19" s="1544" t="e">
        <f t="shared" si="2"/>
        <v>#DIV/0!</v>
      </c>
      <c r="AK19" s="1604"/>
      <c r="AM19" s="43"/>
      <c r="AN19" s="45"/>
      <c r="AO19" s="45"/>
    </row>
    <row r="20" spans="2:41" ht="17.25" customHeight="1">
      <c r="B20" s="1589" t="s">
        <v>64</v>
      </c>
      <c r="C20" s="1483">
        <v>11885.815055659648</v>
      </c>
      <c r="D20" s="1484">
        <v>14364.90911143728</v>
      </c>
      <c r="E20" s="1484">
        <v>14596.58520254436</v>
      </c>
      <c r="F20" s="1485">
        <v>14793.530997304581</v>
      </c>
      <c r="G20" s="1618">
        <v>13132</v>
      </c>
      <c r="H20" s="1484">
        <v>14280.991735537191</v>
      </c>
      <c r="I20" s="1484">
        <v>14978.273634762183</v>
      </c>
      <c r="J20" s="1485">
        <v>15493.819894055327</v>
      </c>
      <c r="K20" s="1618">
        <v>14980.951210519848</v>
      </c>
      <c r="L20" s="1484">
        <v>14460.585853774708</v>
      </c>
      <c r="M20" s="1484">
        <v>13606.652709932543</v>
      </c>
      <c r="N20" s="1485">
        <v>14738.703788224557</v>
      </c>
      <c r="O20" s="1618">
        <v>13601.680481435222</v>
      </c>
      <c r="P20" s="1484"/>
      <c r="Q20" s="1484"/>
      <c r="R20" s="1485"/>
      <c r="S20" s="1618"/>
      <c r="T20" s="1484"/>
      <c r="U20" s="1484"/>
      <c r="V20" s="1501"/>
      <c r="W20" s="1618"/>
      <c r="X20" s="1580"/>
      <c r="Y20" s="1580"/>
      <c r="Z20" s="1485"/>
      <c r="AA20" s="1618"/>
      <c r="AB20" s="1580"/>
      <c r="AC20" s="1580"/>
      <c r="AD20" s="1485"/>
      <c r="AE20" s="1940"/>
      <c r="AF20" s="1484"/>
      <c r="AG20" s="1945"/>
      <c r="AH20" s="1488" t="e">
        <f t="shared" si="0"/>
        <v>#DIV/0!</v>
      </c>
      <c r="AI20" s="1489">
        <f t="shared" si="1"/>
        <v>0</v>
      </c>
      <c r="AJ20" s="1544" t="e">
        <f t="shared" si="2"/>
        <v>#DIV/0!</v>
      </c>
      <c r="AK20" s="1604"/>
      <c r="AM20" s="43"/>
      <c r="AN20" s="45"/>
      <c r="AO20" s="45"/>
    </row>
    <row r="21" spans="2:41" ht="17.25" customHeight="1">
      <c r="B21" s="1589" t="s">
        <v>65</v>
      </c>
      <c r="C21" s="1619">
        <v>32171</v>
      </c>
      <c r="D21" s="1484">
        <v>30532</v>
      </c>
      <c r="E21" s="1620">
        <v>30937</v>
      </c>
      <c r="F21" s="1621">
        <v>32340</v>
      </c>
      <c r="G21" s="1622">
        <v>29814</v>
      </c>
      <c r="H21" s="1484">
        <v>30548</v>
      </c>
      <c r="I21" s="1620">
        <v>31717</v>
      </c>
      <c r="J21" s="1621">
        <v>33955</v>
      </c>
      <c r="K21" s="1622">
        <v>31772</v>
      </c>
      <c r="L21" s="1484">
        <v>32203</v>
      </c>
      <c r="M21" s="1620">
        <v>32607</v>
      </c>
      <c r="N21" s="1621">
        <v>34281</v>
      </c>
      <c r="O21" s="1622">
        <v>32128</v>
      </c>
      <c r="P21" s="1484"/>
      <c r="Q21" s="1620"/>
      <c r="R21" s="1621"/>
      <c r="S21" s="1622"/>
      <c r="T21" s="1484"/>
      <c r="U21" s="1620"/>
      <c r="V21" s="1623"/>
      <c r="W21" s="1622"/>
      <c r="X21" s="1580"/>
      <c r="Y21" s="1624"/>
      <c r="Z21" s="1621"/>
      <c r="AA21" s="1622"/>
      <c r="AB21" s="1580"/>
      <c r="AC21" s="1624"/>
      <c r="AD21" s="1621"/>
      <c r="AE21" s="1960"/>
      <c r="AF21" s="1620"/>
      <c r="AG21" s="1961"/>
      <c r="AH21" s="1488" t="e">
        <f t="shared" si="0"/>
        <v>#DIV/0!</v>
      </c>
      <c r="AI21" s="1489">
        <f t="shared" si="1"/>
        <v>0</v>
      </c>
      <c r="AJ21" s="1544" t="e">
        <f t="shared" si="2"/>
        <v>#DIV/0!</v>
      </c>
      <c r="AK21" s="1604"/>
      <c r="AM21" s="43"/>
      <c r="AN21" s="45"/>
      <c r="AO21" s="45"/>
    </row>
    <row r="22" spans="2:41" ht="17.25" customHeight="1">
      <c r="B22" s="1589" t="s">
        <v>66</v>
      </c>
      <c r="C22" s="1619">
        <v>14910.599342011157</v>
      </c>
      <c r="D22" s="1484">
        <v>15103.308117872868</v>
      </c>
      <c r="E22" s="1620">
        <v>15262.805490458655</v>
      </c>
      <c r="F22" s="1621">
        <v>14756.87331536388</v>
      </c>
      <c r="G22" s="1622">
        <v>12088.040929439352</v>
      </c>
      <c r="H22" s="1484">
        <v>12643.526170798899</v>
      </c>
      <c r="I22" s="1620">
        <v>13624.192601291836</v>
      </c>
      <c r="J22" s="1621">
        <v>13886.992348440259</v>
      </c>
      <c r="K22" s="1622">
        <v>14377.534717955021</v>
      </c>
      <c r="L22" s="1484">
        <v>12991.188378185281</v>
      </c>
      <c r="M22" s="1620">
        <v>13161.200279134682</v>
      </c>
      <c r="N22" s="1621">
        <v>12990.643541761754</v>
      </c>
      <c r="O22" s="1622">
        <v>12644.487339616215</v>
      </c>
      <c r="P22" s="1484"/>
      <c r="Q22" s="1620"/>
      <c r="R22" s="1621"/>
      <c r="S22" s="1622"/>
      <c r="T22" s="1484"/>
      <c r="U22" s="1620"/>
      <c r="V22" s="1623"/>
      <c r="W22" s="1622"/>
      <c r="X22" s="1580"/>
      <c r="Y22" s="1624"/>
      <c r="Z22" s="1621"/>
      <c r="AA22" s="1622"/>
      <c r="AB22" s="1580"/>
      <c r="AC22" s="1624"/>
      <c r="AD22" s="1621"/>
      <c r="AE22" s="1960"/>
      <c r="AF22" s="1620"/>
      <c r="AG22" s="1961"/>
      <c r="AH22" s="1696" t="e">
        <f t="shared" si="0"/>
        <v>#DIV/0!</v>
      </c>
      <c r="AI22" s="1848">
        <f t="shared" si="1"/>
        <v>0</v>
      </c>
      <c r="AJ22" s="1849" t="e">
        <f t="shared" si="2"/>
        <v>#DIV/0!</v>
      </c>
      <c r="AK22" s="1632"/>
      <c r="AM22" s="43"/>
      <c r="AN22" s="45"/>
      <c r="AO22" s="45"/>
    </row>
    <row r="23" spans="2:41" ht="17.25" customHeight="1">
      <c r="B23" s="1505" t="s">
        <v>14</v>
      </c>
      <c r="C23" s="1506">
        <f t="shared" ref="C23:V23" si="3">SUM(C8:C22)</f>
        <v>266134.46598778595</v>
      </c>
      <c r="D23" s="1507">
        <f t="shared" si="3"/>
        <v>267422.36291425483</v>
      </c>
      <c r="E23" s="1507">
        <f t="shared" si="3"/>
        <v>268037.36104130105</v>
      </c>
      <c r="F23" s="1508">
        <f t="shared" si="3"/>
        <v>272605.02706930938</v>
      </c>
      <c r="G23" s="1507">
        <f t="shared" si="3"/>
        <v>258575.24159976584</v>
      </c>
      <c r="H23" s="1507">
        <f t="shared" si="3"/>
        <v>264619.68430365261</v>
      </c>
      <c r="I23" s="1507">
        <f t="shared" si="3"/>
        <v>267784.65743659547</v>
      </c>
      <c r="J23" s="1508">
        <f t="shared" si="3"/>
        <v>277479.23938465805</v>
      </c>
      <c r="K23" s="1507">
        <f t="shared" si="3"/>
        <v>279296.80139715679</v>
      </c>
      <c r="L23" s="1507">
        <f t="shared" si="3"/>
        <v>274537.21138773527</v>
      </c>
      <c r="M23" s="1507">
        <f t="shared" si="3"/>
        <v>277118.20147654915</v>
      </c>
      <c r="N23" s="1507">
        <f t="shared" si="3"/>
        <v>281453.43653197418</v>
      </c>
      <c r="O23" s="1507">
        <f t="shared" si="3"/>
        <v>278373.98347482074</v>
      </c>
      <c r="P23" s="1507">
        <f t="shared" si="3"/>
        <v>0</v>
      </c>
      <c r="Q23" s="1507">
        <f t="shared" si="3"/>
        <v>0</v>
      </c>
      <c r="R23" s="1508">
        <f t="shared" si="3"/>
        <v>0</v>
      </c>
      <c r="S23" s="1507">
        <f t="shared" si="3"/>
        <v>0</v>
      </c>
      <c r="T23" s="1507">
        <f t="shared" si="3"/>
        <v>0</v>
      </c>
      <c r="U23" s="1507">
        <f t="shared" si="3"/>
        <v>0</v>
      </c>
      <c r="V23" s="1508">
        <f t="shared" si="3"/>
        <v>0</v>
      </c>
      <c r="W23" s="1507">
        <f t="shared" ref="W23:AC23" si="4">SUM(W8:W22)</f>
        <v>0</v>
      </c>
      <c r="X23" s="1507">
        <f t="shared" si="4"/>
        <v>0</v>
      </c>
      <c r="Y23" s="1507">
        <f t="shared" si="4"/>
        <v>0</v>
      </c>
      <c r="Z23" s="1508">
        <f t="shared" si="4"/>
        <v>0</v>
      </c>
      <c r="AA23" s="1507">
        <f t="shared" si="4"/>
        <v>0</v>
      </c>
      <c r="AB23" s="1507">
        <f t="shared" si="4"/>
        <v>0</v>
      </c>
      <c r="AC23" s="1507">
        <f t="shared" si="4"/>
        <v>0</v>
      </c>
      <c r="AD23" s="1508">
        <f>SUM(AD8:AD22)</f>
        <v>0</v>
      </c>
      <c r="AE23" s="1943">
        <f>SUM(AE8:AE22)</f>
        <v>0</v>
      </c>
      <c r="AF23" s="1507">
        <f>SUM(AF8:AF22)</f>
        <v>0</v>
      </c>
      <c r="AG23" s="1948">
        <f>SUM(AG8:AG22)</f>
        <v>0</v>
      </c>
      <c r="AH23" s="2054" t="e">
        <f t="shared" si="0"/>
        <v>#DIV/0!</v>
      </c>
      <c r="AI23" s="1489">
        <f t="shared" si="1"/>
        <v>0</v>
      </c>
      <c r="AJ23" s="1544" t="e">
        <f t="shared" si="2"/>
        <v>#DIV/0!</v>
      </c>
      <c r="AK23" s="1604"/>
      <c r="AN23" s="13"/>
      <c r="AO23" s="45"/>
    </row>
    <row r="24" spans="2:41">
      <c r="B24" s="2" t="s">
        <v>498</v>
      </c>
      <c r="C24" s="1629">
        <v>5.7098615583869972E-2</v>
      </c>
      <c r="D24" s="1629">
        <v>6.8588673752922436E-2</v>
      </c>
      <c r="E24" s="1629">
        <v>3.8374887672773861E-2</v>
      </c>
      <c r="F24" s="1630">
        <v>4.4206551380093995E-2</v>
      </c>
      <c r="G24" s="1629">
        <f t="shared" ref="G24:P24" si="5">G23/C23-1</f>
        <v>-2.8403778368063848E-2</v>
      </c>
      <c r="H24" s="1629">
        <f t="shared" si="5"/>
        <v>-1.0480344949688636E-2</v>
      </c>
      <c r="I24" s="1629">
        <f t="shared" si="5"/>
        <v>-9.4279246640782688E-4</v>
      </c>
      <c r="J24" s="1630">
        <f t="shared" si="5"/>
        <v>1.7880126304895327E-2</v>
      </c>
      <c r="K24" s="1629">
        <f t="shared" si="5"/>
        <v>8.0137447302339515E-2</v>
      </c>
      <c r="L24" s="1629">
        <f t="shared" si="5"/>
        <v>3.7478417791105167E-2</v>
      </c>
      <c r="M24" s="1629">
        <f t="shared" si="5"/>
        <v>3.4854663180856837E-2</v>
      </c>
      <c r="N24" s="1630">
        <f t="shared" si="5"/>
        <v>1.4322502671296533E-2</v>
      </c>
      <c r="O24" s="1629">
        <f>O23/K23-1</f>
        <v>-3.3040762290141856E-3</v>
      </c>
      <c r="P24" s="1629">
        <f t="shared" si="5"/>
        <v>-1</v>
      </c>
      <c r="Q24" s="1629">
        <f t="shared" ref="Q24:AC24" si="6">Q23/M23-1</f>
        <v>-1</v>
      </c>
      <c r="R24" s="1630">
        <f>R23/N23-1</f>
        <v>-1</v>
      </c>
      <c r="S24" s="1629">
        <f t="shared" si="6"/>
        <v>-1</v>
      </c>
      <c r="T24" s="1629" t="e">
        <f t="shared" si="6"/>
        <v>#DIV/0!</v>
      </c>
      <c r="U24" s="1629" t="e">
        <f t="shared" si="6"/>
        <v>#DIV/0!</v>
      </c>
      <c r="V24" s="1630" t="e">
        <f t="shared" si="6"/>
        <v>#DIV/0!</v>
      </c>
      <c r="W24" s="1629" t="e">
        <f t="shared" si="6"/>
        <v>#DIV/0!</v>
      </c>
      <c r="X24" s="1629" t="e">
        <f t="shared" si="6"/>
        <v>#DIV/0!</v>
      </c>
      <c r="Y24" s="1629" t="e">
        <f t="shared" si="6"/>
        <v>#DIV/0!</v>
      </c>
      <c r="Z24" s="1630" t="e">
        <f t="shared" si="6"/>
        <v>#DIV/0!</v>
      </c>
      <c r="AA24" s="1629" t="e">
        <f t="shared" si="6"/>
        <v>#DIV/0!</v>
      </c>
      <c r="AB24" s="1629" t="e">
        <f t="shared" si="6"/>
        <v>#DIV/0!</v>
      </c>
      <c r="AC24" s="1629" t="e">
        <f t="shared" si="6"/>
        <v>#DIV/0!</v>
      </c>
      <c r="AD24" s="1630" t="e">
        <f>AD23/Z23-1</f>
        <v>#DIV/0!</v>
      </c>
      <c r="AE24" s="1630" t="e">
        <f>AE23/AA23-1</f>
        <v>#DIV/0!</v>
      </c>
      <c r="AF24" s="1630" t="e">
        <f>AF23/AB23-1</f>
        <v>#DIV/0!</v>
      </c>
      <c r="AG24" s="1630" t="e">
        <f>AG23/AC23-1</f>
        <v>#DIV/0!</v>
      </c>
      <c r="AH24" s="1603"/>
      <c r="AI24" s="1603"/>
      <c r="AN24" s="13"/>
      <c r="AO24" s="13"/>
    </row>
    <row r="25" spans="2:41">
      <c r="B25" s="2" t="s">
        <v>558</v>
      </c>
      <c r="C25" s="1631"/>
      <c r="D25" s="1631">
        <f t="shared" ref="D25:R25" si="7">D23/C23-1</f>
        <v>4.8392714625995481E-3</v>
      </c>
      <c r="E25" s="1631">
        <f t="shared" si="7"/>
        <v>2.2997258731252135E-3</v>
      </c>
      <c r="F25" s="1631">
        <f t="shared" si="7"/>
        <v>1.7041154301263628E-2</v>
      </c>
      <c r="G25" s="1631">
        <f t="shared" si="7"/>
        <v>-5.1465615364372885E-2</v>
      </c>
      <c r="H25" s="1631">
        <f t="shared" si="7"/>
        <v>2.3375953035916108E-2</v>
      </c>
      <c r="I25" s="1631">
        <f t="shared" si="7"/>
        <v>1.1960459938086254E-2</v>
      </c>
      <c r="J25" s="1631">
        <f t="shared" si="7"/>
        <v>3.6202902887959576E-2</v>
      </c>
      <c r="K25" s="1631">
        <f t="shared" si="7"/>
        <v>6.5502630630291936E-3</v>
      </c>
      <c r="L25" s="1631">
        <f t="shared" si="7"/>
        <v>-1.7041333755388854E-2</v>
      </c>
      <c r="M25" s="1631">
        <f t="shared" si="7"/>
        <v>9.4012395469722509E-3</v>
      </c>
      <c r="N25" s="1631">
        <f t="shared" si="7"/>
        <v>1.5643992463598266E-2</v>
      </c>
      <c r="O25" s="1631">
        <f t="shared" si="7"/>
        <v>-1.094125229060261E-2</v>
      </c>
      <c r="P25" s="1631">
        <f t="shared" si="7"/>
        <v>-1</v>
      </c>
      <c r="Q25" s="1631" t="e">
        <f t="shared" si="7"/>
        <v>#DIV/0!</v>
      </c>
      <c r="R25" s="1631" t="e">
        <f t="shared" si="7"/>
        <v>#DIV/0!</v>
      </c>
      <c r="S25" s="1631" t="e">
        <f>S23/R23-1</f>
        <v>#DIV/0!</v>
      </c>
      <c r="T25" s="1631" t="e">
        <f t="shared" ref="T25:Z25" si="8">T23/S23-1</f>
        <v>#DIV/0!</v>
      </c>
      <c r="U25" s="1631" t="e">
        <f t="shared" si="8"/>
        <v>#DIV/0!</v>
      </c>
      <c r="V25" s="1631" t="e">
        <f t="shared" si="8"/>
        <v>#DIV/0!</v>
      </c>
      <c r="W25" s="1631" t="e">
        <f t="shared" si="8"/>
        <v>#DIV/0!</v>
      </c>
      <c r="X25" s="1631" t="e">
        <f t="shared" si="8"/>
        <v>#DIV/0!</v>
      </c>
      <c r="Y25" s="1631" t="e">
        <f t="shared" si="8"/>
        <v>#DIV/0!</v>
      </c>
      <c r="Z25" s="1631" t="e">
        <f t="shared" si="8"/>
        <v>#DIV/0!</v>
      </c>
      <c r="AA25" s="1631" t="e">
        <f t="shared" ref="AA25:AG25" si="9">AA23/Z23-1</f>
        <v>#DIV/0!</v>
      </c>
      <c r="AB25" s="1631" t="e">
        <f t="shared" si="9"/>
        <v>#DIV/0!</v>
      </c>
      <c r="AC25" s="1631" t="e">
        <f t="shared" si="9"/>
        <v>#DIV/0!</v>
      </c>
      <c r="AD25" s="1631" t="e">
        <f t="shared" si="9"/>
        <v>#DIV/0!</v>
      </c>
      <c r="AE25" s="1631" t="e">
        <f t="shared" si="9"/>
        <v>#DIV/0!</v>
      </c>
      <c r="AF25" s="1631" t="e">
        <f t="shared" si="9"/>
        <v>#DIV/0!</v>
      </c>
      <c r="AG25" s="1631" t="e">
        <f t="shared" si="9"/>
        <v>#DIV/0!</v>
      </c>
      <c r="AH25" s="1603"/>
      <c r="AI25" s="1603"/>
      <c r="AN25" s="13"/>
      <c r="AO25" s="13"/>
    </row>
    <row r="26" spans="2:41">
      <c r="F26" s="43">
        <f>SUM(C23:F23)</f>
        <v>1074199.2170126513</v>
      </c>
      <c r="J26" s="43">
        <f>SUM(G23:J23)</f>
        <v>1068458.822724672</v>
      </c>
      <c r="N26" s="43">
        <f>SUM(K23:P23)</f>
        <v>1390779.6342682359</v>
      </c>
      <c r="R26" s="43">
        <f>SUM(O23:R23)</f>
        <v>278373.98347482074</v>
      </c>
      <c r="V26" s="43">
        <f>SUM(S23:V23)</f>
        <v>0</v>
      </c>
      <c r="W26" s="26"/>
      <c r="X26" s="26"/>
      <c r="Y26" s="26"/>
      <c r="Z26" s="43">
        <f>SUM(W23:Z23)</f>
        <v>0</v>
      </c>
      <c r="AA26" s="26"/>
      <c r="AB26" s="26"/>
      <c r="AC26" s="26"/>
      <c r="AD26" s="43">
        <f>SUM(AA23:AD23)</f>
        <v>0</v>
      </c>
      <c r="AE26" s="43"/>
      <c r="AF26" s="43"/>
      <c r="AG26" s="43"/>
      <c r="AK26" s="15"/>
      <c r="AN26" s="13"/>
      <c r="AO26" s="13"/>
    </row>
    <row r="27" spans="2:41" ht="13.8">
      <c r="B27" s="25"/>
      <c r="F27" s="26">
        <v>5.1885823764973971E-2</v>
      </c>
      <c r="J27" s="26">
        <f>J26/F26-1</f>
        <v>-5.3438823982233652E-3</v>
      </c>
      <c r="N27" s="26">
        <f>N26/J26-1</f>
        <v>0.3016689129129142</v>
      </c>
      <c r="R27" s="26">
        <f>R26/N26-1</f>
        <v>-0.799843212673093</v>
      </c>
      <c r="V27" s="26">
        <f>V26/R26-1</f>
        <v>-1</v>
      </c>
      <c r="Z27" s="26" t="e">
        <f>Z26/V26-1</f>
        <v>#DIV/0!</v>
      </c>
      <c r="AD27" s="26" t="e">
        <f>AD26/Z26-1</f>
        <v>#DIV/0!</v>
      </c>
      <c r="AE27" s="26"/>
      <c r="AF27" s="26"/>
      <c r="AG27" s="26"/>
      <c r="AN27" s="13"/>
      <c r="AO27" s="13"/>
    </row>
    <row r="28" spans="2:41">
      <c r="B28" s="1476" t="s">
        <v>253</v>
      </c>
      <c r="O28" s="1"/>
      <c r="P28" s="1"/>
      <c r="Q28" s="1"/>
      <c r="R28" s="1"/>
      <c r="S28" s="1"/>
      <c r="T28" s="1"/>
      <c r="U28" s="1"/>
      <c r="V28" s="1"/>
      <c r="W28" s="1"/>
      <c r="AA28" s="1"/>
      <c r="AH28" s="23" t="s">
        <v>270</v>
      </c>
      <c r="AI28" s="23" t="s">
        <v>347</v>
      </c>
      <c r="AJ28" s="23" t="s">
        <v>270</v>
      </c>
      <c r="AN28" s="13"/>
      <c r="AO28" s="13"/>
    </row>
    <row r="29" spans="2:41">
      <c r="B29" s="1567" t="s">
        <v>41</v>
      </c>
      <c r="C29" s="1524" t="s">
        <v>96</v>
      </c>
      <c r="D29" s="1525" t="s">
        <v>97</v>
      </c>
      <c r="E29" s="1525" t="s">
        <v>98</v>
      </c>
      <c r="F29" s="1480" t="s">
        <v>99</v>
      </c>
      <c r="G29" s="1524" t="s">
        <v>100</v>
      </c>
      <c r="H29" s="1525" t="s">
        <v>101</v>
      </c>
      <c r="I29" s="1525" t="s">
        <v>102</v>
      </c>
      <c r="J29" s="1480" t="s">
        <v>103</v>
      </c>
      <c r="K29" s="1524" t="s">
        <v>104</v>
      </c>
      <c r="L29" s="1525" t="s">
        <v>105</v>
      </c>
      <c r="M29" s="1525" t="s">
        <v>106</v>
      </c>
      <c r="N29" s="1480" t="s">
        <v>107</v>
      </c>
      <c r="O29" s="1524" t="s">
        <v>108</v>
      </c>
      <c r="P29" s="1525" t="s">
        <v>109</v>
      </c>
      <c r="Q29" s="1525" t="s">
        <v>110</v>
      </c>
      <c r="R29" s="1480" t="s">
        <v>111</v>
      </c>
      <c r="S29" s="1524" t="s">
        <v>112</v>
      </c>
      <c r="T29" s="1525" t="s">
        <v>113</v>
      </c>
      <c r="U29" s="1525" t="s">
        <v>114</v>
      </c>
      <c r="V29" s="1480" t="s">
        <v>115</v>
      </c>
      <c r="W29" s="1524" t="str">
        <f t="shared" ref="W29:AD29" si="10">W7</f>
        <v>1Q 21</v>
      </c>
      <c r="X29" s="1525" t="str">
        <f t="shared" si="10"/>
        <v>2Q 21</v>
      </c>
      <c r="Y29" s="1525" t="str">
        <f t="shared" si="10"/>
        <v>3Q 21</v>
      </c>
      <c r="Z29" s="1480" t="str">
        <f t="shared" si="10"/>
        <v>4Q 21</v>
      </c>
      <c r="AA29" s="1524" t="str">
        <f t="shared" si="10"/>
        <v>1Q 22</v>
      </c>
      <c r="AB29" s="1525" t="str">
        <f t="shared" si="10"/>
        <v>2Q 22</v>
      </c>
      <c r="AC29" s="1525" t="str">
        <f t="shared" si="10"/>
        <v>3Q 22</v>
      </c>
      <c r="AD29" s="1480" t="str">
        <f t="shared" si="10"/>
        <v>4Q 22</v>
      </c>
      <c r="AE29" s="1939" t="str">
        <f t="shared" ref="AE29:AF29" si="11">AE7</f>
        <v>1Q 23</v>
      </c>
      <c r="AF29" s="1479" t="str">
        <f t="shared" si="11"/>
        <v>2Q 23</v>
      </c>
      <c r="AG29" s="1944" t="str">
        <f t="shared" ref="AG29" si="12">AG7</f>
        <v>3Q 23</v>
      </c>
      <c r="AH29" s="23" t="s">
        <v>251</v>
      </c>
      <c r="AI29" s="23" t="s">
        <v>348</v>
      </c>
      <c r="AJ29" s="23" t="s">
        <v>279</v>
      </c>
      <c r="AK29" s="2" t="s">
        <v>497</v>
      </c>
      <c r="AO29" s="13"/>
    </row>
    <row r="30" spans="2:41" ht="16.5" customHeight="1">
      <c r="B30" s="1625" t="str">
        <f t="shared" ref="B30:B44" si="13">B8</f>
        <v>AT&amp;T</v>
      </c>
      <c r="C30" s="1580">
        <v>4451</v>
      </c>
      <c r="D30" s="1580">
        <v>5251</v>
      </c>
      <c r="E30" s="1580">
        <v>5581</v>
      </c>
      <c r="F30" s="1485">
        <v>6233</v>
      </c>
      <c r="G30" s="1580">
        <v>5784</v>
      </c>
      <c r="H30" s="1580">
        <v>4966</v>
      </c>
      <c r="I30" s="1580">
        <v>5006</v>
      </c>
      <c r="J30" s="1485">
        <v>4891</v>
      </c>
      <c r="K30" s="1580">
        <v>5957</v>
      </c>
      <c r="L30" s="1580">
        <v>5002</v>
      </c>
      <c r="M30" s="1580">
        <v>5736</v>
      </c>
      <c r="N30" s="1485">
        <v>4063</v>
      </c>
      <c r="O30" s="1580">
        <v>5121</v>
      </c>
      <c r="P30" s="1580"/>
      <c r="Q30" s="1580"/>
      <c r="R30" s="1485"/>
      <c r="S30" s="1580"/>
      <c r="T30" s="1580"/>
      <c r="U30" s="1580"/>
      <c r="V30" s="1485"/>
      <c r="W30" s="1580"/>
      <c r="X30" s="1580"/>
      <c r="Y30" s="1580"/>
      <c r="Z30" s="1485"/>
      <c r="AA30" s="1580"/>
      <c r="AB30" s="1580"/>
      <c r="AC30" s="1580"/>
      <c r="AD30" s="1485"/>
      <c r="AE30" s="1940"/>
      <c r="AF30" s="1484"/>
      <c r="AG30" s="1945"/>
      <c r="AH30" s="1488" t="e">
        <f>AG30/AC30-1</f>
        <v>#DIV/0!</v>
      </c>
      <c r="AI30" s="1489">
        <f>AG30-AC30</f>
        <v>0</v>
      </c>
      <c r="AJ30" s="1544" t="e">
        <f>AG30/AF30-1</f>
        <v>#DIV/0!</v>
      </c>
      <c r="AK30" s="1604"/>
      <c r="AN30" s="45"/>
      <c r="AO30" s="13"/>
    </row>
    <row r="31" spans="2:41" ht="16.5" customHeight="1">
      <c r="B31" s="1625" t="str">
        <f t="shared" si="13"/>
        <v>BT</v>
      </c>
      <c r="C31" s="1580">
        <v>1109.998569589472</v>
      </c>
      <c r="D31" s="1580">
        <v>1113.6591658305863</v>
      </c>
      <c r="E31" s="1580">
        <v>1052.7697558414282</v>
      </c>
      <c r="F31" s="1485">
        <v>1057.59682224429</v>
      </c>
      <c r="G31" s="1580">
        <v>1266.4188351920693</v>
      </c>
      <c r="H31" s="1580">
        <v>1069.1421254801535</v>
      </c>
      <c r="I31" s="1580">
        <v>1122.7427375032714</v>
      </c>
      <c r="J31" s="1485">
        <v>1164.765189705492</v>
      </c>
      <c r="K31" s="1580">
        <v>1323.4066239910937</v>
      </c>
      <c r="L31" s="1580">
        <v>1140.410493407639</v>
      </c>
      <c r="M31" s="1580">
        <v>1295.6204379562043</v>
      </c>
      <c r="N31" s="1485">
        <v>1256.7532801646514</v>
      </c>
      <c r="O31" s="1580">
        <v>1501.6931492576191</v>
      </c>
      <c r="P31" s="1580"/>
      <c r="Q31" s="1580"/>
      <c r="R31" s="1485"/>
      <c r="S31" s="1580"/>
      <c r="T31" s="1580"/>
      <c r="U31" s="1580"/>
      <c r="V31" s="1485"/>
      <c r="W31" s="1580"/>
      <c r="X31" s="1580"/>
      <c r="Y31" s="1580"/>
      <c r="Z31" s="1485"/>
      <c r="AA31" s="1580"/>
      <c r="AB31" s="1580"/>
      <c r="AC31" s="1580"/>
      <c r="AD31" s="1485"/>
      <c r="AE31" s="1940"/>
      <c r="AF31" s="1484"/>
      <c r="AG31" s="1945"/>
      <c r="AH31" s="1488" t="e">
        <f t="shared" ref="AH31:AH45" si="14">AG31/AC31-1</f>
        <v>#DIV/0!</v>
      </c>
      <c r="AI31" s="1489">
        <f t="shared" ref="AI31:AI45" si="15">AG31-AC31</f>
        <v>0</v>
      </c>
      <c r="AJ31" s="1544" t="e">
        <f t="shared" ref="AJ31:AJ45" si="16">AG31/AF31-1</f>
        <v>#DIV/0!</v>
      </c>
      <c r="AK31" s="1604"/>
      <c r="AN31" s="45"/>
      <c r="AO31" s="13"/>
    </row>
    <row r="32" spans="2:41" ht="16.5" customHeight="1">
      <c r="B32" s="1625" t="str">
        <f t="shared" si="13"/>
        <v>China Mobile</v>
      </c>
      <c r="C32" s="1528">
        <v>6345.1776649746189</v>
      </c>
      <c r="D32" s="1528">
        <v>6353.1428921343504</v>
      </c>
      <c r="E32" s="1580">
        <v>7743.0972388955588</v>
      </c>
      <c r="F32" s="1485">
        <v>8027.5822039954737</v>
      </c>
      <c r="G32" s="1528">
        <v>4955.3156120142257</v>
      </c>
      <c r="H32" s="1528">
        <v>6219.4677360554142</v>
      </c>
      <c r="I32" s="1580">
        <v>6800.221925654906</v>
      </c>
      <c r="J32" s="1485">
        <v>6974.2813918305592</v>
      </c>
      <c r="K32" s="1528">
        <v>5161.9307576465189</v>
      </c>
      <c r="L32" s="1528">
        <v>6231.5796074496766</v>
      </c>
      <c r="M32" s="1580">
        <v>6365.4</v>
      </c>
      <c r="N32" s="1485">
        <v>6334.3312074276546</v>
      </c>
      <c r="O32" s="1528">
        <v>6315.1340854173768</v>
      </c>
      <c r="P32" s="1528"/>
      <c r="Q32" s="1580"/>
      <c r="R32" s="1485"/>
      <c r="S32" s="1528"/>
      <c r="T32" s="1528"/>
      <c r="U32" s="1580"/>
      <c r="V32" s="1501"/>
      <c r="W32" s="1528"/>
      <c r="X32" s="1528"/>
      <c r="Y32" s="1580"/>
      <c r="Z32" s="1485"/>
      <c r="AA32" s="1528"/>
      <c r="AB32" s="1528"/>
      <c r="AC32" s="1580"/>
      <c r="AD32" s="1660"/>
      <c r="AE32" s="1956"/>
      <c r="AF32" s="1694"/>
      <c r="AG32" s="1958"/>
      <c r="AH32" s="1488" t="e">
        <f t="shared" si="14"/>
        <v>#DIV/0!</v>
      </c>
      <c r="AI32" s="1489">
        <f t="shared" si="15"/>
        <v>0</v>
      </c>
      <c r="AJ32" s="1544" t="e">
        <f t="shared" si="16"/>
        <v>#DIV/0!</v>
      </c>
      <c r="AK32" s="1604"/>
      <c r="AN32" s="45"/>
      <c r="AO32" s="1626"/>
    </row>
    <row r="33" spans="2:41" ht="16.5" customHeight="1">
      <c r="B33" s="1625" t="str">
        <f t="shared" si="13"/>
        <v>China Telecom</v>
      </c>
      <c r="C33" s="1528">
        <v>3114.9470980368174</v>
      </c>
      <c r="D33" s="1528">
        <v>3118.8573528060992</v>
      </c>
      <c r="E33" s="1580">
        <v>4220.7382953181277</v>
      </c>
      <c r="F33" s="1485">
        <v>4394.9719655746667</v>
      </c>
      <c r="G33" s="1528">
        <v>2985.9840232389251</v>
      </c>
      <c r="H33" s="1528">
        <v>2997.958439664601</v>
      </c>
      <c r="I33" s="1580">
        <v>3567.5298774910407</v>
      </c>
      <c r="J33" s="1485">
        <v>3600.3025718608169</v>
      </c>
      <c r="K33" s="1528">
        <v>2576.3804405204542</v>
      </c>
      <c r="L33" s="1528">
        <v>2551.1851758951525</v>
      </c>
      <c r="M33" s="1580">
        <v>3120.4</v>
      </c>
      <c r="N33" s="1485">
        <v>3065.425831923294</v>
      </c>
      <c r="O33" s="1528">
        <v>2595.65352743229</v>
      </c>
      <c r="P33" s="1528"/>
      <c r="Q33" s="1580"/>
      <c r="R33" s="1485"/>
      <c r="S33" s="1528"/>
      <c r="T33" s="1528"/>
      <c r="U33" s="1580"/>
      <c r="V33" s="1501"/>
      <c r="W33" s="1528"/>
      <c r="X33" s="1528"/>
      <c r="Y33" s="1580"/>
      <c r="Z33" s="1501"/>
      <c r="AA33" s="1528"/>
      <c r="AB33" s="1528"/>
      <c r="AC33" s="1580"/>
      <c r="AD33" s="1660"/>
      <c r="AE33" s="1956"/>
      <c r="AF33" s="1694"/>
      <c r="AG33" s="1958"/>
      <c r="AH33" s="1488" t="e">
        <f t="shared" si="14"/>
        <v>#DIV/0!</v>
      </c>
      <c r="AI33" s="1489">
        <f t="shared" si="15"/>
        <v>0</v>
      </c>
      <c r="AJ33" s="1544" t="e">
        <f t="shared" si="16"/>
        <v>#DIV/0!</v>
      </c>
      <c r="AK33" s="1604"/>
      <c r="AN33" s="45"/>
      <c r="AO33" s="13"/>
    </row>
    <row r="34" spans="2:41" ht="16.5" customHeight="1">
      <c r="B34" s="1625" t="str">
        <f t="shared" si="13"/>
        <v>China Unicom</v>
      </c>
      <c r="C34" s="1580">
        <v>1383.7074185065135</v>
      </c>
      <c r="D34" s="1580">
        <v>1385.4444138268884</v>
      </c>
      <c r="E34" s="1580">
        <v>4269.2076830732294</v>
      </c>
      <c r="F34" s="1485">
        <v>4443.2240245952071</v>
      </c>
      <c r="G34" s="1580">
        <v>1237.8733870761432</v>
      </c>
      <c r="H34" s="1580">
        <v>663.50710900473939</v>
      </c>
      <c r="I34" s="1580">
        <v>2691.598314564621</v>
      </c>
      <c r="J34" s="1485">
        <v>2498.4871406959151</v>
      </c>
      <c r="K34" s="1580">
        <v>1331.0034658652673</v>
      </c>
      <c r="L34" s="1580">
        <v>909.26193014360069</v>
      </c>
      <c r="M34" s="1580">
        <v>2822.5332235681526</v>
      </c>
      <c r="N34" s="1485">
        <v>2405.744283916873</v>
      </c>
      <c r="O34" s="1580">
        <v>1762.0854766740292</v>
      </c>
      <c r="P34" s="1580"/>
      <c r="Q34" s="1580"/>
      <c r="R34" s="1485"/>
      <c r="S34" s="1580"/>
      <c r="T34" s="1580"/>
      <c r="U34" s="1580"/>
      <c r="V34" s="1501"/>
      <c r="W34" s="1580"/>
      <c r="X34" s="1580"/>
      <c r="Y34" s="1580"/>
      <c r="Z34" s="1501"/>
      <c r="AA34" s="1580"/>
      <c r="AB34" s="1580"/>
      <c r="AC34" s="1580"/>
      <c r="AD34" s="1485"/>
      <c r="AE34" s="1940"/>
      <c r="AF34" s="1484"/>
      <c r="AG34" s="1945"/>
      <c r="AH34" s="1488" t="e">
        <f t="shared" si="14"/>
        <v>#DIV/0!</v>
      </c>
      <c r="AI34" s="1489">
        <f t="shared" si="15"/>
        <v>0</v>
      </c>
      <c r="AJ34" s="1544" t="e">
        <f t="shared" si="16"/>
        <v>#DIV/0!</v>
      </c>
      <c r="AK34" s="1604"/>
      <c r="AN34" s="45"/>
      <c r="AO34" s="13"/>
    </row>
    <row r="35" spans="2:41" ht="16.5" customHeight="1">
      <c r="B35" s="1625" t="str">
        <f t="shared" si="13"/>
        <v>Comcast</v>
      </c>
      <c r="C35" s="1580">
        <v>1576</v>
      </c>
      <c r="D35" s="1580">
        <v>1881</v>
      </c>
      <c r="E35" s="1580">
        <v>2044</v>
      </c>
      <c r="F35" s="1485">
        <v>2095</v>
      </c>
      <c r="G35" s="1580">
        <v>1781</v>
      </c>
      <c r="H35" s="1580">
        <v>1956</v>
      </c>
      <c r="I35" s="1580">
        <v>2061</v>
      </c>
      <c r="J35" s="1485">
        <v>2154</v>
      </c>
      <c r="K35" s="1580">
        <v>1688</v>
      </c>
      <c r="L35" s="1580">
        <v>1766</v>
      </c>
      <c r="M35" s="1580">
        <v>1944</v>
      </c>
      <c r="N35" s="1485">
        <v>2318</v>
      </c>
      <c r="O35" s="1580">
        <v>1363</v>
      </c>
      <c r="P35" s="1580"/>
      <c r="Q35" s="1580"/>
      <c r="R35" s="1485"/>
      <c r="S35" s="1580"/>
      <c r="T35" s="1580"/>
      <c r="U35" s="1580"/>
      <c r="V35" s="1485"/>
      <c r="W35" s="1580"/>
      <c r="X35" s="1580"/>
      <c r="Y35" s="1580"/>
      <c r="Z35" s="1501"/>
      <c r="AA35" s="1580"/>
      <c r="AB35" s="1580"/>
      <c r="AC35" s="1580"/>
      <c r="AD35" s="1485"/>
      <c r="AE35" s="1940"/>
      <c r="AF35" s="1484"/>
      <c r="AG35" s="1945"/>
      <c r="AH35" s="1488" t="e">
        <f t="shared" si="14"/>
        <v>#DIV/0!</v>
      </c>
      <c r="AI35" s="1489">
        <f t="shared" si="15"/>
        <v>0</v>
      </c>
      <c r="AJ35" s="1544" t="e">
        <f t="shared" si="16"/>
        <v>#DIV/0!</v>
      </c>
      <c r="AK35" s="1604"/>
      <c r="AN35" s="45"/>
      <c r="AO35" s="13"/>
    </row>
    <row r="36" spans="2:41" ht="16.5" customHeight="1">
      <c r="B36" s="1625" t="str">
        <f t="shared" si="13"/>
        <v>Deutsche Telekom</v>
      </c>
      <c r="C36" s="1580">
        <v>3120.2468863661411</v>
      </c>
      <c r="D36" s="1580">
        <v>3007.7904482330359</v>
      </c>
      <c r="E36" s="1580">
        <v>3056.5785068630735</v>
      </c>
      <c r="F36" s="1485">
        <v>2953.0997304582206</v>
      </c>
      <c r="G36" s="1580">
        <v>3458.7507994031125</v>
      </c>
      <c r="H36" s="1580">
        <v>3299.1735537190084</v>
      </c>
      <c r="I36" s="1580">
        <v>3525.5431591309448</v>
      </c>
      <c r="J36" s="1485">
        <v>3366.686286050618</v>
      </c>
      <c r="K36" s="1580">
        <v>3780.2629961902421</v>
      </c>
      <c r="L36" s="1580">
        <v>3597.285067873303</v>
      </c>
      <c r="M36" s="1580">
        <v>3543.8474063735753</v>
      </c>
      <c r="N36" s="1485">
        <v>3514.376996805112</v>
      </c>
      <c r="O36" s="1580">
        <v>4180.7653003292835</v>
      </c>
      <c r="P36" s="1580"/>
      <c r="Q36" s="1580"/>
      <c r="R36" s="1485"/>
      <c r="S36" s="1580"/>
      <c r="T36" s="1580"/>
      <c r="U36" s="1580"/>
      <c r="V36" s="1485"/>
      <c r="W36" s="1580"/>
      <c r="X36" s="1580"/>
      <c r="Y36" s="1580"/>
      <c r="Z36" s="1485"/>
      <c r="AA36" s="1580"/>
      <c r="AB36" s="1580"/>
      <c r="AC36" s="1580"/>
      <c r="AD36" s="1485"/>
      <c r="AE36" s="1940"/>
      <c r="AF36" s="1484"/>
      <c r="AG36" s="1945"/>
      <c r="AH36" s="1488" t="e">
        <f t="shared" si="14"/>
        <v>#DIV/0!</v>
      </c>
      <c r="AI36" s="1489">
        <f t="shared" si="15"/>
        <v>0</v>
      </c>
      <c r="AJ36" s="1544" t="e">
        <f t="shared" si="16"/>
        <v>#DIV/0!</v>
      </c>
      <c r="AK36" s="1604"/>
      <c r="AN36" s="45"/>
      <c r="AO36" s="13"/>
    </row>
    <row r="37" spans="2:41" ht="16.5" customHeight="1">
      <c r="B37" s="1625" t="str">
        <f t="shared" si="13"/>
        <v>Orange</v>
      </c>
      <c r="C37" s="1580">
        <v>1605.8635511958557</v>
      </c>
      <c r="D37" s="1580">
        <v>1930.6763012306649</v>
      </c>
      <c r="E37" s="1580">
        <v>1747.5728155339807</v>
      </c>
      <c r="F37" s="1485">
        <v>2397.8436657681941</v>
      </c>
      <c r="G37" s="1580">
        <v>1581.7522916222554</v>
      </c>
      <c r="H37" s="1580">
        <v>1947.1074380165289</v>
      </c>
      <c r="I37" s="1580">
        <v>1862.595419847328</v>
      </c>
      <c r="J37" s="1485">
        <v>2721.6009417304294</v>
      </c>
      <c r="K37" s="1580">
        <v>1870.4682315349639</v>
      </c>
      <c r="L37" s="1580">
        <v>2199.3331745653727</v>
      </c>
      <c r="M37" s="1580">
        <v>2060.9444056757384</v>
      </c>
      <c r="N37" s="1485">
        <v>2625.5134641716113</v>
      </c>
      <c r="O37" s="1580">
        <v>1843.9877370273646</v>
      </c>
      <c r="P37" s="1580"/>
      <c r="Q37" s="1580"/>
      <c r="R37" s="1485"/>
      <c r="S37" s="1580"/>
      <c r="T37" s="1580"/>
      <c r="U37" s="1580"/>
      <c r="V37" s="1485"/>
      <c r="W37" s="1580"/>
      <c r="X37" s="1580"/>
      <c r="Y37" s="1580"/>
      <c r="Z37" s="1485"/>
      <c r="AA37" s="1580"/>
      <c r="AB37" s="1580"/>
      <c r="AC37" s="1580"/>
      <c r="AD37" s="1485"/>
      <c r="AE37" s="1940"/>
      <c r="AF37" s="1484"/>
      <c r="AG37" s="1945"/>
      <c r="AH37" s="1488" t="e">
        <f t="shared" si="14"/>
        <v>#DIV/0!</v>
      </c>
      <c r="AI37" s="1489">
        <f t="shared" si="15"/>
        <v>0</v>
      </c>
      <c r="AJ37" s="1544" t="e">
        <f t="shared" si="16"/>
        <v>#DIV/0!</v>
      </c>
      <c r="AK37" s="1604"/>
      <c r="AN37" s="45"/>
      <c r="AO37" s="13"/>
    </row>
    <row r="38" spans="2:41" ht="16.5" customHeight="1">
      <c r="B38" s="1625" t="str">
        <f t="shared" si="13"/>
        <v>KDDI</v>
      </c>
      <c r="C38" s="1580">
        <v>1454.8919177011894</v>
      </c>
      <c r="D38" s="1580">
        <v>814.40682522232589</v>
      </c>
      <c r="E38" s="1580">
        <v>938.81701963036994</v>
      </c>
      <c r="F38" s="1485">
        <v>1032.5583181127583</v>
      </c>
      <c r="G38" s="1580">
        <v>1958.8770891671511</v>
      </c>
      <c r="H38" s="1580">
        <v>1115.7124404995341</v>
      </c>
      <c r="I38" s="1580">
        <v>1100.4204005067149</v>
      </c>
      <c r="J38" s="1485">
        <v>1231.2455705173636</v>
      </c>
      <c r="K38" s="1580">
        <v>1622.1020206907506</v>
      </c>
      <c r="L38" s="1580">
        <v>1539.2708895162552</v>
      </c>
      <c r="M38" s="1580">
        <v>1241.0925726587727</v>
      </c>
      <c r="N38" s="1485">
        <v>1353.9143755828923</v>
      </c>
      <c r="O38" s="1580">
        <v>1294.4753472824316</v>
      </c>
      <c r="P38" s="1580"/>
      <c r="Q38" s="1580"/>
      <c r="R38" s="1485"/>
      <c r="S38" s="1580"/>
      <c r="T38" s="1580"/>
      <c r="U38" s="1580"/>
      <c r="V38" s="1485"/>
      <c r="W38" s="1580"/>
      <c r="X38" s="1580"/>
      <c r="Y38" s="1580"/>
      <c r="Z38" s="1485"/>
      <c r="AA38" s="1580"/>
      <c r="AB38" s="1580"/>
      <c r="AC38" s="1580"/>
      <c r="AD38" s="1485"/>
      <c r="AE38" s="1940"/>
      <c r="AF38" s="1484"/>
      <c r="AG38" s="1945"/>
      <c r="AH38" s="1488" t="e">
        <f t="shared" si="14"/>
        <v>#DIV/0!</v>
      </c>
      <c r="AI38" s="1489">
        <f t="shared" si="15"/>
        <v>0</v>
      </c>
      <c r="AJ38" s="1544" t="e">
        <f t="shared" si="16"/>
        <v>#DIV/0!</v>
      </c>
      <c r="AK38" s="1604"/>
      <c r="AN38" s="45"/>
      <c r="AO38" s="13"/>
    </row>
    <row r="39" spans="2:41" ht="16.5" customHeight="1">
      <c r="B39" s="1625" t="str">
        <f t="shared" si="13"/>
        <v>NTT</v>
      </c>
      <c r="C39" s="1580">
        <v>5286.9172671238821</v>
      </c>
      <c r="D39" s="1580">
        <v>2636.208753622006</v>
      </c>
      <c r="E39" s="1580">
        <v>3725.9993474128041</v>
      </c>
      <c r="F39" s="1485">
        <v>3898.8439676245116</v>
      </c>
      <c r="G39" s="1580">
        <v>5351.4996213522136</v>
      </c>
      <c r="H39" s="1580">
        <v>3202.1414770866986</v>
      </c>
      <c r="I39" s="1580">
        <v>3624.6704640262942</v>
      </c>
      <c r="J39" s="1485">
        <v>3380.5811481219007</v>
      </c>
      <c r="K39" s="1580">
        <v>4938.1530495034149</v>
      </c>
      <c r="L39" s="1580">
        <v>2943.1075516257138</v>
      </c>
      <c r="M39" s="1580">
        <v>3239.1460351632581</v>
      </c>
      <c r="N39" s="1485">
        <v>3258.8768045276761</v>
      </c>
      <c r="O39" s="1580">
        <v>5872.0940261339047</v>
      </c>
      <c r="P39" s="1580"/>
      <c r="Q39" s="1580"/>
      <c r="R39" s="1485"/>
      <c r="S39" s="1580"/>
      <c r="T39" s="1580"/>
      <c r="U39" s="1580"/>
      <c r="V39" s="1485"/>
      <c r="W39" s="1580"/>
      <c r="X39" s="1580"/>
      <c r="Y39" s="1580"/>
      <c r="Z39" s="1485"/>
      <c r="AA39" s="1580"/>
      <c r="AB39" s="1580"/>
      <c r="AC39" s="1580"/>
      <c r="AD39" s="1485"/>
      <c r="AE39" s="1940"/>
      <c r="AF39" s="1484"/>
      <c r="AG39" s="1945"/>
      <c r="AH39" s="1488" t="e">
        <f t="shared" si="14"/>
        <v>#DIV/0!</v>
      </c>
      <c r="AI39" s="1489">
        <f t="shared" si="15"/>
        <v>0</v>
      </c>
      <c r="AJ39" s="1544" t="e">
        <f t="shared" si="16"/>
        <v>#DIV/0!</v>
      </c>
      <c r="AK39" s="1604"/>
      <c r="AN39" s="45"/>
      <c r="AO39" s="13"/>
    </row>
    <row r="40" spans="2:41" ht="16.5" customHeight="1">
      <c r="B40" s="1625" t="str">
        <f t="shared" si="13"/>
        <v>Softbank</v>
      </c>
      <c r="C40" s="1580">
        <v>2512.5618543276328</v>
      </c>
      <c r="D40" s="1580">
        <v>1381.404902755042</v>
      </c>
      <c r="E40" s="1580">
        <v>1587.4867382167956</v>
      </c>
      <c r="F40" s="1485">
        <v>2259.4829209608797</v>
      </c>
      <c r="G40" s="1580">
        <v>3213.196315668974</v>
      </c>
      <c r="H40" s="1580">
        <v>1940.1199543784787</v>
      </c>
      <c r="I40" s="1580">
        <v>2207.1386997316858</v>
      </c>
      <c r="J40" s="1485">
        <v>2598.4673990077958</v>
      </c>
      <c r="K40" s="1580">
        <v>3159.559222748745</v>
      </c>
      <c r="L40" s="1580">
        <v>2952.7408719253726</v>
      </c>
      <c r="M40" s="1580">
        <v>3188.2759239325437</v>
      </c>
      <c r="N40" s="1485">
        <v>2914.9482799584398</v>
      </c>
      <c r="O40" s="1580">
        <v>3295.2089051014045</v>
      </c>
      <c r="P40" s="1580"/>
      <c r="Q40" s="1580"/>
      <c r="R40" s="1485"/>
      <c r="S40" s="1580"/>
      <c r="T40" s="1580"/>
      <c r="U40" s="1580"/>
      <c r="V40" s="1485"/>
      <c r="W40" s="1580"/>
      <c r="X40" s="1580"/>
      <c r="Y40" s="1580"/>
      <c r="Z40" s="1485"/>
      <c r="AA40" s="1580"/>
      <c r="AB40" s="1580"/>
      <c r="AC40" s="1580"/>
      <c r="AD40" s="1485"/>
      <c r="AE40" s="1940"/>
      <c r="AF40" s="1484"/>
      <c r="AG40" s="1945"/>
      <c r="AH40" s="1488" t="e">
        <f t="shared" si="14"/>
        <v>#DIV/0!</v>
      </c>
      <c r="AI40" s="1489">
        <f t="shared" si="15"/>
        <v>0</v>
      </c>
      <c r="AJ40" s="1544" t="e">
        <f t="shared" si="16"/>
        <v>#DIV/0!</v>
      </c>
      <c r="AK40" s="1604"/>
      <c r="AN40" s="45"/>
      <c r="AO40" s="13"/>
    </row>
    <row r="41" spans="2:41" ht="16.5" customHeight="1">
      <c r="B41" s="1625" t="str">
        <f t="shared" si="13"/>
        <v>Telecom Italia</v>
      </c>
      <c r="C41" s="1580">
        <v>1040.4496858811858</v>
      </c>
      <c r="D41" s="1580">
        <v>1173.0834368296262</v>
      </c>
      <c r="E41" s="1580">
        <v>1254.3242941635979</v>
      </c>
      <c r="F41" s="1485">
        <v>2106.0247874790739</v>
      </c>
      <c r="G41" s="1580">
        <v>885.73864847580478</v>
      </c>
      <c r="H41" s="1580">
        <v>1349.8622589531681</v>
      </c>
      <c r="I41" s="1580">
        <v>2143.2765707574868</v>
      </c>
      <c r="J41" s="1485">
        <v>2142.4367274867568</v>
      </c>
      <c r="K41" s="1580">
        <v>811.1097456064889</v>
      </c>
      <c r="L41" s="1580">
        <v>1115.7418432960228</v>
      </c>
      <c r="M41" s="1580">
        <v>1003.7217957664573</v>
      </c>
      <c r="N41" s="1485">
        <v>1809.675947056139</v>
      </c>
      <c r="O41" s="1580">
        <v>689.22448052685365</v>
      </c>
      <c r="P41" s="1580"/>
      <c r="Q41" s="1580"/>
      <c r="R41" s="1485"/>
      <c r="S41" s="1580"/>
      <c r="T41" s="1580"/>
      <c r="U41" s="1580"/>
      <c r="V41" s="1485"/>
      <c r="W41" s="1580"/>
      <c r="X41" s="1580"/>
      <c r="Y41" s="1580"/>
      <c r="Z41" s="1485"/>
      <c r="AA41" s="1580"/>
      <c r="AB41" s="1580"/>
      <c r="AC41" s="1580"/>
      <c r="AD41" s="1485"/>
      <c r="AE41" s="1940"/>
      <c r="AF41" s="1484"/>
      <c r="AG41" s="1945"/>
      <c r="AH41" s="1488" t="e">
        <f t="shared" si="14"/>
        <v>#DIV/0!</v>
      </c>
      <c r="AI41" s="1489">
        <f t="shared" si="15"/>
        <v>0</v>
      </c>
      <c r="AJ41" s="1544" t="e">
        <f t="shared" si="16"/>
        <v>#DIV/0!</v>
      </c>
      <c r="AK41" s="1604"/>
      <c r="AN41" s="45"/>
      <c r="AO41" s="13"/>
    </row>
    <row r="42" spans="2:41" ht="16.5" customHeight="1">
      <c r="B42" s="1625" t="str">
        <f t="shared" si="13"/>
        <v>Telefonica</v>
      </c>
      <c r="C42" s="1580">
        <v>1656.5634299570152</v>
      </c>
      <c r="D42" s="1580">
        <v>2211.809867901095</v>
      </c>
      <c r="E42" s="1580">
        <v>2635.8665327530412</v>
      </c>
      <c r="F42" s="1485">
        <v>3139.6226415094338</v>
      </c>
      <c r="G42" s="1580">
        <v>1621</v>
      </c>
      <c r="H42" s="1580">
        <v>2078.2369146005512</v>
      </c>
      <c r="I42" s="1580">
        <v>2883.1473869641804</v>
      </c>
      <c r="J42" s="1485">
        <v>3219.5409064155383</v>
      </c>
      <c r="K42" s="1580">
        <v>1831.1416984146492</v>
      </c>
      <c r="L42" s="1580">
        <v>2906.6444391521791</v>
      </c>
      <c r="M42" s="1580">
        <v>2087.6948127471505</v>
      </c>
      <c r="N42" s="1485">
        <v>2781.8347786398908</v>
      </c>
      <c r="O42" s="1580">
        <v>1764.5055069830817</v>
      </c>
      <c r="P42" s="1580"/>
      <c r="Q42" s="1580"/>
      <c r="R42" s="1485"/>
      <c r="S42" s="1580"/>
      <c r="T42" s="1580"/>
      <c r="U42" s="1580"/>
      <c r="V42" s="1485"/>
      <c r="W42" s="1580"/>
      <c r="X42" s="1580"/>
      <c r="Y42" s="1580"/>
      <c r="Z42" s="1485"/>
      <c r="AA42" s="1580"/>
      <c r="AB42" s="1580"/>
      <c r="AC42" s="1580"/>
      <c r="AD42" s="1485"/>
      <c r="AE42" s="1940"/>
      <c r="AF42" s="1484"/>
      <c r="AG42" s="1945"/>
      <c r="AH42" s="1488" t="e">
        <f t="shared" si="14"/>
        <v>#DIV/0!</v>
      </c>
      <c r="AI42" s="1489">
        <f t="shared" si="15"/>
        <v>0</v>
      </c>
      <c r="AJ42" s="1544" t="e">
        <f t="shared" si="16"/>
        <v>#DIV/0!</v>
      </c>
      <c r="AK42" s="1604"/>
      <c r="AN42" s="45"/>
      <c r="AO42" s="13"/>
    </row>
    <row r="43" spans="2:41" ht="16.5" customHeight="1">
      <c r="B43" s="1625" t="str">
        <f t="shared" si="13"/>
        <v>Verizon</v>
      </c>
      <c r="C43" s="1624">
        <v>3387</v>
      </c>
      <c r="D43" s="1580">
        <v>3886</v>
      </c>
      <c r="E43" s="1624">
        <v>4125</v>
      </c>
      <c r="F43" s="1621">
        <v>5661</v>
      </c>
      <c r="G43" s="1624">
        <v>3067</v>
      </c>
      <c r="H43" s="1580">
        <v>3944</v>
      </c>
      <c r="I43" s="1624">
        <v>4271</v>
      </c>
      <c r="J43" s="1621">
        <v>5965</v>
      </c>
      <c r="K43" s="1624">
        <v>4552</v>
      </c>
      <c r="L43" s="1580">
        <v>3286</v>
      </c>
      <c r="M43" s="1624">
        <v>4188</v>
      </c>
      <c r="N43" s="1621">
        <v>4632</v>
      </c>
      <c r="O43" s="1624">
        <v>4268</v>
      </c>
      <c r="P43" s="1580"/>
      <c r="Q43" s="1624"/>
      <c r="R43" s="1621"/>
      <c r="S43" s="1624"/>
      <c r="T43" s="1580"/>
      <c r="U43" s="1624"/>
      <c r="V43" s="1621"/>
      <c r="W43" s="1624"/>
      <c r="X43" s="1580"/>
      <c r="Y43" s="1580"/>
      <c r="Z43" s="1485"/>
      <c r="AA43" s="1624"/>
      <c r="AB43" s="1580"/>
      <c r="AC43" s="1580"/>
      <c r="AD43" s="1485"/>
      <c r="AE43" s="1940"/>
      <c r="AF43" s="1484"/>
      <c r="AG43" s="1945"/>
      <c r="AH43" s="1488" t="e">
        <f t="shared" si="14"/>
        <v>#DIV/0!</v>
      </c>
      <c r="AI43" s="1489">
        <f t="shared" si="15"/>
        <v>0</v>
      </c>
      <c r="AJ43" s="1544" t="e">
        <f t="shared" si="16"/>
        <v>#DIV/0!</v>
      </c>
      <c r="AK43" s="1604"/>
      <c r="AN43" s="45"/>
      <c r="AO43" s="13"/>
    </row>
    <row r="44" spans="2:41" ht="16.5" customHeight="1">
      <c r="B44" s="1625" t="str">
        <f t="shared" si="13"/>
        <v>Vodafone</v>
      </c>
      <c r="C44" s="1624">
        <v>3498.068945787441</v>
      </c>
      <c r="D44" s="1580">
        <v>2487.7537201718906</v>
      </c>
      <c r="E44" s="1624">
        <v>2216.8284789644013</v>
      </c>
      <c r="F44" s="1621">
        <v>2976.2438194617739</v>
      </c>
      <c r="G44" s="1624">
        <v>1578.341505009593</v>
      </c>
      <c r="H44" s="1580">
        <v>3130.7415483006489</v>
      </c>
      <c r="I44" s="1624">
        <v>2125.8461538461534</v>
      </c>
      <c r="J44" s="1621">
        <v>2450.5359708173737</v>
      </c>
      <c r="K44" s="1624">
        <v>2428.74486025641</v>
      </c>
      <c r="L44" s="1580">
        <v>1561.4056026522985</v>
      </c>
      <c r="M44" s="1624">
        <v>1783.5543149569667</v>
      </c>
      <c r="N44" s="1621">
        <v>1990</v>
      </c>
      <c r="O44" s="1624">
        <v>2361.7576927444079</v>
      </c>
      <c r="P44" s="1580"/>
      <c r="Q44" s="1624"/>
      <c r="R44" s="1621"/>
      <c r="S44" s="1624"/>
      <c r="T44" s="1580"/>
      <c r="U44" s="1580"/>
      <c r="V44" s="1621"/>
      <c r="W44" s="1624"/>
      <c r="X44" s="1580"/>
      <c r="Y44" s="1580"/>
      <c r="Z44" s="1621"/>
      <c r="AA44" s="1624"/>
      <c r="AB44" s="1580"/>
      <c r="AC44" s="1580"/>
      <c r="AD44" s="1485"/>
      <c r="AE44" s="1940"/>
      <c r="AF44" s="1484"/>
      <c r="AG44" s="1945"/>
      <c r="AH44" s="1696" t="e">
        <f t="shared" si="14"/>
        <v>#DIV/0!</v>
      </c>
      <c r="AI44" s="1848">
        <f t="shared" si="15"/>
        <v>0</v>
      </c>
      <c r="AJ44" s="1849" t="e">
        <f t="shared" si="16"/>
        <v>#DIV/0!</v>
      </c>
      <c r="AK44" s="1632"/>
      <c r="AN44" s="45"/>
      <c r="AO44" s="13"/>
    </row>
    <row r="45" spans="2:41" ht="16.5" customHeight="1">
      <c r="B45" s="1505" t="s">
        <v>14</v>
      </c>
      <c r="C45" s="1593">
        <f t="shared" ref="C45:V45" si="17">SUM(C30:C44)</f>
        <v>41543.394289447759</v>
      </c>
      <c r="D45" s="1593">
        <f t="shared" si="17"/>
        <v>38632.238080563613</v>
      </c>
      <c r="E45" s="1593">
        <f t="shared" si="17"/>
        <v>46199.286706666404</v>
      </c>
      <c r="F45" s="1508">
        <f t="shared" si="17"/>
        <v>52676.094867784479</v>
      </c>
      <c r="G45" s="1593">
        <f t="shared" si="17"/>
        <v>40726.748128220461</v>
      </c>
      <c r="H45" s="1593">
        <f t="shared" si="17"/>
        <v>39879.170995759523</v>
      </c>
      <c r="I45" s="1593">
        <f t="shared" si="17"/>
        <v>44992.73111002463</v>
      </c>
      <c r="J45" s="1508">
        <f t="shared" si="17"/>
        <v>48358.931244240557</v>
      </c>
      <c r="K45" s="1593">
        <f t="shared" si="17"/>
        <v>43031.263112968998</v>
      </c>
      <c r="L45" s="1593">
        <f t="shared" si="17"/>
        <v>39701.966647502581</v>
      </c>
      <c r="M45" s="1593">
        <f t="shared" si="17"/>
        <v>43620.23092879881</v>
      </c>
      <c r="N45" s="1508">
        <f t="shared" si="17"/>
        <v>44324.395250174231</v>
      </c>
      <c r="O45" s="1593">
        <f t="shared" si="17"/>
        <v>44228.585234910053</v>
      </c>
      <c r="P45" s="1593">
        <f t="shared" si="17"/>
        <v>0</v>
      </c>
      <c r="Q45" s="1593">
        <f t="shared" si="17"/>
        <v>0</v>
      </c>
      <c r="R45" s="1508">
        <f t="shared" si="17"/>
        <v>0</v>
      </c>
      <c r="S45" s="1593">
        <f t="shared" si="17"/>
        <v>0</v>
      </c>
      <c r="T45" s="1593">
        <f t="shared" si="17"/>
        <v>0</v>
      </c>
      <c r="U45" s="1593">
        <f t="shared" si="17"/>
        <v>0</v>
      </c>
      <c r="V45" s="1508">
        <f t="shared" si="17"/>
        <v>0</v>
      </c>
      <c r="W45" s="1507">
        <f t="shared" ref="W45:AD45" si="18">SUM(W30:W44)</f>
        <v>0</v>
      </c>
      <c r="X45" s="1593">
        <f t="shared" si="18"/>
        <v>0</v>
      </c>
      <c r="Y45" s="1593">
        <f t="shared" si="18"/>
        <v>0</v>
      </c>
      <c r="Z45" s="1508">
        <f t="shared" si="18"/>
        <v>0</v>
      </c>
      <c r="AA45" s="1507">
        <f t="shared" si="18"/>
        <v>0</v>
      </c>
      <c r="AB45" s="1507">
        <f t="shared" si="18"/>
        <v>0</v>
      </c>
      <c r="AC45" s="1507">
        <f t="shared" si="18"/>
        <v>0</v>
      </c>
      <c r="AD45" s="1508">
        <f t="shared" si="18"/>
        <v>0</v>
      </c>
      <c r="AE45" s="1943">
        <f t="shared" ref="AE45:AF45" si="19">SUM(AE30:AE44)</f>
        <v>0</v>
      </c>
      <c r="AF45" s="1507">
        <f t="shared" si="19"/>
        <v>0</v>
      </c>
      <c r="AG45" s="1948">
        <f t="shared" ref="AG45" si="20">SUM(AG30:AG44)</f>
        <v>0</v>
      </c>
      <c r="AH45" s="1488" t="e">
        <f t="shared" si="14"/>
        <v>#DIV/0!</v>
      </c>
      <c r="AI45" s="1489">
        <f t="shared" si="15"/>
        <v>0</v>
      </c>
      <c r="AJ45" s="1544" t="e">
        <f t="shared" si="16"/>
        <v>#DIV/0!</v>
      </c>
      <c r="AK45" s="1604"/>
    </row>
    <row r="46" spans="2:41">
      <c r="B46" s="2" t="s">
        <v>498</v>
      </c>
      <c r="C46" s="1629">
        <v>5.2744963972386927E-2</v>
      </c>
      <c r="D46" s="1629">
        <v>-1.2103578964339778E-2</v>
      </c>
      <c r="E46" s="1629">
        <v>-0.13577773311269659</v>
      </c>
      <c r="F46" s="1630">
        <v>-0.10016515325697417</v>
      </c>
      <c r="G46" s="1629">
        <f t="shared" ref="G46:N46" si="21">G45/C45-1</f>
        <v>-1.9657665802111146E-2</v>
      </c>
      <c r="H46" s="1629">
        <f t="shared" si="21"/>
        <v>3.227700431426106E-2</v>
      </c>
      <c r="I46" s="1629">
        <f t="shared" si="21"/>
        <v>-2.6116325221698156E-2</v>
      </c>
      <c r="J46" s="1630">
        <f t="shared" si="21"/>
        <v>-8.1956789590797885E-2</v>
      </c>
      <c r="K46" s="1629">
        <f t="shared" si="21"/>
        <v>5.6584802142641166E-2</v>
      </c>
      <c r="L46" s="1629">
        <f t="shared" si="21"/>
        <v>-4.4435313932625897E-3</v>
      </c>
      <c r="M46" s="1629">
        <f t="shared" si="21"/>
        <v>-3.0504931515927036E-2</v>
      </c>
      <c r="N46" s="1630">
        <f t="shared" si="21"/>
        <v>-8.3428973516589622E-2</v>
      </c>
      <c r="O46" s="1629">
        <f>O45/K45-1</f>
        <v>2.7824470752758401E-2</v>
      </c>
      <c r="P46" s="1629">
        <f>P45/L45-1</f>
        <v>-1</v>
      </c>
      <c r="Q46" s="1629">
        <f>Q45/M45-1</f>
        <v>-1</v>
      </c>
      <c r="R46" s="1630">
        <f>R45/N45-1</f>
        <v>-1</v>
      </c>
      <c r="S46" s="1629">
        <f>S45/O45-1</f>
        <v>-1</v>
      </c>
      <c r="T46" s="1629" t="e">
        <f t="shared" ref="T46:Y46" si="22">T45/P45-1</f>
        <v>#DIV/0!</v>
      </c>
      <c r="U46" s="1629" t="e">
        <f t="shared" si="22"/>
        <v>#DIV/0!</v>
      </c>
      <c r="V46" s="1630" t="e">
        <f t="shared" si="22"/>
        <v>#DIV/0!</v>
      </c>
      <c r="W46" s="1629" t="e">
        <f>W45/S45-1</f>
        <v>#DIV/0!</v>
      </c>
      <c r="X46" s="1629" t="e">
        <f t="shared" si="22"/>
        <v>#DIV/0!</v>
      </c>
      <c r="Y46" s="1629" t="e">
        <f t="shared" si="22"/>
        <v>#DIV/0!</v>
      </c>
      <c r="Z46" s="1630" t="e">
        <f t="shared" ref="Z46:AE46" si="23">Z45/V45-1</f>
        <v>#DIV/0!</v>
      </c>
      <c r="AA46" s="1629" t="e">
        <f t="shared" si="23"/>
        <v>#DIV/0!</v>
      </c>
      <c r="AB46" s="1629" t="e">
        <f t="shared" si="23"/>
        <v>#DIV/0!</v>
      </c>
      <c r="AC46" s="1629" t="e">
        <f t="shared" si="23"/>
        <v>#DIV/0!</v>
      </c>
      <c r="AD46" s="1630" t="e">
        <f t="shared" si="23"/>
        <v>#DIV/0!</v>
      </c>
      <c r="AE46" s="1630" t="e">
        <f t="shared" si="23"/>
        <v>#DIV/0!</v>
      </c>
      <c r="AF46" s="1630" t="e">
        <f>AF45/AB45-1</f>
        <v>#DIV/0!</v>
      </c>
      <c r="AG46" s="1630" t="e">
        <f>AG45/AC45-1</f>
        <v>#DIV/0!</v>
      </c>
      <c r="AI46" s="15">
        <f>AI30+AI32+AI33+AI34+AI40+AI43</f>
        <v>0</v>
      </c>
    </row>
    <row r="47" spans="2:41">
      <c r="B47" s="2" t="s">
        <v>558</v>
      </c>
      <c r="D47" s="26">
        <f t="shared" ref="D47:R47" si="24">D45/C45-1</f>
        <v>-7.0075068700479193E-2</v>
      </c>
      <c r="E47" s="26">
        <f t="shared" si="24"/>
        <v>0.19587393850499879</v>
      </c>
      <c r="F47" s="26">
        <f t="shared" si="24"/>
        <v>0.14019281730995847</v>
      </c>
      <c r="G47" s="26">
        <f t="shared" si="24"/>
        <v>-0.22684572137620573</v>
      </c>
      <c r="H47" s="26">
        <f t="shared" si="24"/>
        <v>-2.0811313729063308E-2</v>
      </c>
      <c r="I47" s="26">
        <f t="shared" si="24"/>
        <v>0.12822633937924266</v>
      </c>
      <c r="J47" s="26">
        <f t="shared" si="24"/>
        <v>7.4816532607995478E-2</v>
      </c>
      <c r="K47" s="26">
        <f t="shared" si="24"/>
        <v>-0.11016926954741313</v>
      </c>
      <c r="L47" s="26">
        <f t="shared" si="24"/>
        <v>-7.7369247951799447E-2</v>
      </c>
      <c r="M47" s="26">
        <f t="shared" si="24"/>
        <v>9.8691944308071378E-2</v>
      </c>
      <c r="N47" s="26">
        <f t="shared" si="24"/>
        <v>1.6143067250717458E-2</v>
      </c>
      <c r="O47" s="26">
        <f t="shared" si="24"/>
        <v>-2.1615639587051483E-3</v>
      </c>
      <c r="P47" s="26">
        <f t="shared" si="24"/>
        <v>-1</v>
      </c>
      <c r="Q47" s="26" t="e">
        <f t="shared" si="24"/>
        <v>#DIV/0!</v>
      </c>
      <c r="R47" s="26" t="e">
        <f t="shared" si="24"/>
        <v>#DIV/0!</v>
      </c>
      <c r="S47" s="26" t="e">
        <f t="shared" ref="S47:Y47" si="25">S45/R45-1</f>
        <v>#DIV/0!</v>
      </c>
      <c r="T47" s="26" t="e">
        <f t="shared" si="25"/>
        <v>#DIV/0!</v>
      </c>
      <c r="U47" s="26" t="e">
        <f t="shared" si="25"/>
        <v>#DIV/0!</v>
      </c>
      <c r="V47" s="26" t="e">
        <f t="shared" si="25"/>
        <v>#DIV/0!</v>
      </c>
      <c r="W47" s="26" t="e">
        <f t="shared" si="25"/>
        <v>#DIV/0!</v>
      </c>
      <c r="X47" s="26" t="e">
        <f t="shared" si="25"/>
        <v>#DIV/0!</v>
      </c>
      <c r="Y47" s="26" t="e">
        <f t="shared" si="25"/>
        <v>#DIV/0!</v>
      </c>
      <c r="Z47" s="26" t="e">
        <f t="shared" ref="Z47:AE47" si="26">Z45/Y45-1</f>
        <v>#DIV/0!</v>
      </c>
      <c r="AA47" s="26" t="e">
        <f t="shared" si="26"/>
        <v>#DIV/0!</v>
      </c>
      <c r="AB47" s="26" t="e">
        <f t="shared" si="26"/>
        <v>#DIV/0!</v>
      </c>
      <c r="AC47" s="26" t="e">
        <f t="shared" si="26"/>
        <v>#DIV/0!</v>
      </c>
      <c r="AD47" s="26" t="e">
        <f t="shared" si="26"/>
        <v>#DIV/0!</v>
      </c>
      <c r="AE47" s="26" t="e">
        <f t="shared" si="26"/>
        <v>#DIV/0!</v>
      </c>
      <c r="AF47" s="26" t="e">
        <f>AF45/AE45-1</f>
        <v>#DIV/0!</v>
      </c>
      <c r="AG47" s="26" t="e">
        <f>AG45/AF45-1</f>
        <v>#DIV/0!</v>
      </c>
      <c r="AI47" s="15">
        <f>AI32+AI33+AI34</f>
        <v>0</v>
      </c>
    </row>
    <row r="48" spans="2:41">
      <c r="F48" s="43">
        <f>SUM(C45:F45)</f>
        <v>179051.01394446226</v>
      </c>
      <c r="J48" s="43">
        <f>SUM(G45:J45)</f>
        <v>173957.58147824518</v>
      </c>
      <c r="N48" s="43">
        <f>SUM(K45:N45)</f>
        <v>170677.85593944462</v>
      </c>
      <c r="O48" s="43"/>
      <c r="P48" s="43"/>
      <c r="Q48" s="43"/>
      <c r="R48" s="43">
        <f>SUM(O45:R45)</f>
        <v>44228.585234910053</v>
      </c>
      <c r="S48" s="43"/>
      <c r="T48" s="43"/>
      <c r="U48" s="43"/>
      <c r="V48" s="43">
        <f>SUM(S45:V45)</f>
        <v>0</v>
      </c>
      <c r="W48" s="43"/>
      <c r="X48" s="43"/>
      <c r="Y48" s="43"/>
      <c r="Z48" s="43">
        <f>SUM(W45:Z45)</f>
        <v>0</v>
      </c>
      <c r="AA48" s="26"/>
      <c r="AB48" s="26"/>
      <c r="AC48" s="26"/>
      <c r="AD48" s="43">
        <f>SUM(AA45:AD45)</f>
        <v>0</v>
      </c>
      <c r="AE48" s="43"/>
      <c r="AF48" s="43"/>
      <c r="AG48" s="43"/>
      <c r="AI48" s="5"/>
      <c r="AK48" s="15"/>
    </row>
    <row r="49" spans="2:36">
      <c r="F49" s="26">
        <v>-6.041981308403177E-2</v>
      </c>
      <c r="J49" s="26">
        <f>J48/F48-1</f>
        <v>-2.8446822802114635E-2</v>
      </c>
      <c r="N49" s="26">
        <f>N48/J48-1</f>
        <v>-1.885359356534122E-2</v>
      </c>
      <c r="O49" s="26"/>
      <c r="P49" s="26"/>
      <c r="Q49" s="26"/>
      <c r="R49" s="26">
        <f>R48/N48-1</f>
        <v>-0.74086512282763817</v>
      </c>
      <c r="S49" s="26"/>
      <c r="T49" s="26"/>
      <c r="U49" s="26"/>
      <c r="V49" s="26">
        <f>V48/R48-1</f>
        <v>-1</v>
      </c>
      <c r="W49" s="26"/>
      <c r="X49" s="26"/>
      <c r="Y49" s="26"/>
      <c r="Z49" s="26" t="e">
        <f>Z48/V48-1</f>
        <v>#DIV/0!</v>
      </c>
      <c r="AD49" s="26" t="e">
        <f>AD48/Z48-1</f>
        <v>#DIV/0!</v>
      </c>
      <c r="AE49" s="26"/>
      <c r="AF49" s="26"/>
      <c r="AG49" s="26"/>
    </row>
    <row r="51" spans="2:36">
      <c r="B51" t="s">
        <v>307</v>
      </c>
      <c r="C51" s="43">
        <f t="shared" ref="C51:V51" si="27">C33+C34+C32</f>
        <v>10843.83218151795</v>
      </c>
      <c r="D51" s="43">
        <f t="shared" si="27"/>
        <v>10857.444658767337</v>
      </c>
      <c r="E51" s="43">
        <f t="shared" si="27"/>
        <v>16233.043217286915</v>
      </c>
      <c r="F51" s="43">
        <f t="shared" si="27"/>
        <v>16865.778194165348</v>
      </c>
      <c r="G51" s="43">
        <f t="shared" si="27"/>
        <v>9179.1730223292943</v>
      </c>
      <c r="H51" s="43">
        <f t="shared" si="27"/>
        <v>9880.9332847247551</v>
      </c>
      <c r="I51" s="43">
        <f t="shared" si="27"/>
        <v>13059.350117710568</v>
      </c>
      <c r="J51" s="43">
        <f t="shared" si="27"/>
        <v>13073.071104387291</v>
      </c>
      <c r="K51" s="43">
        <f t="shared" si="27"/>
        <v>9069.3146640322411</v>
      </c>
      <c r="L51" s="43">
        <f t="shared" si="27"/>
        <v>9692.0267134884307</v>
      </c>
      <c r="M51" s="43">
        <f t="shared" si="27"/>
        <v>12308.333223568152</v>
      </c>
      <c r="N51" s="43">
        <f t="shared" si="27"/>
        <v>11805.501323267821</v>
      </c>
      <c r="O51" s="43">
        <f t="shared" si="27"/>
        <v>10672.873089523695</v>
      </c>
      <c r="P51" s="43">
        <f t="shared" si="27"/>
        <v>0</v>
      </c>
      <c r="Q51" s="43">
        <f t="shared" si="27"/>
        <v>0</v>
      </c>
      <c r="R51" s="43">
        <f t="shared" si="27"/>
        <v>0</v>
      </c>
      <c r="S51" s="43">
        <f t="shared" si="27"/>
        <v>0</v>
      </c>
      <c r="T51" s="43">
        <f t="shared" si="27"/>
        <v>0</v>
      </c>
      <c r="U51" s="43">
        <f t="shared" si="27"/>
        <v>0</v>
      </c>
      <c r="V51" s="43">
        <f t="shared" si="27"/>
        <v>0</v>
      </c>
      <c r="W51" s="43">
        <f t="shared" ref="W51:AC51" si="28">W33+W34+W32</f>
        <v>0</v>
      </c>
      <c r="X51" s="43">
        <f t="shared" si="28"/>
        <v>0</v>
      </c>
      <c r="Y51" s="43">
        <f t="shared" si="28"/>
        <v>0</v>
      </c>
      <c r="Z51" s="43">
        <f t="shared" si="28"/>
        <v>0</v>
      </c>
      <c r="AA51" s="43">
        <f t="shared" si="28"/>
        <v>0</v>
      </c>
      <c r="AB51" s="43">
        <f t="shared" si="28"/>
        <v>0</v>
      </c>
      <c r="AC51" s="43">
        <f t="shared" si="28"/>
        <v>0</v>
      </c>
      <c r="AD51" s="43">
        <f>AD33+AD34+AD32</f>
        <v>0</v>
      </c>
      <c r="AE51" s="43">
        <f>AE33+AE34+AE32</f>
        <v>0</v>
      </c>
      <c r="AF51" s="43">
        <f>AF33+AF34+AF32</f>
        <v>0</v>
      </c>
      <c r="AG51" s="43">
        <f>AG33+AG34+AG32</f>
        <v>0</v>
      </c>
      <c r="AH51" t="s">
        <v>244</v>
      </c>
    </row>
    <row r="52" spans="2:36">
      <c r="C52" s="1627">
        <v>-7.1264180311134684E-3</v>
      </c>
      <c r="D52" s="1628">
        <v>-1.1077015068864493E-2</v>
      </c>
      <c r="E52" s="1628">
        <v>-0.32842929756705186</v>
      </c>
      <c r="F52" s="1628">
        <v>-0.28717058618014757</v>
      </c>
      <c r="G52" s="1628">
        <f t="shared" ref="G52:Q52" si="29">G51/C51-1</f>
        <v>-0.15351207316043425</v>
      </c>
      <c r="H52" s="1628">
        <f t="shared" si="29"/>
        <v>-8.9939336992526431E-2</v>
      </c>
      <c r="I52" s="1628">
        <f t="shared" si="29"/>
        <v>-0.195508202442079</v>
      </c>
      <c r="J52" s="1628">
        <f t="shared" si="29"/>
        <v>-0.22487590232214305</v>
      </c>
      <c r="K52" s="1628">
        <f t="shared" si="29"/>
        <v>-1.1968219580327233E-2</v>
      </c>
      <c r="L52" s="1628">
        <f t="shared" si="29"/>
        <v>-1.9118292350820854E-2</v>
      </c>
      <c r="M52" s="1628">
        <f t="shared" si="29"/>
        <v>-5.7507983733732448E-2</v>
      </c>
      <c r="N52" s="1628">
        <f t="shared" si="29"/>
        <v>-9.6960367690043125E-2</v>
      </c>
      <c r="O52" s="1628">
        <f t="shared" si="29"/>
        <v>0.1768114223504631</v>
      </c>
      <c r="P52" s="1628">
        <f t="shared" si="29"/>
        <v>-1</v>
      </c>
      <c r="Q52" s="1628">
        <f t="shared" si="29"/>
        <v>-1</v>
      </c>
      <c r="R52" s="1628">
        <f>R51/N51-1</f>
        <v>-1</v>
      </c>
      <c r="S52" s="1628">
        <f t="shared" ref="S52:AA52" si="30">S51/O51-1</f>
        <v>-1</v>
      </c>
      <c r="T52" s="1628" t="e">
        <f t="shared" si="30"/>
        <v>#DIV/0!</v>
      </c>
      <c r="U52" s="1628" t="e">
        <f t="shared" si="30"/>
        <v>#DIV/0!</v>
      </c>
      <c r="V52" s="1628" t="e">
        <f t="shared" si="30"/>
        <v>#DIV/0!</v>
      </c>
      <c r="W52" s="1628" t="e">
        <f t="shared" si="30"/>
        <v>#DIV/0!</v>
      </c>
      <c r="X52" s="1628" t="e">
        <f t="shared" si="30"/>
        <v>#DIV/0!</v>
      </c>
      <c r="Y52" s="1628" t="e">
        <f t="shared" si="30"/>
        <v>#DIV/0!</v>
      </c>
      <c r="Z52" s="1628" t="e">
        <f t="shared" si="30"/>
        <v>#DIV/0!</v>
      </c>
      <c r="AA52" s="1628" t="e">
        <f t="shared" si="30"/>
        <v>#DIV/0!</v>
      </c>
      <c r="AB52" s="1628" t="e">
        <f t="shared" ref="AB52:AG52" si="31">AB51/X51-1</f>
        <v>#DIV/0!</v>
      </c>
      <c r="AC52" s="1628" t="e">
        <f t="shared" si="31"/>
        <v>#DIV/0!</v>
      </c>
      <c r="AD52" s="1628" t="e">
        <f t="shared" si="31"/>
        <v>#DIV/0!</v>
      </c>
      <c r="AE52" s="1628" t="e">
        <f t="shared" si="31"/>
        <v>#DIV/0!</v>
      </c>
      <c r="AF52" s="1628" t="e">
        <f t="shared" si="31"/>
        <v>#DIV/0!</v>
      </c>
      <c r="AG52" s="1628" t="e">
        <f t="shared" si="31"/>
        <v>#DIV/0!</v>
      </c>
      <c r="AH52" s="43"/>
    </row>
    <row r="53" spans="2:36">
      <c r="C53" s="1627">
        <v>-0.54168716981073617</v>
      </c>
      <c r="D53" s="1628">
        <f t="shared" ref="D53:Q53" si="32">D51/C51-1</f>
        <v>1.2553198003735222E-3</v>
      </c>
      <c r="E53" s="1628">
        <f t="shared" si="32"/>
        <v>0.49510715711351172</v>
      </c>
      <c r="F53" s="1628">
        <f t="shared" si="32"/>
        <v>3.8978210580048245E-2</v>
      </c>
      <c r="G53" s="1628">
        <f t="shared" si="32"/>
        <v>-0.45575158663566473</v>
      </c>
      <c r="H53" s="1628">
        <f t="shared" si="32"/>
        <v>7.6451360126708057E-2</v>
      </c>
      <c r="I53" s="1628">
        <f t="shared" si="32"/>
        <v>0.32167172284215573</v>
      </c>
      <c r="J53" s="1628">
        <f t="shared" si="32"/>
        <v>1.0506638196425833E-3</v>
      </c>
      <c r="K53" s="1628">
        <f t="shared" si="32"/>
        <v>-0.30625982283622699</v>
      </c>
      <c r="L53" s="1628">
        <f t="shared" si="32"/>
        <v>6.8661422888521839E-2</v>
      </c>
      <c r="M53" s="1628">
        <f t="shared" si="32"/>
        <v>0.2699442116104156</v>
      </c>
      <c r="N53" s="1628">
        <f t="shared" si="32"/>
        <v>-4.0852964505177836E-2</v>
      </c>
      <c r="O53" s="1628">
        <f t="shared" si="32"/>
        <v>-9.5940714649008108E-2</v>
      </c>
      <c r="P53" s="1628">
        <f t="shared" si="32"/>
        <v>-1</v>
      </c>
      <c r="Q53" s="1628" t="e">
        <f t="shared" si="32"/>
        <v>#DIV/0!</v>
      </c>
      <c r="R53" s="1628" t="e">
        <f>R51/Q51-1</f>
        <v>#DIV/0!</v>
      </c>
      <c r="S53" s="1628" t="e">
        <f t="shared" ref="S53:AA53" si="33">S51/R51-1</f>
        <v>#DIV/0!</v>
      </c>
      <c r="T53" s="1628" t="e">
        <f t="shared" si="33"/>
        <v>#DIV/0!</v>
      </c>
      <c r="U53" s="1628" t="e">
        <f t="shared" si="33"/>
        <v>#DIV/0!</v>
      </c>
      <c r="V53" s="1628" t="e">
        <f t="shared" si="33"/>
        <v>#DIV/0!</v>
      </c>
      <c r="W53" s="1628" t="e">
        <f t="shared" si="33"/>
        <v>#DIV/0!</v>
      </c>
      <c r="X53" s="1628" t="e">
        <f t="shared" si="33"/>
        <v>#DIV/0!</v>
      </c>
      <c r="Y53" s="1628" t="e">
        <f t="shared" si="33"/>
        <v>#DIV/0!</v>
      </c>
      <c r="Z53" s="1628" t="e">
        <f t="shared" si="33"/>
        <v>#DIV/0!</v>
      </c>
      <c r="AA53" s="1628" t="e">
        <f t="shared" si="33"/>
        <v>#DIV/0!</v>
      </c>
      <c r="AB53" s="1628" t="e">
        <f t="shared" ref="AB53:AG53" si="34">AB51/AA51-1</f>
        <v>#DIV/0!</v>
      </c>
      <c r="AC53" s="1628" t="e">
        <f t="shared" si="34"/>
        <v>#DIV/0!</v>
      </c>
      <c r="AD53" s="1628" t="e">
        <f t="shared" si="34"/>
        <v>#DIV/0!</v>
      </c>
      <c r="AE53" s="1628" t="e">
        <f t="shared" si="34"/>
        <v>#DIV/0!</v>
      </c>
      <c r="AF53" s="1628" t="e">
        <f t="shared" si="34"/>
        <v>#DIV/0!</v>
      </c>
      <c r="AG53" s="1628" t="e">
        <f t="shared" si="34"/>
        <v>#DIV/0!</v>
      </c>
      <c r="AH53" s="43"/>
    </row>
    <row r="54" spans="2:36">
      <c r="B54" t="s">
        <v>308</v>
      </c>
      <c r="C54" s="43">
        <f>C45-C51</f>
        <v>30699.562107929807</v>
      </c>
      <c r="D54" s="43">
        <f>D45-D51</f>
        <v>27774.793421796276</v>
      </c>
      <c r="E54" s="43">
        <f t="shared" ref="E54:J54" si="35">E45-E51</f>
        <v>29966.243489379489</v>
      </c>
      <c r="F54" s="43">
        <f t="shared" si="35"/>
        <v>35810.316673619134</v>
      </c>
      <c r="G54" s="43">
        <f t="shared" si="35"/>
        <v>31547.575105891166</v>
      </c>
      <c r="H54" s="43">
        <f t="shared" si="35"/>
        <v>29998.237711034766</v>
      </c>
      <c r="I54" s="43">
        <f t="shared" si="35"/>
        <v>31933.380992314062</v>
      </c>
      <c r="J54" s="43">
        <f t="shared" si="35"/>
        <v>35285.860139853263</v>
      </c>
      <c r="K54" s="43">
        <f t="shared" ref="K54:P54" si="36">K45-K51</f>
        <v>33961.948448936761</v>
      </c>
      <c r="L54" s="43">
        <f t="shared" si="36"/>
        <v>30009.93993401415</v>
      </c>
      <c r="M54" s="43">
        <f t="shared" si="36"/>
        <v>31311.897705230658</v>
      </c>
      <c r="N54" s="43">
        <f t="shared" si="36"/>
        <v>32518.89392690641</v>
      </c>
      <c r="O54" s="43">
        <f t="shared" si="36"/>
        <v>33555.712145386358</v>
      </c>
      <c r="P54" s="43">
        <f t="shared" si="36"/>
        <v>0</v>
      </c>
      <c r="Q54" s="43">
        <f t="shared" ref="Q54:AC54" si="37">Q45-Q51</f>
        <v>0</v>
      </c>
      <c r="R54" s="43">
        <f t="shared" si="37"/>
        <v>0</v>
      </c>
      <c r="S54" s="43">
        <f t="shared" si="37"/>
        <v>0</v>
      </c>
      <c r="T54" s="43">
        <f t="shared" si="37"/>
        <v>0</v>
      </c>
      <c r="U54" s="43">
        <f t="shared" si="37"/>
        <v>0</v>
      </c>
      <c r="V54" s="43">
        <f t="shared" si="37"/>
        <v>0</v>
      </c>
      <c r="W54" s="43">
        <f t="shared" si="37"/>
        <v>0</v>
      </c>
      <c r="X54" s="43">
        <f t="shared" si="37"/>
        <v>0</v>
      </c>
      <c r="Y54" s="43">
        <f t="shared" si="37"/>
        <v>0</v>
      </c>
      <c r="Z54" s="43">
        <f t="shared" si="37"/>
        <v>0</v>
      </c>
      <c r="AA54" s="43">
        <f t="shared" si="37"/>
        <v>0</v>
      </c>
      <c r="AB54" s="43">
        <f t="shared" si="37"/>
        <v>0</v>
      </c>
      <c r="AC54" s="43">
        <f t="shared" si="37"/>
        <v>0</v>
      </c>
      <c r="AD54" s="43">
        <f>AD45-AD51</f>
        <v>0</v>
      </c>
      <c r="AE54" s="43">
        <f>AE45-AE51</f>
        <v>0</v>
      </c>
      <c r="AF54" s="43">
        <f>AF45-AF51</f>
        <v>0</v>
      </c>
      <c r="AG54" s="43">
        <f>AG45-AG51</f>
        <v>0</v>
      </c>
      <c r="AH54" t="s">
        <v>245</v>
      </c>
    </row>
    <row r="55" spans="2:36">
      <c r="C55" s="1627">
        <v>7.5656248522235181E-2</v>
      </c>
      <c r="D55" s="1628">
        <v>-1.2504293888629614E-2</v>
      </c>
      <c r="E55" s="1628">
        <v>2.3231499000913036E-2</v>
      </c>
      <c r="F55" s="1628">
        <v>2.6689351017894491E-2</v>
      </c>
      <c r="G55" s="1628">
        <f t="shared" ref="G55:Q55" si="38">G54/C54-1</f>
        <v>2.7622967226047734E-2</v>
      </c>
      <c r="H55" s="1628">
        <f t="shared" si="38"/>
        <v>8.0052595008452521E-2</v>
      </c>
      <c r="I55" s="1628">
        <f t="shared" si="38"/>
        <v>6.5645115098652784E-2</v>
      </c>
      <c r="J55" s="1628">
        <f t="shared" si="38"/>
        <v>-1.4645403405556312E-2</v>
      </c>
      <c r="K55" s="1628">
        <f t="shared" si="38"/>
        <v>7.6531186151126196E-2</v>
      </c>
      <c r="L55" s="1628">
        <f t="shared" si="38"/>
        <v>3.9009701476833136E-4</v>
      </c>
      <c r="M55" s="1628">
        <f t="shared" si="38"/>
        <v>-1.946186929699012E-2</v>
      </c>
      <c r="N55" s="1628">
        <f t="shared" si="38"/>
        <v>-7.8415722387952469E-2</v>
      </c>
      <c r="O55" s="1628">
        <f t="shared" si="38"/>
        <v>-1.1961513461490436E-2</v>
      </c>
      <c r="P55" s="1628">
        <f t="shared" si="38"/>
        <v>-1</v>
      </c>
      <c r="Q55" s="1628">
        <f t="shared" si="38"/>
        <v>-1</v>
      </c>
      <c r="R55" s="1628">
        <f>R54/N54-1</f>
        <v>-1</v>
      </c>
      <c r="S55" s="1628">
        <f t="shared" ref="S55:AA55" si="39">S54/O54-1</f>
        <v>-1</v>
      </c>
      <c r="T55" s="1628" t="e">
        <f t="shared" si="39"/>
        <v>#DIV/0!</v>
      </c>
      <c r="U55" s="1628" t="e">
        <f t="shared" si="39"/>
        <v>#DIV/0!</v>
      </c>
      <c r="V55" s="1628" t="e">
        <f t="shared" si="39"/>
        <v>#DIV/0!</v>
      </c>
      <c r="W55" s="1628" t="e">
        <f t="shared" si="39"/>
        <v>#DIV/0!</v>
      </c>
      <c r="X55" s="1628" t="e">
        <f t="shared" si="39"/>
        <v>#DIV/0!</v>
      </c>
      <c r="Y55" s="1628" t="e">
        <f t="shared" si="39"/>
        <v>#DIV/0!</v>
      </c>
      <c r="Z55" s="1628" t="e">
        <f t="shared" si="39"/>
        <v>#DIV/0!</v>
      </c>
      <c r="AA55" s="1628" t="e">
        <f t="shared" si="39"/>
        <v>#DIV/0!</v>
      </c>
      <c r="AB55" s="1628" t="e">
        <f t="shared" ref="AB55:AG55" si="40">AB54/X54-1</f>
        <v>#DIV/0!</v>
      </c>
      <c r="AC55" s="1628" t="e">
        <f t="shared" si="40"/>
        <v>#DIV/0!</v>
      </c>
      <c r="AD55" s="1628" t="e">
        <f t="shared" si="40"/>
        <v>#DIV/0!</v>
      </c>
      <c r="AE55" s="1628" t="e">
        <f t="shared" si="40"/>
        <v>#DIV/0!</v>
      </c>
      <c r="AF55" s="1628" t="e">
        <f t="shared" si="40"/>
        <v>#DIV/0!</v>
      </c>
      <c r="AG55" s="1628" t="e">
        <f t="shared" si="40"/>
        <v>#DIV/0!</v>
      </c>
      <c r="AH55" s="43"/>
    </row>
    <row r="56" spans="2:36">
      <c r="C56" s="1627">
        <v>-0.11983706303431108</v>
      </c>
      <c r="D56" s="1628">
        <f t="shared" ref="D56:Q56" si="41">D54/C54-1</f>
        <v>-9.5270697212259337E-2</v>
      </c>
      <c r="E56" s="1628">
        <f t="shared" si="41"/>
        <v>7.8900679270704321E-2</v>
      </c>
      <c r="F56" s="1628">
        <f t="shared" si="41"/>
        <v>0.19502188141502885</v>
      </c>
      <c r="G56" s="1628">
        <f t="shared" si="41"/>
        <v>-0.11903669008513007</v>
      </c>
      <c r="H56" s="1628">
        <f t="shared" si="41"/>
        <v>-4.9111140544272125E-2</v>
      </c>
      <c r="I56" s="1628">
        <f t="shared" si="41"/>
        <v>6.4508565467079393E-2</v>
      </c>
      <c r="J56" s="1628">
        <f t="shared" si="41"/>
        <v>0.10498353269721417</v>
      </c>
      <c r="K56" s="1628">
        <f t="shared" si="41"/>
        <v>-3.7519609431915901E-2</v>
      </c>
      <c r="L56" s="1628">
        <f t="shared" si="41"/>
        <v>-0.1163657768594939</v>
      </c>
      <c r="M56" s="1628">
        <f t="shared" si="41"/>
        <v>4.3384217831800242E-2</v>
      </c>
      <c r="N56" s="1628">
        <f t="shared" si="41"/>
        <v>3.8547526982822378E-2</v>
      </c>
      <c r="O56" s="1628">
        <f t="shared" si="41"/>
        <v>3.1883563469607301E-2</v>
      </c>
      <c r="P56" s="1628">
        <f t="shared" si="41"/>
        <v>-1</v>
      </c>
      <c r="Q56" s="1628" t="e">
        <f t="shared" si="41"/>
        <v>#DIV/0!</v>
      </c>
      <c r="R56" s="1628" t="e">
        <f>R54/Q54-1</f>
        <v>#DIV/0!</v>
      </c>
      <c r="S56" s="1628" t="e">
        <f t="shared" ref="S56:AA56" si="42">S54/R54-1</f>
        <v>#DIV/0!</v>
      </c>
      <c r="T56" s="1628" t="e">
        <f t="shared" si="42"/>
        <v>#DIV/0!</v>
      </c>
      <c r="U56" s="1628" t="e">
        <f t="shared" si="42"/>
        <v>#DIV/0!</v>
      </c>
      <c r="V56" s="1628" t="e">
        <f t="shared" si="42"/>
        <v>#DIV/0!</v>
      </c>
      <c r="W56" s="1628" t="e">
        <f t="shared" si="42"/>
        <v>#DIV/0!</v>
      </c>
      <c r="X56" s="1628" t="e">
        <f t="shared" si="42"/>
        <v>#DIV/0!</v>
      </c>
      <c r="Y56" s="1628" t="e">
        <f t="shared" si="42"/>
        <v>#DIV/0!</v>
      </c>
      <c r="Z56" s="1628" t="e">
        <f t="shared" si="42"/>
        <v>#DIV/0!</v>
      </c>
      <c r="AA56" s="1628" t="e">
        <f t="shared" si="42"/>
        <v>#DIV/0!</v>
      </c>
      <c r="AB56" s="1628" t="e">
        <f t="shared" ref="AB56:AG56" si="43">AB54/AA54-1</f>
        <v>#DIV/0!</v>
      </c>
      <c r="AC56" s="1628" t="e">
        <f t="shared" si="43"/>
        <v>#DIV/0!</v>
      </c>
      <c r="AD56" s="1628" t="e">
        <f t="shared" si="43"/>
        <v>#DIV/0!</v>
      </c>
      <c r="AE56" s="1628" t="e">
        <f t="shared" si="43"/>
        <v>#DIV/0!</v>
      </c>
      <c r="AF56" s="1628" t="e">
        <f t="shared" si="43"/>
        <v>#DIV/0!</v>
      </c>
      <c r="AG56" s="1628" t="e">
        <f t="shared" si="43"/>
        <v>#DIV/0!</v>
      </c>
      <c r="AH56" s="43"/>
    </row>
    <row r="57" spans="2:36">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2:36">
      <c r="C58" s="43">
        <f t="shared" ref="C58:V58" si="44">C23-C59</f>
        <v>212068.76071238104</v>
      </c>
      <c r="D58" s="43">
        <f t="shared" si="44"/>
        <v>213356.65763884992</v>
      </c>
      <c r="E58" s="43">
        <f t="shared" si="44"/>
        <v>219084.62994886405</v>
      </c>
      <c r="F58" s="43">
        <f t="shared" si="44"/>
        <v>219125.34674704057</v>
      </c>
      <c r="G58" s="43">
        <f t="shared" si="44"/>
        <v>208548.66207906866</v>
      </c>
      <c r="H58" s="43">
        <f t="shared" si="44"/>
        <v>211143.05287820601</v>
      </c>
      <c r="I58" s="43">
        <f t="shared" si="44"/>
        <v>216977.02799245925</v>
      </c>
      <c r="J58" s="43">
        <f t="shared" si="44"/>
        <v>227496.55513202303</v>
      </c>
      <c r="K58" s="43">
        <f t="shared" si="44"/>
        <v>223125.38361350566</v>
      </c>
      <c r="L58" s="43">
        <f t="shared" si="44"/>
        <v>217868.71574592177</v>
      </c>
      <c r="M58" s="43">
        <f t="shared" si="44"/>
        <v>225098.62015231064</v>
      </c>
      <c r="N58" s="43">
        <f t="shared" si="44"/>
        <v>233376.58576476807</v>
      </c>
      <c r="O58" s="43">
        <f t="shared" si="44"/>
        <v>225854.30427177285</v>
      </c>
      <c r="P58" s="43">
        <f t="shared" si="44"/>
        <v>0</v>
      </c>
      <c r="Q58" s="43">
        <f t="shared" si="44"/>
        <v>0</v>
      </c>
      <c r="R58" s="43">
        <f t="shared" si="44"/>
        <v>0</v>
      </c>
      <c r="S58" s="43">
        <f t="shared" si="44"/>
        <v>0</v>
      </c>
      <c r="T58" s="43">
        <f t="shared" si="44"/>
        <v>0</v>
      </c>
      <c r="U58" s="43">
        <f t="shared" si="44"/>
        <v>0</v>
      </c>
      <c r="V58" s="43">
        <f t="shared" si="44"/>
        <v>0</v>
      </c>
      <c r="W58" s="43">
        <f t="shared" ref="W58:AD58" si="45">W23-W59</f>
        <v>0</v>
      </c>
      <c r="X58" s="43">
        <f t="shared" si="45"/>
        <v>0</v>
      </c>
      <c r="Y58" s="43">
        <f t="shared" si="45"/>
        <v>0</v>
      </c>
      <c r="Z58" s="43">
        <f t="shared" si="45"/>
        <v>0</v>
      </c>
      <c r="AA58" s="43">
        <f t="shared" si="45"/>
        <v>0</v>
      </c>
      <c r="AB58" s="43">
        <f t="shared" si="45"/>
        <v>0</v>
      </c>
      <c r="AC58" s="43">
        <f t="shared" si="45"/>
        <v>0</v>
      </c>
      <c r="AD58" s="43">
        <f t="shared" si="45"/>
        <v>0</v>
      </c>
      <c r="AE58" s="43">
        <f t="shared" ref="AE58:AF58" si="46">AE23-AE59</f>
        <v>0</v>
      </c>
      <c r="AF58" s="43">
        <f t="shared" si="46"/>
        <v>0</v>
      </c>
      <c r="AG58" s="43">
        <f t="shared" ref="AG58" si="47">AG23-AG59</f>
        <v>0</v>
      </c>
      <c r="AH58" s="19" t="s">
        <v>320</v>
      </c>
      <c r="AJ58" t="s">
        <v>323</v>
      </c>
    </row>
    <row r="59" spans="2:36">
      <c r="C59" s="43">
        <f t="shared" ref="C59:I59" si="48">C10+C11+C12</f>
        <v>54065.705275404922</v>
      </c>
      <c r="D59" s="43">
        <f t="shared" si="48"/>
        <v>54065.705275404922</v>
      </c>
      <c r="E59" s="43">
        <f t="shared" si="48"/>
        <v>48952.731092436981</v>
      </c>
      <c r="F59" s="43">
        <f t="shared" si="48"/>
        <v>53479.680322268796</v>
      </c>
      <c r="G59" s="43">
        <f t="shared" si="48"/>
        <v>50026.579520697167</v>
      </c>
      <c r="H59" s="43">
        <f t="shared" si="48"/>
        <v>53476.631425446591</v>
      </c>
      <c r="I59" s="43">
        <f t="shared" si="48"/>
        <v>50807.629444136212</v>
      </c>
      <c r="J59" s="43">
        <f t="shared" ref="J59:O59" si="49">J10+J11+J12</f>
        <v>49982.684252635016</v>
      </c>
      <c r="K59" s="43">
        <f t="shared" si="49"/>
        <v>56171.41778365113</v>
      </c>
      <c r="L59" s="43">
        <f t="shared" si="49"/>
        <v>56668.495641813504</v>
      </c>
      <c r="M59" s="43">
        <f t="shared" si="49"/>
        <v>52019.581324238512</v>
      </c>
      <c r="N59" s="43">
        <f t="shared" si="49"/>
        <v>48076.850767206102</v>
      </c>
      <c r="O59" s="43">
        <f t="shared" si="49"/>
        <v>52519.679203047868</v>
      </c>
      <c r="P59" s="43">
        <f t="shared" ref="P59:AC59" si="50">P10+P11+P12</f>
        <v>0</v>
      </c>
      <c r="Q59" s="43">
        <f t="shared" si="50"/>
        <v>0</v>
      </c>
      <c r="R59" s="43">
        <f t="shared" si="50"/>
        <v>0</v>
      </c>
      <c r="S59" s="43">
        <f t="shared" si="50"/>
        <v>0</v>
      </c>
      <c r="T59" s="43">
        <f t="shared" si="50"/>
        <v>0</v>
      </c>
      <c r="U59" s="43">
        <f t="shared" si="50"/>
        <v>0</v>
      </c>
      <c r="V59" s="43">
        <f t="shared" si="50"/>
        <v>0</v>
      </c>
      <c r="W59" s="43">
        <f t="shared" si="50"/>
        <v>0</v>
      </c>
      <c r="X59" s="43">
        <f t="shared" si="50"/>
        <v>0</v>
      </c>
      <c r="Y59" s="43">
        <f t="shared" si="50"/>
        <v>0</v>
      </c>
      <c r="Z59" s="43">
        <f t="shared" si="50"/>
        <v>0</v>
      </c>
      <c r="AA59" s="43">
        <f t="shared" si="50"/>
        <v>0</v>
      </c>
      <c r="AB59" s="43">
        <f t="shared" si="50"/>
        <v>0</v>
      </c>
      <c r="AC59" s="43">
        <f t="shared" si="50"/>
        <v>0</v>
      </c>
      <c r="AD59" s="43">
        <f>AD10+AD11+AD12</f>
        <v>0</v>
      </c>
      <c r="AE59" s="43">
        <f>AE10+AE11+AE12</f>
        <v>0</v>
      </c>
      <c r="AF59" s="43">
        <f>AF10+AF11+AF12</f>
        <v>0</v>
      </c>
      <c r="AG59" s="43">
        <f>AG10+AG11+AG12</f>
        <v>0</v>
      </c>
      <c r="AH59" t="s">
        <v>321</v>
      </c>
      <c r="AJ59" t="s">
        <v>323</v>
      </c>
    </row>
    <row r="80" spans="27:33">
      <c r="AA80" s="1633"/>
      <c r="AB80" s="1633"/>
      <c r="AC80" s="1633"/>
      <c r="AD80" s="1633"/>
      <c r="AE80" s="1633"/>
      <c r="AF80" s="1633"/>
      <c r="AG80" s="1633"/>
    </row>
    <row r="84" spans="2:2">
      <c r="B84" t="s">
        <v>475</v>
      </c>
    </row>
    <row r="85" spans="2:2">
      <c r="B85" t="s">
        <v>476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B2:AO58"/>
  <sheetViews>
    <sheetView showGridLines="0" zoomScale="90" zoomScaleNormal="90" zoomScalePageLayoutView="80" workbookViewId="0">
      <pane xSplit="14" ySplit="7" topLeftCell="O8" activePane="bottomRight" state="frozen"/>
      <selection pane="topRight" activeCell="O1" sqref="O1"/>
      <selection pane="bottomLeft" activeCell="A8" sqref="A8"/>
      <selection pane="bottomRight"/>
    </sheetView>
  </sheetViews>
  <sheetFormatPr defaultColWidth="8.77734375" defaultRowHeight="13.2" outlineLevelCol="1"/>
  <cols>
    <col min="1" max="1" width="4.44140625" customWidth="1"/>
    <col min="2" max="2" width="23.77734375" customWidth="1"/>
    <col min="3" max="3" width="11.77734375" hidden="1" customWidth="1" outlineLevel="1"/>
    <col min="4" max="14" width="9.77734375" hidden="1" customWidth="1" outlineLevel="1"/>
    <col min="15" max="15" width="10" customWidth="1" collapsed="1"/>
    <col min="16" max="26" width="10" customWidth="1"/>
    <col min="27" max="27" width="10.44140625" customWidth="1"/>
    <col min="28" max="28" width="10.109375" customWidth="1"/>
    <col min="29" max="29" width="10" customWidth="1"/>
    <col min="30" max="33" width="10.77734375" customWidth="1"/>
    <col min="35" max="35" width="9.77734375" customWidth="1"/>
    <col min="37" max="37" width="10.44140625" customWidth="1"/>
    <col min="40" max="40" width="9.77734375" bestFit="1" customWidth="1"/>
  </cols>
  <sheetData>
    <row r="2" spans="2:40" ht="17.399999999999999">
      <c r="B2" s="32" t="str">
        <f>'Charts for slides'!B2</f>
        <v>Quarterly Market Update for the quarter ended September 30, 2023</v>
      </c>
    </row>
    <row r="3" spans="2:40" ht="13.05" customHeight="1">
      <c r="B3" s="969" t="str">
        <f>Introduction!$B$2</f>
        <v>December 2023 QMU - Sample template for illustrative purposes only</v>
      </c>
    </row>
    <row r="4" spans="2:40" ht="13.8">
      <c r="B4" s="25" t="s">
        <v>300</v>
      </c>
    </row>
    <row r="5" spans="2:40" ht="14.4">
      <c r="B5" s="254"/>
      <c r="V5" s="1661"/>
    </row>
    <row r="6" spans="2:40">
      <c r="B6" s="1476" t="s">
        <v>252</v>
      </c>
      <c r="R6" s="21"/>
      <c r="V6" s="21"/>
      <c r="Z6" s="21"/>
      <c r="AD6" s="21"/>
      <c r="AE6" s="21"/>
      <c r="AF6" s="21"/>
      <c r="AG6" s="21"/>
      <c r="AH6" s="23" t="s">
        <v>270</v>
      </c>
      <c r="AI6" s="23" t="s">
        <v>347</v>
      </c>
      <c r="AJ6" s="23" t="s">
        <v>270</v>
      </c>
    </row>
    <row r="7" spans="2:40">
      <c r="B7" s="1598" t="s">
        <v>41</v>
      </c>
      <c r="C7" s="1478" t="s">
        <v>96</v>
      </c>
      <c r="D7" s="1525" t="s">
        <v>97</v>
      </c>
      <c r="E7" s="1525" t="s">
        <v>98</v>
      </c>
      <c r="F7" s="1480" t="s">
        <v>99</v>
      </c>
      <c r="G7" s="1478" t="s">
        <v>100</v>
      </c>
      <c r="H7" s="1525" t="s">
        <v>101</v>
      </c>
      <c r="I7" s="1525" t="s">
        <v>102</v>
      </c>
      <c r="J7" s="1480" t="s">
        <v>103</v>
      </c>
      <c r="K7" s="1478" t="s">
        <v>104</v>
      </c>
      <c r="L7" s="1525" t="s">
        <v>105</v>
      </c>
      <c r="M7" s="1525" t="s">
        <v>106</v>
      </c>
      <c r="N7" s="1480" t="s">
        <v>107</v>
      </c>
      <c r="O7" s="1478" t="s">
        <v>108</v>
      </c>
      <c r="P7" s="1525" t="s">
        <v>109</v>
      </c>
      <c r="Q7" s="1525" t="s">
        <v>110</v>
      </c>
      <c r="R7" s="1480" t="s">
        <v>111</v>
      </c>
      <c r="S7" s="1478" t="s">
        <v>112</v>
      </c>
      <c r="T7" s="1525" t="s">
        <v>113</v>
      </c>
      <c r="U7" s="1525" t="s">
        <v>114</v>
      </c>
      <c r="V7" s="1480" t="s">
        <v>115</v>
      </c>
      <c r="W7" s="1478" t="s">
        <v>463</v>
      </c>
      <c r="X7" s="1525" t="s">
        <v>464</v>
      </c>
      <c r="Y7" s="1525" t="s">
        <v>465</v>
      </c>
      <c r="Z7" s="1480" t="s">
        <v>466</v>
      </c>
      <c r="AA7" s="1478" t="s">
        <v>467</v>
      </c>
      <c r="AB7" s="1525" t="s">
        <v>468</v>
      </c>
      <c r="AC7" s="1525" t="s">
        <v>469</v>
      </c>
      <c r="AD7" s="1480" t="s">
        <v>470</v>
      </c>
      <c r="AE7" s="1479" t="s">
        <v>568</v>
      </c>
      <c r="AF7" s="1479" t="s">
        <v>594</v>
      </c>
      <c r="AG7" s="1479" t="s">
        <v>595</v>
      </c>
      <c r="AH7" s="23" t="s">
        <v>251</v>
      </c>
      <c r="AI7" s="23" t="s">
        <v>348</v>
      </c>
      <c r="AJ7" s="23" t="s">
        <v>279</v>
      </c>
      <c r="AK7" s="2" t="s">
        <v>497</v>
      </c>
      <c r="AN7" s="13"/>
    </row>
    <row r="8" spans="2:40" ht="16.5" customHeight="1">
      <c r="B8" s="1439" t="s">
        <v>43</v>
      </c>
      <c r="C8" s="1599">
        <v>3697.6331722830409</v>
      </c>
      <c r="D8" s="1600">
        <v>4922.3844952695881</v>
      </c>
      <c r="E8" s="1600">
        <v>5145.8583433373351</v>
      </c>
      <c r="F8" s="1601">
        <v>7797.9058358351031</v>
      </c>
      <c r="G8" s="1602">
        <v>5603.3405954974587</v>
      </c>
      <c r="H8" s="1600">
        <v>7318.1188479766679</v>
      </c>
      <c r="I8" s="1600">
        <v>8265.5310470992226</v>
      </c>
      <c r="J8" s="1601">
        <v>12450.029240204532</v>
      </c>
      <c r="K8" s="1602">
        <v>9737.7358490566039</v>
      </c>
      <c r="L8" s="1600">
        <v>12685.771618486235</v>
      </c>
      <c r="M8" s="1600">
        <v>12517.346818769847</v>
      </c>
      <c r="N8" s="1601">
        <v>16960.677975906401</v>
      </c>
      <c r="O8" s="1602">
        <v>13851.555555555555</v>
      </c>
      <c r="P8" s="1529"/>
      <c r="Q8" s="1600"/>
      <c r="R8" s="1601"/>
      <c r="S8" s="1602"/>
      <c r="T8" s="1529"/>
      <c r="U8" s="1529"/>
      <c r="V8" s="1601"/>
      <c r="W8" s="1602"/>
      <c r="X8" s="1529"/>
      <c r="Y8" s="1600"/>
      <c r="Z8" s="1601"/>
      <c r="AA8" s="1602"/>
      <c r="AB8" s="1529"/>
      <c r="AC8" s="1600"/>
      <c r="AD8" s="1601"/>
      <c r="AE8" s="1371"/>
      <c r="AF8" s="1371"/>
      <c r="AG8" s="1371"/>
      <c r="AH8" s="1488" t="e">
        <f>AG8/AC8-1</f>
        <v>#DIV/0!</v>
      </c>
      <c r="AI8" s="1489">
        <f>AG8-AC8</f>
        <v>0</v>
      </c>
      <c r="AJ8" s="1544" t="e">
        <f>AG8/AF8-1</f>
        <v>#DIV/0!</v>
      </c>
      <c r="AK8" s="1604"/>
      <c r="AL8" s="13"/>
      <c r="AN8" s="45"/>
    </row>
    <row r="9" spans="2:40" ht="16.5" customHeight="1">
      <c r="B9" s="1439" t="s">
        <v>141</v>
      </c>
      <c r="C9" s="1599">
        <v>20257</v>
      </c>
      <c r="D9" s="1600">
        <v>21500</v>
      </c>
      <c r="E9" s="1600">
        <v>22451</v>
      </c>
      <c r="F9" s="1601">
        <v>26064</v>
      </c>
      <c r="G9" s="1602">
        <v>24750</v>
      </c>
      <c r="H9" s="1600">
        <v>26010</v>
      </c>
      <c r="I9" s="1600">
        <v>27772</v>
      </c>
      <c r="J9" s="1601">
        <v>32323</v>
      </c>
      <c r="K9" s="1602">
        <v>31146</v>
      </c>
      <c r="L9" s="1600">
        <v>32657</v>
      </c>
      <c r="M9" s="1600">
        <v>33740</v>
      </c>
      <c r="N9" s="1601">
        <v>39276</v>
      </c>
      <c r="O9" s="1602">
        <v>36339</v>
      </c>
      <c r="P9" s="1600"/>
      <c r="Q9" s="1600"/>
      <c r="R9" s="1601"/>
      <c r="S9" s="1602"/>
      <c r="T9" s="1600"/>
      <c r="U9" s="1600"/>
      <c r="V9" s="1601"/>
      <c r="W9" s="1602"/>
      <c r="X9" s="1600"/>
      <c r="Y9" s="1600"/>
      <c r="Z9" s="1601"/>
      <c r="AA9" s="1602"/>
      <c r="AB9" s="1600"/>
      <c r="AC9" s="1600"/>
      <c r="AD9" s="1601"/>
      <c r="AE9" s="1371"/>
      <c r="AF9" s="1371"/>
      <c r="AG9" s="1371"/>
      <c r="AH9" s="1488" t="e">
        <f t="shared" ref="AH9:AH23" si="0">AG9/AC9-1</f>
        <v>#DIV/0!</v>
      </c>
      <c r="AI9" s="1489">
        <f t="shared" ref="AI9:AI23" si="1">AG9-AC9</f>
        <v>0</v>
      </c>
      <c r="AJ9" s="1544" t="e">
        <f t="shared" ref="AJ9:AJ23" si="2">AG9/AF9-1</f>
        <v>#DIV/0!</v>
      </c>
      <c r="AK9" s="1604"/>
      <c r="AL9" s="13"/>
      <c r="AN9" s="45"/>
    </row>
    <row r="10" spans="2:40" ht="16.5" customHeight="1">
      <c r="B10" s="1439" t="s">
        <v>44</v>
      </c>
      <c r="C10" s="1599">
        <v>29128</v>
      </c>
      <c r="D10" s="1600">
        <v>30404</v>
      </c>
      <c r="E10" s="1600">
        <v>32714</v>
      </c>
      <c r="F10" s="1601">
        <v>43741</v>
      </c>
      <c r="G10" s="1602">
        <v>35714</v>
      </c>
      <c r="H10" s="1600">
        <v>37955</v>
      </c>
      <c r="I10" s="1600">
        <v>43744</v>
      </c>
      <c r="J10" s="1601">
        <v>60453</v>
      </c>
      <c r="K10" s="1602">
        <v>51042</v>
      </c>
      <c r="L10" s="1600">
        <v>52886</v>
      </c>
      <c r="M10" s="1600">
        <v>56576</v>
      </c>
      <c r="N10" s="1601">
        <v>72383</v>
      </c>
      <c r="O10" s="1602">
        <v>59700</v>
      </c>
      <c r="P10" s="1600"/>
      <c r="Q10" s="1600"/>
      <c r="R10" s="1601"/>
      <c r="S10" s="1602"/>
      <c r="T10" s="1600"/>
      <c r="U10" s="1600"/>
      <c r="V10" s="1601"/>
      <c r="W10" s="1602"/>
      <c r="X10" s="1600"/>
      <c r="Y10" s="1600"/>
      <c r="Z10" s="1601"/>
      <c r="AA10" s="1602"/>
      <c r="AB10" s="1600"/>
      <c r="AC10" s="1600"/>
      <c r="AD10" s="1601"/>
      <c r="AE10" s="1371"/>
      <c r="AF10" s="1371"/>
      <c r="AG10" s="1371"/>
      <c r="AH10" s="1488" t="e">
        <f t="shared" si="0"/>
        <v>#DIV/0!</v>
      </c>
      <c r="AI10" s="1489">
        <f t="shared" si="1"/>
        <v>0</v>
      </c>
      <c r="AJ10" s="1544" t="e">
        <f t="shared" si="2"/>
        <v>#DIV/0!</v>
      </c>
      <c r="AK10" s="1604"/>
      <c r="AL10" s="13"/>
      <c r="AN10" s="45"/>
    </row>
    <row r="11" spans="2:40" ht="16.5" customHeight="1">
      <c r="B11" s="1439" t="s">
        <v>45</v>
      </c>
      <c r="C11" s="1599">
        <v>50557</v>
      </c>
      <c r="D11" s="1600">
        <v>42358</v>
      </c>
      <c r="E11" s="1600">
        <v>46852</v>
      </c>
      <c r="F11" s="1601">
        <v>78351</v>
      </c>
      <c r="G11" s="1602">
        <v>52896</v>
      </c>
      <c r="H11" s="1600">
        <v>45408</v>
      </c>
      <c r="I11" s="1600">
        <v>52579</v>
      </c>
      <c r="J11" s="1601">
        <v>88293</v>
      </c>
      <c r="K11" s="1602">
        <v>61137</v>
      </c>
      <c r="L11" s="1600">
        <v>53265</v>
      </c>
      <c r="M11" s="1600">
        <v>62900</v>
      </c>
      <c r="N11" s="1601">
        <v>84310</v>
      </c>
      <c r="O11" s="1602">
        <v>58015</v>
      </c>
      <c r="P11" s="1600"/>
      <c r="Q11" s="1600"/>
      <c r="R11" s="1601"/>
      <c r="S11" s="1602"/>
      <c r="T11" s="1600"/>
      <c r="U11" s="1600"/>
      <c r="V11" s="1601"/>
      <c r="W11" s="1602"/>
      <c r="X11" s="1600"/>
      <c r="Y11" s="1600"/>
      <c r="Z11" s="1601"/>
      <c r="AA11" s="1602"/>
      <c r="AB11" s="1600"/>
      <c r="AC11" s="1600"/>
      <c r="AD11" s="1601"/>
      <c r="AE11" s="1371"/>
      <c r="AF11" s="1371"/>
      <c r="AG11" s="1371"/>
      <c r="AH11" s="1488" t="e">
        <f t="shared" si="0"/>
        <v>#DIV/0!</v>
      </c>
      <c r="AI11" s="1489">
        <f t="shared" si="1"/>
        <v>0</v>
      </c>
      <c r="AJ11" s="1544" t="e">
        <f t="shared" si="2"/>
        <v>#DIV/0!</v>
      </c>
      <c r="AK11" s="1604"/>
      <c r="AL11" s="13"/>
      <c r="AN11" s="45"/>
    </row>
    <row r="12" spans="2:40" ht="16.5" customHeight="1">
      <c r="B12" s="1439" t="s">
        <v>46</v>
      </c>
      <c r="C12" s="1599">
        <v>2418.9652009051433</v>
      </c>
      <c r="D12" s="1600">
        <v>2795.9952236612476</v>
      </c>
      <c r="E12" s="1600">
        <v>2739.045618247299</v>
      </c>
      <c r="F12" s="1601">
        <v>2667.0571867906569</v>
      </c>
      <c r="G12" s="1602">
        <v>2453.304284676834</v>
      </c>
      <c r="H12" s="1600">
        <v>3043.9664600802043</v>
      </c>
      <c r="I12" s="1600">
        <v>3522.1700730255366</v>
      </c>
      <c r="J12" s="1601">
        <v>3532.2167074030199</v>
      </c>
      <c r="K12" s="1602">
        <v>3287.2641509433961</v>
      </c>
      <c r="L12" s="1600">
        <v>4071.6122154637237</v>
      </c>
      <c r="M12" s="1600">
        <v>4146.0366929319071</v>
      </c>
      <c r="N12" s="1601">
        <v>3932.9255065295674</v>
      </c>
      <c r="O12" s="1602">
        <v>3573.7777777777778</v>
      </c>
      <c r="P12" s="1600"/>
      <c r="Q12" s="1529"/>
      <c r="R12" s="1500"/>
      <c r="S12" s="1602"/>
      <c r="T12" s="1600"/>
      <c r="U12" s="1600"/>
      <c r="V12" s="1500"/>
      <c r="W12" s="1602"/>
      <c r="X12" s="1600"/>
      <c r="Y12" s="1529"/>
      <c r="Z12" s="1500"/>
      <c r="AA12" s="1602"/>
      <c r="AB12" s="1529"/>
      <c r="AC12" s="1529"/>
      <c r="AD12" s="1500"/>
      <c r="AE12" s="1468"/>
      <c r="AF12" s="1468"/>
      <c r="AG12" s="1468"/>
      <c r="AH12" s="1488" t="e">
        <f t="shared" si="0"/>
        <v>#DIV/0!</v>
      </c>
      <c r="AI12" s="1489">
        <f t="shared" si="1"/>
        <v>0</v>
      </c>
      <c r="AJ12" s="1544" t="e">
        <f t="shared" si="2"/>
        <v>#DIV/0!</v>
      </c>
      <c r="AK12" s="1604"/>
      <c r="AL12" s="13"/>
      <c r="AN12" s="45"/>
    </row>
    <row r="13" spans="2:40" ht="16.5" customHeight="1">
      <c r="B13" s="1439" t="s">
        <v>47</v>
      </c>
      <c r="C13" s="1599">
        <v>2137</v>
      </c>
      <c r="D13" s="1600">
        <v>2230</v>
      </c>
      <c r="E13" s="1600">
        <v>2217</v>
      </c>
      <c r="F13" s="1601">
        <v>2395</v>
      </c>
      <c r="G13" s="1602">
        <v>2217</v>
      </c>
      <c r="H13" s="1600">
        <v>2328</v>
      </c>
      <c r="I13" s="1600">
        <v>2409</v>
      </c>
      <c r="J13" s="1601">
        <v>2613</v>
      </c>
      <c r="K13" s="1602">
        <v>2580</v>
      </c>
      <c r="L13" s="1600">
        <v>2640</v>
      </c>
      <c r="M13" s="1600">
        <v>2649</v>
      </c>
      <c r="N13" s="1601">
        <v>2877</v>
      </c>
      <c r="O13" s="1602">
        <v>2643</v>
      </c>
      <c r="P13" s="1600"/>
      <c r="Q13" s="1600"/>
      <c r="R13" s="1601"/>
      <c r="S13" s="1602"/>
      <c r="T13" s="1600"/>
      <c r="U13" s="1600"/>
      <c r="V13" s="1601"/>
      <c r="W13" s="1602"/>
      <c r="X13" s="1600"/>
      <c r="Y13" s="1600"/>
      <c r="Z13" s="1601"/>
      <c r="AA13" s="1602"/>
      <c r="AB13" s="1600"/>
      <c r="AC13" s="1600"/>
      <c r="AD13" s="1601"/>
      <c r="AE13" s="1371"/>
      <c r="AF13" s="1371"/>
      <c r="AG13" s="1371"/>
      <c r="AH13" s="1488" t="e">
        <f t="shared" si="0"/>
        <v>#DIV/0!</v>
      </c>
      <c r="AI13" s="1489">
        <f t="shared" si="1"/>
        <v>0</v>
      </c>
      <c r="AJ13" s="1544" t="e">
        <f t="shared" si="2"/>
        <v>#DIV/0!</v>
      </c>
      <c r="AK13" s="1604"/>
      <c r="AL13" s="13"/>
      <c r="AN13" s="45"/>
    </row>
    <row r="14" spans="2:40" ht="16.5" customHeight="1">
      <c r="B14" s="1439" t="s">
        <v>544</v>
      </c>
      <c r="C14" s="1599"/>
      <c r="D14" s="1371"/>
      <c r="E14" s="1371"/>
      <c r="F14" s="1601"/>
      <c r="G14" s="1602"/>
      <c r="H14" s="1371"/>
      <c r="I14" s="1371"/>
      <c r="J14" s="1601"/>
      <c r="K14" s="1602"/>
      <c r="L14" s="1371"/>
      <c r="M14" s="1371"/>
      <c r="N14" s="1601"/>
      <c r="O14" s="1602">
        <v>1363</v>
      </c>
      <c r="P14" s="1371"/>
      <c r="Q14" s="1371"/>
      <c r="R14" s="1601"/>
      <c r="S14" s="1602"/>
      <c r="T14" s="1371"/>
      <c r="U14" s="1371"/>
      <c r="V14" s="1601"/>
      <c r="W14" s="1602"/>
      <c r="X14" s="1371"/>
      <c r="Y14" s="1371"/>
      <c r="Z14" s="1601"/>
      <c r="AA14" s="1602"/>
      <c r="AB14" s="1371"/>
      <c r="AC14" s="1371"/>
      <c r="AD14" s="1601"/>
      <c r="AE14" s="1371"/>
      <c r="AF14" s="1371"/>
      <c r="AG14" s="1371"/>
      <c r="AH14" s="1488" t="e">
        <f t="shared" si="0"/>
        <v>#DIV/0!</v>
      </c>
      <c r="AI14" s="1489">
        <f t="shared" si="1"/>
        <v>0</v>
      </c>
      <c r="AJ14" s="1544" t="e">
        <f t="shared" si="2"/>
        <v>#DIV/0!</v>
      </c>
      <c r="AK14" s="1604"/>
      <c r="AL14" s="13"/>
      <c r="AN14" s="45"/>
    </row>
    <row r="15" spans="2:40" ht="16.5" customHeight="1">
      <c r="B15" s="1439" t="s">
        <v>515</v>
      </c>
      <c r="C15" s="1599">
        <v>5382</v>
      </c>
      <c r="D15" s="1600">
        <v>6436</v>
      </c>
      <c r="E15" s="1600">
        <v>7011</v>
      </c>
      <c r="F15" s="1601">
        <v>8809</v>
      </c>
      <c r="G15" s="1602">
        <v>8032</v>
      </c>
      <c r="H15" s="1600">
        <v>9321</v>
      </c>
      <c r="I15" s="1600">
        <v>10328</v>
      </c>
      <c r="J15" s="1601">
        <v>12972</v>
      </c>
      <c r="K15" s="1602">
        <v>11966</v>
      </c>
      <c r="L15" s="1600">
        <v>13231</v>
      </c>
      <c r="M15" s="1600">
        <v>13727</v>
      </c>
      <c r="N15" s="1601">
        <v>16914</v>
      </c>
      <c r="O15" s="1602">
        <v>15077</v>
      </c>
      <c r="P15" s="1600"/>
      <c r="Q15" s="1600"/>
      <c r="R15" s="1601"/>
      <c r="S15" s="1602"/>
      <c r="T15" s="1600"/>
      <c r="U15" s="1600"/>
      <c r="V15" s="1601"/>
      <c r="W15" s="1602"/>
      <c r="X15" s="1600"/>
      <c r="Y15" s="1600"/>
      <c r="Z15" s="1601"/>
      <c r="AA15" s="1602"/>
      <c r="AB15" s="1600"/>
      <c r="AC15" s="1600"/>
      <c r="AD15" s="1601"/>
      <c r="AE15" s="1371"/>
      <c r="AF15" s="1371"/>
      <c r="AG15" s="1371"/>
      <c r="AH15" s="1488" t="e">
        <f t="shared" si="0"/>
        <v>#DIV/0!</v>
      </c>
      <c r="AI15" s="1489">
        <f t="shared" si="1"/>
        <v>0</v>
      </c>
      <c r="AJ15" s="1544" t="e">
        <f t="shared" si="2"/>
        <v>#DIV/0!</v>
      </c>
      <c r="AK15" s="1604"/>
      <c r="AL15" s="13"/>
      <c r="AN15" s="45"/>
    </row>
    <row r="16" spans="2:40" ht="16.5" customHeight="1">
      <c r="B16" s="1439" t="s">
        <v>48</v>
      </c>
      <c r="C16" s="1599">
        <v>22076</v>
      </c>
      <c r="D16" s="1600">
        <v>20614</v>
      </c>
      <c r="E16" s="1600">
        <v>20453</v>
      </c>
      <c r="F16" s="1601">
        <v>24090</v>
      </c>
      <c r="G16" s="1602">
        <v>22090</v>
      </c>
      <c r="H16" s="1600">
        <v>23317</v>
      </c>
      <c r="I16" s="1600">
        <v>24538</v>
      </c>
      <c r="J16" s="1601">
        <v>28918</v>
      </c>
      <c r="K16" s="1602">
        <v>26819</v>
      </c>
      <c r="L16" s="1600">
        <v>30085</v>
      </c>
      <c r="M16" s="1600">
        <v>29084</v>
      </c>
      <c r="N16" s="1601">
        <v>32471</v>
      </c>
      <c r="O16" s="1602">
        <v>30571</v>
      </c>
      <c r="P16" s="1600"/>
      <c r="Q16" s="1600"/>
      <c r="R16" s="1601"/>
      <c r="S16" s="1602"/>
      <c r="T16" s="1600"/>
      <c r="U16" s="1600"/>
      <c r="V16" s="1601"/>
      <c r="W16" s="1602"/>
      <c r="X16" s="1600"/>
      <c r="Y16" s="1600"/>
      <c r="Z16" s="1601"/>
      <c r="AA16" s="1602"/>
      <c r="AB16" s="1600"/>
      <c r="AC16" s="1600"/>
      <c r="AD16" s="1601"/>
      <c r="AE16" s="1371"/>
      <c r="AF16" s="1371"/>
      <c r="AG16" s="1371"/>
      <c r="AH16" s="1488" t="e">
        <f t="shared" si="0"/>
        <v>#DIV/0!</v>
      </c>
      <c r="AI16" s="1489">
        <f t="shared" si="1"/>
        <v>0</v>
      </c>
      <c r="AJ16" s="1544" t="e">
        <f t="shared" si="2"/>
        <v>#DIV/0!</v>
      </c>
      <c r="AK16" s="1604"/>
      <c r="AL16" s="13"/>
      <c r="AN16" s="45"/>
    </row>
    <row r="17" spans="2:40" ht="16.5" customHeight="1">
      <c r="B17" s="1439" t="s">
        <v>139</v>
      </c>
      <c r="C17" s="1599">
        <v>9012</v>
      </c>
      <c r="D17" s="1600">
        <v>10594</v>
      </c>
      <c r="E17" s="1600">
        <v>8585</v>
      </c>
      <c r="F17" s="1601">
        <v>9035</v>
      </c>
      <c r="G17" s="1602">
        <v>9205</v>
      </c>
      <c r="H17" s="1600">
        <v>10892</v>
      </c>
      <c r="I17" s="1600">
        <v>9187</v>
      </c>
      <c r="J17" s="1601">
        <v>9621</v>
      </c>
      <c r="K17" s="1602">
        <v>9771</v>
      </c>
      <c r="L17" s="1600">
        <v>11251</v>
      </c>
      <c r="M17" s="1600">
        <v>9193</v>
      </c>
      <c r="N17" s="1601">
        <v>9562</v>
      </c>
      <c r="O17" s="1602">
        <v>9614</v>
      </c>
      <c r="P17" s="1600"/>
      <c r="Q17" s="1600"/>
      <c r="R17" s="1601"/>
      <c r="S17" s="1602"/>
      <c r="T17" s="1600"/>
      <c r="U17" s="1600"/>
      <c r="V17" s="1601"/>
      <c r="W17" s="1602"/>
      <c r="X17" s="1600"/>
      <c r="Y17" s="1600"/>
      <c r="Z17" s="1601"/>
      <c r="AA17" s="1602"/>
      <c r="AB17" s="1600"/>
      <c r="AC17" s="1600"/>
      <c r="AD17" s="1601"/>
      <c r="AE17" s="1371"/>
      <c r="AF17" s="1371"/>
      <c r="AG17" s="1371"/>
      <c r="AH17" s="1488" t="e">
        <f t="shared" si="0"/>
        <v>#DIV/0!</v>
      </c>
      <c r="AI17" s="1489">
        <f t="shared" si="1"/>
        <v>0</v>
      </c>
      <c r="AJ17" s="1544" t="e">
        <f t="shared" si="2"/>
        <v>#DIV/0!</v>
      </c>
      <c r="AK17" s="1604"/>
      <c r="AL17" s="13"/>
      <c r="AN17" s="45"/>
    </row>
    <row r="18" spans="2:40" ht="16.5" customHeight="1">
      <c r="B18" s="1439" t="s">
        <v>140</v>
      </c>
      <c r="C18" s="1599">
        <v>2544</v>
      </c>
      <c r="D18" s="1600">
        <v>2650</v>
      </c>
      <c r="E18" s="1600">
        <v>2667</v>
      </c>
      <c r="F18" s="1601">
        <v>2981</v>
      </c>
      <c r="G18" s="1602">
        <v>2975</v>
      </c>
      <c r="H18" s="1600">
        <v>3136</v>
      </c>
      <c r="I18" s="1600">
        <v>3239</v>
      </c>
      <c r="J18" s="1601">
        <v>3744</v>
      </c>
      <c r="K18" s="1602">
        <v>3685</v>
      </c>
      <c r="L18" s="1600">
        <v>3857</v>
      </c>
      <c r="M18" s="1600">
        <v>3683</v>
      </c>
      <c r="N18" s="1601">
        <v>4226</v>
      </c>
      <c r="O18" s="1602">
        <v>4128</v>
      </c>
      <c r="P18" s="1600"/>
      <c r="Q18" s="1600"/>
      <c r="R18" s="1601"/>
      <c r="S18" s="1602"/>
      <c r="T18" s="1600"/>
      <c r="U18" s="1600"/>
      <c r="V18" s="1601"/>
      <c r="W18" s="1602"/>
      <c r="X18" s="1600"/>
      <c r="Y18" s="1600"/>
      <c r="Z18" s="1601"/>
      <c r="AA18" s="1602"/>
      <c r="AB18" s="1600"/>
      <c r="AC18" s="1600"/>
      <c r="AD18" s="1600"/>
      <c r="AE18" s="1371"/>
      <c r="AF18" s="1371"/>
      <c r="AG18" s="1371"/>
      <c r="AH18" s="1488" t="e">
        <f t="shared" si="0"/>
        <v>#DIV/0!</v>
      </c>
      <c r="AI18" s="1489">
        <f t="shared" si="1"/>
        <v>0</v>
      </c>
      <c r="AJ18" s="1544" t="e">
        <f t="shared" si="2"/>
        <v>#DIV/0!</v>
      </c>
      <c r="AK18" s="1604"/>
      <c r="AL18" s="13"/>
      <c r="AN18" s="45"/>
    </row>
    <row r="19" spans="2:40" ht="16.5" customHeight="1">
      <c r="B19" s="1439" t="s">
        <v>49</v>
      </c>
      <c r="C19" s="1599">
        <v>4891.9026359244081</v>
      </c>
      <c r="D19" s="1600">
        <v>5463.8559750160748</v>
      </c>
      <c r="E19" s="1600">
        <v>6060.6242496998802</v>
      </c>
      <c r="F19" s="1601">
        <v>6150.6919528446952</v>
      </c>
      <c r="G19" s="1602">
        <v>7197.0951343500365</v>
      </c>
      <c r="H19" s="1600">
        <v>8254.6117389719293</v>
      </c>
      <c r="I19" s="1600">
        <v>9778.224294861222</v>
      </c>
      <c r="J19" s="1500">
        <v>10037.949229675996</v>
      </c>
      <c r="K19" s="1602">
        <v>11561.006289308176</v>
      </c>
      <c r="L19" s="1600">
        <v>11549.978052298238</v>
      </c>
      <c r="M19" s="1600">
        <v>11848.024226743502</v>
      </c>
      <c r="N19" s="1601">
        <v>12278</v>
      </c>
      <c r="O19" s="1602">
        <v>12661.481481481482</v>
      </c>
      <c r="P19" s="1529"/>
      <c r="Q19" s="1600"/>
      <c r="R19" s="1601"/>
      <c r="S19" s="1602"/>
      <c r="T19" s="1529"/>
      <c r="U19" s="1529"/>
      <c r="V19" s="1601"/>
      <c r="W19" s="1602"/>
      <c r="X19" s="1529"/>
      <c r="Y19" s="1600"/>
      <c r="Z19" s="1601"/>
      <c r="AA19" s="1602"/>
      <c r="AB19" s="1529"/>
      <c r="AC19" s="1600"/>
      <c r="AD19" s="1500"/>
      <c r="AE19" s="1468"/>
      <c r="AF19" s="1468"/>
      <c r="AG19" s="1468"/>
      <c r="AH19" s="1488" t="e">
        <f t="shared" si="0"/>
        <v>#DIV/0!</v>
      </c>
      <c r="AI19" s="1489">
        <f t="shared" si="1"/>
        <v>0</v>
      </c>
      <c r="AJ19" s="1544" t="e">
        <f t="shared" si="2"/>
        <v>#DIV/0!</v>
      </c>
      <c r="AK19" s="1604"/>
      <c r="AL19" s="13"/>
      <c r="AN19" s="45"/>
    </row>
    <row r="20" spans="2:40" ht="16.5" customHeight="1">
      <c r="B20" s="1605" t="s">
        <v>317</v>
      </c>
      <c r="C20" s="1606">
        <v>8227.0440645832059</v>
      </c>
      <c r="D20" s="1554">
        <v>9934.9277425675882</v>
      </c>
      <c r="E20" s="1554">
        <v>9029.670618247299</v>
      </c>
      <c r="F20" s="1500">
        <v>11629.366332283809</v>
      </c>
      <c r="G20" s="1606">
        <v>10924.936383442267</v>
      </c>
      <c r="H20" s="1554">
        <v>13591.246810061977</v>
      </c>
      <c r="I20" s="1554">
        <v>12557.731859826959</v>
      </c>
      <c r="J20" s="1500">
        <v>16519.216062619023</v>
      </c>
      <c r="K20" s="1606">
        <v>15743.396226415094</v>
      </c>
      <c r="L20" s="1554">
        <v>19171.474258481219</v>
      </c>
      <c r="M20" s="1554">
        <v>15401.622956603553</v>
      </c>
      <c r="N20" s="1500">
        <v>19499.472139066049</v>
      </c>
      <c r="O20" s="1606">
        <v>17937.925925925927</v>
      </c>
      <c r="P20" s="1554"/>
      <c r="Q20" s="1554"/>
      <c r="R20" s="1500"/>
      <c r="S20" s="1606"/>
      <c r="T20" s="1554"/>
      <c r="U20" s="1554"/>
      <c r="V20" s="1601"/>
      <c r="W20" s="1606"/>
      <c r="X20" s="1554"/>
      <c r="Y20" s="1554"/>
      <c r="Z20" s="1500"/>
      <c r="AA20" s="1606"/>
      <c r="AB20" s="1554"/>
      <c r="AC20" s="1554"/>
      <c r="AD20" s="1500"/>
      <c r="AE20" s="1468"/>
      <c r="AF20" s="1468"/>
      <c r="AG20" s="1468"/>
      <c r="AH20" s="1488" t="e">
        <f t="shared" si="0"/>
        <v>#DIV/0!</v>
      </c>
      <c r="AI20" s="1489">
        <f t="shared" si="1"/>
        <v>0</v>
      </c>
      <c r="AJ20" s="1544" t="e">
        <f t="shared" si="2"/>
        <v>#DIV/0!</v>
      </c>
      <c r="AK20" s="1604"/>
      <c r="AL20" s="13"/>
      <c r="AN20" s="45"/>
    </row>
    <row r="21" spans="2:40" ht="16.5" customHeight="1">
      <c r="B21" s="1607" t="s">
        <v>318</v>
      </c>
      <c r="C21" s="1606">
        <v>1210.1706317656412</v>
      </c>
      <c r="D21" s="1554">
        <v>1370.5948991151527</v>
      </c>
      <c r="E21" s="1554">
        <v>1382.3529411764707</v>
      </c>
      <c r="F21" s="1500">
        <v>1771.8386175587611</v>
      </c>
      <c r="G21" s="1606">
        <v>1981.2636165577342</v>
      </c>
      <c r="H21" s="1554">
        <v>1950.5650747356908</v>
      </c>
      <c r="I21" s="1554">
        <v>1871.0731904811889</v>
      </c>
      <c r="J21" s="1500">
        <v>2190.3162440582405</v>
      </c>
      <c r="K21" s="1606">
        <v>2124.8875562218891</v>
      </c>
      <c r="L21" s="1554">
        <v>2441.3793103448274</v>
      </c>
      <c r="M21" s="1554">
        <v>2526.9865067466267</v>
      </c>
      <c r="N21" s="1500">
        <v>2975.1124437781109</v>
      </c>
      <c r="O21" s="1606">
        <v>2752.0239880059971</v>
      </c>
      <c r="P21" s="1554"/>
      <c r="Q21" s="1554"/>
      <c r="R21" s="1500"/>
      <c r="S21" s="1606"/>
      <c r="T21" s="1554"/>
      <c r="U21" s="1554"/>
      <c r="V21" s="1601"/>
      <c r="W21" s="1606"/>
      <c r="X21" s="1554"/>
      <c r="Y21" s="1554"/>
      <c r="Z21" s="1500"/>
      <c r="AA21" s="1606"/>
      <c r="AB21" s="1554"/>
      <c r="AC21" s="1554"/>
      <c r="AD21" s="1500"/>
      <c r="AE21" s="1468"/>
      <c r="AF21" s="1468"/>
      <c r="AG21" s="1468"/>
      <c r="AH21" s="1488" t="e">
        <f t="shared" si="0"/>
        <v>#DIV/0!</v>
      </c>
      <c r="AI21" s="1489">
        <f t="shared" si="1"/>
        <v>0</v>
      </c>
      <c r="AJ21" s="1544" t="e">
        <f t="shared" si="2"/>
        <v>#DIV/0!</v>
      </c>
      <c r="AK21" s="1604"/>
      <c r="AL21" s="13"/>
      <c r="AN21" s="45"/>
    </row>
    <row r="22" spans="2:40" ht="16.5" customHeight="1">
      <c r="B22" s="1607" t="s">
        <v>319</v>
      </c>
      <c r="C22" s="1606">
        <v>1860.5895663873769</v>
      </c>
      <c r="D22" s="1554">
        <v>2057.4538440341694</v>
      </c>
      <c r="E22" s="1554">
        <v>1801.0204081632653</v>
      </c>
      <c r="F22" s="1500">
        <v>2709.5262502745845</v>
      </c>
      <c r="G22" s="1606">
        <v>2317.0660856935369</v>
      </c>
      <c r="H22" s="1554">
        <v>2554.4294567991251</v>
      </c>
      <c r="I22" s="1554">
        <v>2296.1807794388878</v>
      </c>
      <c r="J22" s="1500">
        <v>3521.8701734918805</v>
      </c>
      <c r="K22" s="1606">
        <v>3124.3710691823899</v>
      </c>
      <c r="L22" s="1554">
        <v>3251.0817081582741</v>
      </c>
      <c r="M22" s="1554">
        <v>2621.2807244501942</v>
      </c>
      <c r="N22" s="1500">
        <v>3772.108695966564</v>
      </c>
      <c r="O22" s="1606">
        <v>3158.3703703703704</v>
      </c>
      <c r="P22" s="1554"/>
      <c r="Q22" s="1554"/>
      <c r="R22" s="1500"/>
      <c r="S22" s="1606"/>
      <c r="T22" s="1554"/>
      <c r="U22" s="1554"/>
      <c r="V22" s="1601"/>
      <c r="W22" s="1606"/>
      <c r="X22" s="1554"/>
      <c r="Y22" s="1554"/>
      <c r="Z22" s="1500"/>
      <c r="AA22" s="1606"/>
      <c r="AB22" s="1554"/>
      <c r="AC22" s="1554"/>
      <c r="AD22" s="1500"/>
      <c r="AE22" s="1468"/>
      <c r="AF22" s="1468"/>
      <c r="AG22" s="1468"/>
      <c r="AH22" s="1696" t="e">
        <f t="shared" si="0"/>
        <v>#DIV/0!</v>
      </c>
      <c r="AI22" s="1848">
        <f t="shared" si="1"/>
        <v>0</v>
      </c>
      <c r="AJ22" s="1849" t="e">
        <f t="shared" si="2"/>
        <v>#DIV/0!</v>
      </c>
      <c r="AK22" s="1632"/>
      <c r="AL22" s="13"/>
      <c r="AN22" s="45"/>
    </row>
    <row r="23" spans="2:40" ht="16.5" customHeight="1">
      <c r="B23" s="1608" t="s">
        <v>14</v>
      </c>
      <c r="C23" s="1613">
        <f t="shared" ref="C23:AD23" si="3">SUM(C8:C22)</f>
        <v>163399.3052718488</v>
      </c>
      <c r="D23" s="1614">
        <f t="shared" si="3"/>
        <v>163331.21217966382</v>
      </c>
      <c r="E23" s="1614">
        <f t="shared" si="3"/>
        <v>169108.57217887155</v>
      </c>
      <c r="F23" s="1615">
        <f t="shared" si="3"/>
        <v>228192.3861755876</v>
      </c>
      <c r="G23" s="1613">
        <f t="shared" si="3"/>
        <v>188356.00610021787</v>
      </c>
      <c r="H23" s="1614">
        <f t="shared" si="3"/>
        <v>195079.9383886256</v>
      </c>
      <c r="I23" s="1614">
        <f t="shared" si="3"/>
        <v>212086.91124473303</v>
      </c>
      <c r="J23" s="1615">
        <f t="shared" si="3"/>
        <v>287188.59765745269</v>
      </c>
      <c r="K23" s="1613">
        <f t="shared" si="3"/>
        <v>243724.66114112752</v>
      </c>
      <c r="L23" s="1614">
        <f t="shared" si="3"/>
        <v>253043.29716323252</v>
      </c>
      <c r="M23" s="1614">
        <f t="shared" si="3"/>
        <v>260613.29792624561</v>
      </c>
      <c r="N23" s="1615">
        <f t="shared" si="3"/>
        <v>321437.29676124663</v>
      </c>
      <c r="O23" s="1613">
        <f t="shared" si="3"/>
        <v>271385.13509911718</v>
      </c>
      <c r="P23" s="1614">
        <f t="shared" si="3"/>
        <v>0</v>
      </c>
      <c r="Q23" s="1614">
        <f t="shared" si="3"/>
        <v>0</v>
      </c>
      <c r="R23" s="1615">
        <f t="shared" si="3"/>
        <v>0</v>
      </c>
      <c r="S23" s="1613">
        <f t="shared" si="3"/>
        <v>0</v>
      </c>
      <c r="T23" s="1614">
        <f t="shared" si="3"/>
        <v>0</v>
      </c>
      <c r="U23" s="1614">
        <f t="shared" si="3"/>
        <v>0</v>
      </c>
      <c r="V23" s="1615">
        <f t="shared" si="3"/>
        <v>0</v>
      </c>
      <c r="W23" s="1613">
        <f t="shared" si="3"/>
        <v>0</v>
      </c>
      <c r="X23" s="1614">
        <f t="shared" si="3"/>
        <v>0</v>
      </c>
      <c r="Y23" s="1614">
        <f t="shared" si="3"/>
        <v>0</v>
      </c>
      <c r="Z23" s="1615">
        <f t="shared" si="3"/>
        <v>0</v>
      </c>
      <c r="AA23" s="1613">
        <f t="shared" si="3"/>
        <v>0</v>
      </c>
      <c r="AB23" s="1614">
        <f t="shared" si="3"/>
        <v>0</v>
      </c>
      <c r="AC23" s="1614">
        <f t="shared" si="3"/>
        <v>0</v>
      </c>
      <c r="AD23" s="1615">
        <f t="shared" si="3"/>
        <v>0</v>
      </c>
      <c r="AE23" s="1702">
        <f t="shared" ref="AE23:AF23" si="4">SUM(AE8:AE22)</f>
        <v>0</v>
      </c>
      <c r="AF23" s="1702">
        <f t="shared" si="4"/>
        <v>0</v>
      </c>
      <c r="AG23" s="1702">
        <f t="shared" ref="AG23" si="5">SUM(AG8:AG22)</f>
        <v>0</v>
      </c>
      <c r="AH23" s="2054" t="e">
        <f t="shared" si="0"/>
        <v>#DIV/0!</v>
      </c>
      <c r="AI23" s="1489">
        <f t="shared" si="1"/>
        <v>0</v>
      </c>
      <c r="AJ23" s="2053" t="e">
        <f t="shared" si="2"/>
        <v>#DIV/0!</v>
      </c>
      <c r="AK23" s="1604"/>
      <c r="AL23" s="13"/>
    </row>
    <row r="24" spans="2:40" ht="13.2" customHeight="1">
      <c r="B24" s="2" t="s">
        <v>550</v>
      </c>
      <c r="C24" s="1616">
        <v>6.6412667642799628E-2</v>
      </c>
      <c r="D24" s="1616">
        <v>7.9657102976388616E-2</v>
      </c>
      <c r="E24" s="1616">
        <v>9.9820064974516232E-2</v>
      </c>
      <c r="F24" s="1616">
        <v>0.12557069381315999</v>
      </c>
      <c r="G24" s="1616">
        <f t="shared" ref="G24:O24" si="6">G23/C23-1</f>
        <v>0.15273443658067198</v>
      </c>
      <c r="H24" s="1616">
        <f t="shared" si="6"/>
        <v>0.19438248075963749</v>
      </c>
      <c r="I24" s="1616">
        <f t="shared" si="6"/>
        <v>0.2541464250576364</v>
      </c>
      <c r="J24" s="1616">
        <f t="shared" si="6"/>
        <v>0.25853716011571559</v>
      </c>
      <c r="K24" s="1616">
        <f t="shared" si="6"/>
        <v>0.29395747015069884</v>
      </c>
      <c r="L24" s="1616">
        <f>L23/H23-1</f>
        <v>0.29712618967069848</v>
      </c>
      <c r="M24" s="1616">
        <f t="shared" si="6"/>
        <v>0.22880425009121197</v>
      </c>
      <c r="N24" s="1616">
        <f t="shared" si="6"/>
        <v>0.11925507970425908</v>
      </c>
      <c r="O24" s="1616">
        <f t="shared" si="6"/>
        <v>0.11349066536181573</v>
      </c>
      <c r="P24" s="1616">
        <f t="shared" ref="P24:AC24" si="7">P23/L23-1</f>
        <v>-1</v>
      </c>
      <c r="Q24" s="1616">
        <f t="shared" si="7"/>
        <v>-1</v>
      </c>
      <c r="R24" s="1616">
        <f t="shared" si="7"/>
        <v>-1</v>
      </c>
      <c r="S24" s="1616">
        <f t="shared" si="7"/>
        <v>-1</v>
      </c>
      <c r="T24" s="1616" t="e">
        <f t="shared" si="7"/>
        <v>#DIV/0!</v>
      </c>
      <c r="U24" s="1616" t="e">
        <f t="shared" si="7"/>
        <v>#DIV/0!</v>
      </c>
      <c r="V24" s="1616" t="e">
        <f t="shared" si="7"/>
        <v>#DIV/0!</v>
      </c>
      <c r="W24" s="1616" t="e">
        <f t="shared" si="7"/>
        <v>#DIV/0!</v>
      </c>
      <c r="X24" s="1616" t="e">
        <f t="shared" si="7"/>
        <v>#DIV/0!</v>
      </c>
      <c r="Y24" s="1616" t="e">
        <f t="shared" si="7"/>
        <v>#DIV/0!</v>
      </c>
      <c r="Z24" s="1616" t="e">
        <f t="shared" si="7"/>
        <v>#DIV/0!</v>
      </c>
      <c r="AA24" s="1616" t="e">
        <f t="shared" si="7"/>
        <v>#DIV/0!</v>
      </c>
      <c r="AB24" s="1616" t="e">
        <f t="shared" si="7"/>
        <v>#DIV/0!</v>
      </c>
      <c r="AC24" s="1616" t="e">
        <f t="shared" si="7"/>
        <v>#DIV/0!</v>
      </c>
      <c r="AD24" s="1629" t="e">
        <f>AD23/Z23-1</f>
        <v>#DIV/0!</v>
      </c>
      <c r="AE24" s="1629" t="e">
        <f>AE23/AA23-1</f>
        <v>#DIV/0!</v>
      </c>
      <c r="AF24" s="1629" t="e">
        <f>AF23/AB23-1</f>
        <v>#DIV/0!</v>
      </c>
      <c r="AG24" s="1629" t="e">
        <f>AG23/AC23-1</f>
        <v>#DIV/0!</v>
      </c>
    </row>
    <row r="25" spans="2:40">
      <c r="B25" s="3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1603"/>
    </row>
    <row r="26" spans="2:40" ht="13.8">
      <c r="B26" s="254"/>
      <c r="C26" s="45"/>
      <c r="D26" s="45"/>
      <c r="E26" s="45"/>
      <c r="F26" s="45"/>
      <c r="G26" s="45"/>
      <c r="H26" s="45"/>
      <c r="I26" s="45"/>
      <c r="J26" s="45"/>
      <c r="K26" s="45"/>
      <c r="L26" s="45"/>
      <c r="M26" s="45"/>
      <c r="N26" s="45"/>
      <c r="O26" s="45"/>
      <c r="P26" s="45"/>
      <c r="Q26" s="45"/>
      <c r="R26" s="45"/>
      <c r="S26" s="45"/>
      <c r="T26" s="45"/>
      <c r="U26" s="45"/>
      <c r="V26" s="45"/>
      <c r="W26" s="45"/>
      <c r="X26" s="219"/>
      <c r="Y26" s="45"/>
      <c r="Z26" s="45"/>
      <c r="AA26" s="45"/>
      <c r="AB26" s="219"/>
      <c r="AC26" s="45"/>
      <c r="AD26" s="45"/>
      <c r="AE26" s="45"/>
      <c r="AF26" s="45"/>
      <c r="AG26" s="45"/>
      <c r="AH26" s="45"/>
    </row>
    <row r="27" spans="2:40">
      <c r="B27" s="1476" t="s">
        <v>254</v>
      </c>
      <c r="AH27" s="23" t="s">
        <v>270</v>
      </c>
      <c r="AI27" s="23" t="s">
        <v>347</v>
      </c>
      <c r="AJ27" s="23" t="s">
        <v>270</v>
      </c>
    </row>
    <row r="28" spans="2:40">
      <c r="B28" s="1609" t="s">
        <v>41</v>
      </c>
      <c r="C28" s="1478" t="s">
        <v>96</v>
      </c>
      <c r="D28" s="1525" t="s">
        <v>97</v>
      </c>
      <c r="E28" s="1525" t="s">
        <v>98</v>
      </c>
      <c r="F28" s="1480" t="s">
        <v>99</v>
      </c>
      <c r="G28" s="1478" t="s">
        <v>100</v>
      </c>
      <c r="H28" s="1525" t="s">
        <v>101</v>
      </c>
      <c r="I28" s="1525" t="s">
        <v>102</v>
      </c>
      <c r="J28" s="1480" t="s">
        <v>103</v>
      </c>
      <c r="K28" s="1478" t="str">
        <f t="shared" ref="K28:AD28" si="8">K7</f>
        <v>1Q 18</v>
      </c>
      <c r="L28" s="1525" t="str">
        <f t="shared" si="8"/>
        <v>2Q 18</v>
      </c>
      <c r="M28" s="1525" t="str">
        <f t="shared" si="8"/>
        <v>3Q 18</v>
      </c>
      <c r="N28" s="1480" t="str">
        <f t="shared" si="8"/>
        <v>4Q 18</v>
      </c>
      <c r="O28" s="1478" t="str">
        <f t="shared" si="8"/>
        <v>1Q 19</v>
      </c>
      <c r="P28" s="1525" t="str">
        <f t="shared" si="8"/>
        <v>2Q 19</v>
      </c>
      <c r="Q28" s="1525" t="str">
        <f t="shared" si="8"/>
        <v>3Q 19</v>
      </c>
      <c r="R28" s="1480" t="str">
        <f t="shared" si="8"/>
        <v>4Q 19</v>
      </c>
      <c r="S28" s="1478" t="str">
        <f t="shared" si="8"/>
        <v>1Q 20</v>
      </c>
      <c r="T28" s="1525" t="str">
        <f t="shared" si="8"/>
        <v>2Q 20</v>
      </c>
      <c r="U28" s="1525" t="str">
        <f t="shared" si="8"/>
        <v>3Q 20</v>
      </c>
      <c r="V28" s="1480" t="str">
        <f t="shared" si="8"/>
        <v>4Q 20</v>
      </c>
      <c r="W28" s="1478" t="str">
        <f t="shared" si="8"/>
        <v>1Q 21</v>
      </c>
      <c r="X28" s="1525" t="str">
        <f t="shared" si="8"/>
        <v>2Q 21</v>
      </c>
      <c r="Y28" s="1525" t="str">
        <f t="shared" si="8"/>
        <v>3Q 21</v>
      </c>
      <c r="Z28" s="1480" t="str">
        <f t="shared" si="8"/>
        <v>4Q 21</v>
      </c>
      <c r="AA28" s="1478" t="str">
        <f t="shared" si="8"/>
        <v>1Q 22</v>
      </c>
      <c r="AB28" s="1525" t="str">
        <f t="shared" si="8"/>
        <v>2Q 22</v>
      </c>
      <c r="AC28" s="1525" t="str">
        <f t="shared" si="8"/>
        <v>3Q 22</v>
      </c>
      <c r="AD28" s="1480" t="str">
        <f t="shared" si="8"/>
        <v>4Q 22</v>
      </c>
      <c r="AE28" s="1939" t="str">
        <f t="shared" ref="AE28:AF28" si="9">AE7</f>
        <v>1Q 23</v>
      </c>
      <c r="AF28" s="1479" t="str">
        <f t="shared" si="9"/>
        <v>2Q 23</v>
      </c>
      <c r="AG28" s="1944" t="str">
        <f t="shared" ref="AG28" si="10">AG7</f>
        <v>3Q 23</v>
      </c>
      <c r="AH28" s="23" t="s">
        <v>251</v>
      </c>
      <c r="AI28" s="23" t="s">
        <v>348</v>
      </c>
      <c r="AJ28" s="23" t="s">
        <v>279</v>
      </c>
      <c r="AK28" s="2" t="s">
        <v>497</v>
      </c>
    </row>
    <row r="29" spans="2:40" ht="16.5" customHeight="1">
      <c r="B29" s="1610" t="str">
        <f t="shared" ref="B29:B34" si="11">B8</f>
        <v>Alibaba</v>
      </c>
      <c r="C29" s="1602">
        <v>150.60240963855421</v>
      </c>
      <c r="D29" s="1600">
        <v>498.91307675821321</v>
      </c>
      <c r="E29" s="1600">
        <v>537.06482593037219</v>
      </c>
      <c r="F29" s="1601">
        <v>1069.1952844695029</v>
      </c>
      <c r="G29" s="1602">
        <v>494.84386347131448</v>
      </c>
      <c r="H29" s="1600">
        <v>523.36857455340873</v>
      </c>
      <c r="I29" s="1600">
        <v>794.90254872563719</v>
      </c>
      <c r="J29" s="1601">
        <v>1576.7019667170953</v>
      </c>
      <c r="K29" s="1602">
        <v>883.01886792452831</v>
      </c>
      <c r="L29" s="1600">
        <v>1529.9115821157584</v>
      </c>
      <c r="M29" s="1600">
        <v>1159.8847465600377</v>
      </c>
      <c r="N29" s="1601">
        <v>939.59246243510211</v>
      </c>
      <c r="O29" s="1602">
        <v>844.44444444444446</v>
      </c>
      <c r="P29" s="1600"/>
      <c r="Q29" s="1600"/>
      <c r="R29" s="1601"/>
      <c r="S29" s="1602"/>
      <c r="T29" s="1600"/>
      <c r="U29" s="1600"/>
      <c r="V29" s="1601"/>
      <c r="W29" s="1602"/>
      <c r="X29" s="1600"/>
      <c r="Y29" s="1600"/>
      <c r="Z29" s="1601"/>
      <c r="AA29" s="1602"/>
      <c r="AB29" s="1600"/>
      <c r="AC29" s="1600"/>
      <c r="AD29" s="1601"/>
      <c r="AE29" s="1949"/>
      <c r="AF29" s="1371"/>
      <c r="AG29" s="1952"/>
      <c r="AH29" s="1488" t="e">
        <f>AG29/AC29-1</f>
        <v>#DIV/0!</v>
      </c>
      <c r="AI29" s="1489">
        <f>AG29-AC29</f>
        <v>0</v>
      </c>
      <c r="AJ29" s="1544" t="e">
        <f>AG29/AF29-1</f>
        <v>#DIV/0!</v>
      </c>
      <c r="AK29" s="1604"/>
      <c r="AL29" s="13"/>
      <c r="AM29" s="15"/>
      <c r="AN29" s="45"/>
    </row>
    <row r="30" spans="2:40" ht="16.5" customHeight="1">
      <c r="B30" s="1610" t="str">
        <f t="shared" si="11"/>
        <v>Alphabet</v>
      </c>
      <c r="C30" s="1602">
        <v>2036</v>
      </c>
      <c r="D30" s="1600">
        <v>2123</v>
      </c>
      <c r="E30" s="1600">
        <v>2554</v>
      </c>
      <c r="F30" s="1601">
        <v>3078</v>
      </c>
      <c r="G30" s="1602">
        <v>2406</v>
      </c>
      <c r="H30" s="1600">
        <v>2835</v>
      </c>
      <c r="I30" s="1600">
        <v>3538</v>
      </c>
      <c r="J30" s="1601">
        <v>4307</v>
      </c>
      <c r="K30" s="1602">
        <v>7299</v>
      </c>
      <c r="L30" s="1600">
        <v>5299</v>
      </c>
      <c r="M30" s="1600">
        <v>5282</v>
      </c>
      <c r="N30" s="1601">
        <v>7081</v>
      </c>
      <c r="O30" s="1602">
        <v>4638</v>
      </c>
      <c r="P30" s="1600"/>
      <c r="Q30" s="1600"/>
      <c r="R30" s="1601"/>
      <c r="S30" s="1602"/>
      <c r="T30" s="1600"/>
      <c r="U30" s="1600"/>
      <c r="V30" s="1601"/>
      <c r="W30" s="1602"/>
      <c r="X30" s="1600"/>
      <c r="Y30" s="1600"/>
      <c r="Z30" s="1601"/>
      <c r="AA30" s="1602"/>
      <c r="AB30" s="1600"/>
      <c r="AC30" s="1600"/>
      <c r="AD30" s="1601"/>
      <c r="AE30" s="1949"/>
      <c r="AF30" s="1371"/>
      <c r="AG30" s="1952"/>
      <c r="AH30" s="1488" t="e">
        <f>AG30/AC30-1</f>
        <v>#DIV/0!</v>
      </c>
      <c r="AI30" s="1489">
        <f t="shared" ref="AI30:AI44" si="12">AG30-AC30</f>
        <v>0</v>
      </c>
      <c r="AJ30" s="1544" t="e">
        <f>AG30/AF30-1</f>
        <v>#DIV/0!</v>
      </c>
      <c r="AK30" s="1604"/>
      <c r="AL30" s="13"/>
      <c r="AN30" s="45"/>
    </row>
    <row r="31" spans="2:40" ht="16.5" customHeight="1">
      <c r="B31" s="1610" t="str">
        <f t="shared" si="11"/>
        <v>Amazon</v>
      </c>
      <c r="C31" s="1602">
        <v>1179</v>
      </c>
      <c r="D31" s="1600">
        <v>1711</v>
      </c>
      <c r="E31" s="1600">
        <v>1841</v>
      </c>
      <c r="F31" s="1601">
        <v>2005</v>
      </c>
      <c r="G31" s="1602">
        <v>1861</v>
      </c>
      <c r="H31" s="1600">
        <v>2501</v>
      </c>
      <c r="I31" s="1600">
        <v>2659</v>
      </c>
      <c r="J31" s="1601">
        <v>3619</v>
      </c>
      <c r="K31" s="1602">
        <v>3098</v>
      </c>
      <c r="L31" s="1600">
        <v>3243</v>
      </c>
      <c r="M31" s="1600">
        <v>3352</v>
      </c>
      <c r="N31" s="1601">
        <v>3733</v>
      </c>
      <c r="O31" s="1602">
        <v>3290</v>
      </c>
      <c r="P31" s="1600"/>
      <c r="Q31" s="1600"/>
      <c r="R31" s="1601"/>
      <c r="S31" s="1602"/>
      <c r="T31" s="1600"/>
      <c r="U31" s="1600"/>
      <c r="V31" s="1601"/>
      <c r="W31" s="1602"/>
      <c r="X31" s="1600"/>
      <c r="Y31" s="1600"/>
      <c r="Z31" s="1601"/>
      <c r="AA31" s="1602"/>
      <c r="AB31" s="1600"/>
      <c r="AC31" s="1600"/>
      <c r="AD31" s="1601"/>
      <c r="AE31" s="1949"/>
      <c r="AF31" s="1371"/>
      <c r="AG31" s="1952"/>
      <c r="AH31" s="1488" t="e">
        <f t="shared" ref="AH31:AH44" si="13">AG31/AC31-1</f>
        <v>#DIV/0!</v>
      </c>
      <c r="AI31" s="1489">
        <f t="shared" si="12"/>
        <v>0</v>
      </c>
      <c r="AJ31" s="1544" t="e">
        <f t="shared" ref="AJ31:AJ44" si="14">AG31/AF31-1</f>
        <v>#DIV/0!</v>
      </c>
      <c r="AK31" s="1604"/>
      <c r="AL31" s="13"/>
      <c r="AN31" s="45"/>
    </row>
    <row r="32" spans="2:40" ht="16.5" customHeight="1">
      <c r="B32" s="1610" t="str">
        <f t="shared" si="11"/>
        <v>Apple</v>
      </c>
      <c r="C32" s="1602">
        <v>2336</v>
      </c>
      <c r="D32" s="1600">
        <v>2809</v>
      </c>
      <c r="E32" s="1600">
        <v>3977</v>
      </c>
      <c r="F32" s="1601">
        <v>3334</v>
      </c>
      <c r="G32" s="1602">
        <v>2975</v>
      </c>
      <c r="H32" s="1600">
        <v>3287</v>
      </c>
      <c r="I32" s="1600">
        <v>2855</v>
      </c>
      <c r="J32" s="1601">
        <v>2810</v>
      </c>
      <c r="K32" s="1602">
        <v>4195</v>
      </c>
      <c r="L32" s="1600">
        <v>3267</v>
      </c>
      <c r="M32" s="1600">
        <v>3041</v>
      </c>
      <c r="N32" s="1601">
        <v>3355</v>
      </c>
      <c r="O32" s="1602">
        <v>2363</v>
      </c>
      <c r="P32" s="1600"/>
      <c r="Q32" s="1600"/>
      <c r="R32" s="1601"/>
      <c r="S32" s="1602"/>
      <c r="T32" s="1600"/>
      <c r="U32" s="1600"/>
      <c r="V32" s="1601"/>
      <c r="W32" s="1602"/>
      <c r="X32" s="1600"/>
      <c r="Y32" s="1600"/>
      <c r="Z32" s="1601"/>
      <c r="AA32" s="1602"/>
      <c r="AB32" s="1600"/>
      <c r="AC32" s="1600"/>
      <c r="AD32" s="1601"/>
      <c r="AE32" s="1949"/>
      <c r="AF32" s="1371"/>
      <c r="AG32" s="1952"/>
      <c r="AH32" s="1488" t="e">
        <f t="shared" si="13"/>
        <v>#DIV/0!</v>
      </c>
      <c r="AI32" s="1489">
        <f t="shared" si="12"/>
        <v>0</v>
      </c>
      <c r="AJ32" s="1544" t="e">
        <f t="shared" si="14"/>
        <v>#DIV/0!</v>
      </c>
      <c r="AK32" s="1604"/>
      <c r="AL32" s="13"/>
      <c r="AN32" s="45"/>
    </row>
    <row r="33" spans="2:41" ht="16.5" customHeight="1">
      <c r="B33" s="1610" t="str">
        <f t="shared" si="11"/>
        <v>Baidu</v>
      </c>
      <c r="C33" s="1602">
        <v>126.23081157115773</v>
      </c>
      <c r="D33" s="1600">
        <v>149.96478981047733</v>
      </c>
      <c r="E33" s="1600">
        <v>177.52100840336135</v>
      </c>
      <c r="F33" s="1601">
        <v>176.02694588855533</v>
      </c>
      <c r="G33" s="1602">
        <v>169.64415395787947</v>
      </c>
      <c r="H33" s="1600">
        <v>164.05395552314982</v>
      </c>
      <c r="I33" s="1600">
        <v>194.48484757606204</v>
      </c>
      <c r="J33" s="1601">
        <v>178.14032299179775</v>
      </c>
      <c r="K33" s="1602">
        <v>314.46540880503142</v>
      </c>
      <c r="L33" s="1600">
        <v>227</v>
      </c>
      <c r="M33" s="1600">
        <v>326.20839703634016</v>
      </c>
      <c r="N33" s="1601">
        <v>445.13861772745025</v>
      </c>
      <c r="O33" s="1602">
        <v>440.44444444444446</v>
      </c>
      <c r="P33" s="1600"/>
      <c r="Q33" s="1600"/>
      <c r="R33" s="1500"/>
      <c r="S33" s="1602"/>
      <c r="T33" s="1600"/>
      <c r="U33" s="1600"/>
      <c r="V33" s="1601"/>
      <c r="W33" s="1602"/>
      <c r="X33" s="1600"/>
      <c r="Y33" s="1600"/>
      <c r="Z33" s="1500"/>
      <c r="AA33" s="1602"/>
      <c r="AB33" s="1529"/>
      <c r="AC33" s="1600"/>
      <c r="AD33" s="1601"/>
      <c r="AE33" s="1949"/>
      <c r="AF33" s="1371"/>
      <c r="AG33" s="1952"/>
      <c r="AH33" s="1488" t="e">
        <f t="shared" si="13"/>
        <v>#DIV/0!</v>
      </c>
      <c r="AI33" s="1489">
        <f t="shared" si="12"/>
        <v>0</v>
      </c>
      <c r="AJ33" s="1544" t="e">
        <f t="shared" si="14"/>
        <v>#DIV/0!</v>
      </c>
      <c r="AK33" s="1604"/>
      <c r="AL33" s="13"/>
      <c r="AN33" s="45"/>
    </row>
    <row r="34" spans="2:41" ht="16.5" customHeight="1">
      <c r="B34" s="1610" t="str">
        <f t="shared" si="11"/>
        <v>eBay</v>
      </c>
      <c r="C34" s="1602">
        <v>158</v>
      </c>
      <c r="D34" s="1600">
        <v>147</v>
      </c>
      <c r="E34" s="1600">
        <v>185</v>
      </c>
      <c r="F34" s="1601">
        <v>136</v>
      </c>
      <c r="G34" s="1602">
        <v>135</v>
      </c>
      <c r="H34" s="1600">
        <v>182</v>
      </c>
      <c r="I34" s="1600">
        <v>157</v>
      </c>
      <c r="J34" s="1601">
        <v>192</v>
      </c>
      <c r="K34" s="1602">
        <v>158</v>
      </c>
      <c r="L34" s="1600">
        <v>184</v>
      </c>
      <c r="M34" s="1600">
        <v>179</v>
      </c>
      <c r="N34" s="1601">
        <v>130</v>
      </c>
      <c r="O34" s="1602">
        <v>182</v>
      </c>
      <c r="P34" s="1600"/>
      <c r="Q34" s="1600"/>
      <c r="R34" s="1601"/>
      <c r="S34" s="1602"/>
      <c r="T34" s="1600"/>
      <c r="U34" s="1600"/>
      <c r="V34" s="1601"/>
      <c r="W34" s="1602"/>
      <c r="X34" s="1600"/>
      <c r="Y34" s="1600"/>
      <c r="Z34" s="1601"/>
      <c r="AA34" s="1602"/>
      <c r="AB34" s="1600"/>
      <c r="AC34" s="1600"/>
      <c r="AD34" s="1601"/>
      <c r="AE34" s="1949"/>
      <c r="AF34" s="1371"/>
      <c r="AG34" s="1952"/>
      <c r="AH34" s="1488" t="e">
        <f t="shared" si="13"/>
        <v>#DIV/0!</v>
      </c>
      <c r="AI34" s="1489">
        <f t="shared" si="12"/>
        <v>0</v>
      </c>
      <c r="AJ34" s="1544" t="e">
        <f t="shared" si="14"/>
        <v>#DIV/0!</v>
      </c>
      <c r="AK34" s="1604"/>
      <c r="AL34" s="13"/>
      <c r="AM34" s="15"/>
      <c r="AN34" s="45"/>
    </row>
    <row r="35" spans="2:41" ht="16.5" customHeight="1">
      <c r="B35" s="1439" t="s">
        <v>544</v>
      </c>
      <c r="C35" s="1602"/>
      <c r="D35" s="1371"/>
      <c r="E35" s="1371"/>
      <c r="F35" s="1601"/>
      <c r="G35" s="1602"/>
      <c r="H35" s="1371"/>
      <c r="I35" s="1371"/>
      <c r="J35" s="1601"/>
      <c r="K35" s="1602"/>
      <c r="L35" s="1371"/>
      <c r="M35" s="1371"/>
      <c r="N35" s="1601"/>
      <c r="O35" s="1602">
        <v>364</v>
      </c>
      <c r="P35" s="1371"/>
      <c r="Q35" s="1371"/>
      <c r="R35" s="1601"/>
      <c r="S35" s="1602"/>
      <c r="T35" s="1371"/>
      <c r="U35" s="1371"/>
      <c r="V35" s="1601"/>
      <c r="W35" s="1602"/>
      <c r="X35" s="1371"/>
      <c r="Y35" s="1371"/>
      <c r="Z35" s="1601"/>
      <c r="AA35" s="1602"/>
      <c r="AB35" s="1371"/>
      <c r="AC35" s="1371"/>
      <c r="AD35" s="1601"/>
      <c r="AE35" s="1949"/>
      <c r="AF35" s="1371"/>
      <c r="AG35" s="1952"/>
      <c r="AH35" s="1488" t="e">
        <f t="shared" si="13"/>
        <v>#DIV/0!</v>
      </c>
      <c r="AI35" s="1489">
        <f t="shared" si="12"/>
        <v>0</v>
      </c>
      <c r="AJ35" s="1544" t="e">
        <f t="shared" si="14"/>
        <v>#DIV/0!</v>
      </c>
      <c r="AK35" s="1604"/>
      <c r="AL35" s="13"/>
      <c r="AM35" s="15"/>
      <c r="AN35" s="45"/>
    </row>
    <row r="36" spans="2:41" ht="16.5" customHeight="1">
      <c r="B36" s="1610" t="str">
        <f t="shared" ref="B36:B43" si="15">B15</f>
        <v>Meta</v>
      </c>
      <c r="C36" s="1602">
        <v>1132</v>
      </c>
      <c r="D36" s="1600">
        <v>995</v>
      </c>
      <c r="E36" s="1600">
        <v>1095</v>
      </c>
      <c r="F36" s="1601">
        <v>1269</v>
      </c>
      <c r="G36" s="1602">
        <v>1271</v>
      </c>
      <c r="H36" s="1600">
        <v>1444</v>
      </c>
      <c r="I36" s="1600">
        <v>1760</v>
      </c>
      <c r="J36" s="1601">
        <v>2262</v>
      </c>
      <c r="K36" s="1602">
        <v>2812</v>
      </c>
      <c r="L36" s="1600">
        <v>3459</v>
      </c>
      <c r="M36" s="1600">
        <v>3343</v>
      </c>
      <c r="N36" s="1601">
        <v>4370</v>
      </c>
      <c r="O36" s="1602">
        <v>3960</v>
      </c>
      <c r="P36" s="1600"/>
      <c r="Q36" s="1600"/>
      <c r="R36" s="1601"/>
      <c r="S36" s="1602"/>
      <c r="T36" s="1600"/>
      <c r="U36" s="1600"/>
      <c r="V36" s="1601"/>
      <c r="W36" s="1602"/>
      <c r="X36" s="1600"/>
      <c r="Y36" s="1600"/>
      <c r="Z36" s="1601"/>
      <c r="AA36" s="1602"/>
      <c r="AB36" s="1600"/>
      <c r="AC36" s="1600"/>
      <c r="AD36" s="1601"/>
      <c r="AE36" s="1949"/>
      <c r="AF36" s="1371"/>
      <c r="AG36" s="1952"/>
      <c r="AH36" s="1488" t="e">
        <f t="shared" si="13"/>
        <v>#DIV/0!</v>
      </c>
      <c r="AI36" s="1489">
        <f t="shared" si="12"/>
        <v>0</v>
      </c>
      <c r="AJ36" s="1544" t="e">
        <f t="shared" si="14"/>
        <v>#DIV/0!</v>
      </c>
      <c r="AK36" s="1604"/>
      <c r="AL36" s="13"/>
      <c r="AM36" s="15"/>
      <c r="AN36" s="45"/>
      <c r="AO36" s="5"/>
    </row>
    <row r="37" spans="2:41" ht="16.5" customHeight="1">
      <c r="B37" s="1610" t="str">
        <f t="shared" si="15"/>
        <v>Microsoft</v>
      </c>
      <c r="C37" s="1602">
        <v>2308</v>
      </c>
      <c r="D37" s="1600">
        <v>2655</v>
      </c>
      <c r="E37" s="1600">
        <v>2163</v>
      </c>
      <c r="F37" s="1601">
        <v>1988</v>
      </c>
      <c r="G37" s="1602">
        <v>1695</v>
      </c>
      <c r="H37" s="1600">
        <v>2283</v>
      </c>
      <c r="I37" s="1600">
        <v>2132</v>
      </c>
      <c r="J37" s="1601">
        <v>2586</v>
      </c>
      <c r="K37" s="1602">
        <v>2934</v>
      </c>
      <c r="L37" s="1600">
        <v>3980</v>
      </c>
      <c r="M37" s="1600">
        <v>3602</v>
      </c>
      <c r="N37" s="1601">
        <v>3707</v>
      </c>
      <c r="O37" s="1602">
        <v>2565</v>
      </c>
      <c r="P37" s="1600"/>
      <c r="Q37" s="1600"/>
      <c r="R37" s="1601"/>
      <c r="S37" s="1602"/>
      <c r="T37" s="1600"/>
      <c r="U37" s="1600"/>
      <c r="V37" s="1601"/>
      <c r="W37" s="1602"/>
      <c r="X37" s="1600"/>
      <c r="Y37" s="1600"/>
      <c r="Z37" s="1601"/>
      <c r="AA37" s="1602"/>
      <c r="AB37" s="1600"/>
      <c r="AC37" s="1600"/>
      <c r="AD37" s="1601"/>
      <c r="AE37" s="1949"/>
      <c r="AF37" s="1371"/>
      <c r="AG37" s="1952"/>
      <c r="AH37" s="1488" t="e">
        <f t="shared" si="13"/>
        <v>#DIV/0!</v>
      </c>
      <c r="AI37" s="1489">
        <f t="shared" si="12"/>
        <v>0</v>
      </c>
      <c r="AJ37" s="1544" t="e">
        <f t="shared" si="14"/>
        <v>#DIV/0!</v>
      </c>
      <c r="AK37" s="1604"/>
      <c r="AL37" s="13"/>
      <c r="AN37" s="45"/>
    </row>
    <row r="38" spans="2:41" ht="16.5" customHeight="1">
      <c r="B38" s="1610" t="str">
        <f t="shared" si="15"/>
        <v>Oracle</v>
      </c>
      <c r="C38" s="1602">
        <v>368</v>
      </c>
      <c r="D38" s="1600">
        <v>180</v>
      </c>
      <c r="E38" s="1600">
        <v>299</v>
      </c>
      <c r="F38" s="1601">
        <v>757</v>
      </c>
      <c r="G38" s="1602">
        <v>440</v>
      </c>
      <c r="H38" s="1600">
        <v>525</v>
      </c>
      <c r="I38" s="1600">
        <v>473</v>
      </c>
      <c r="J38" s="1601">
        <v>599</v>
      </c>
      <c r="K38" s="1602">
        <v>286</v>
      </c>
      <c r="L38" s="1600">
        <v>378</v>
      </c>
      <c r="M38" s="1600">
        <v>383</v>
      </c>
      <c r="N38" s="1601">
        <v>421</v>
      </c>
      <c r="O38" s="1602">
        <v>443</v>
      </c>
      <c r="P38" s="1600"/>
      <c r="Q38" s="1600"/>
      <c r="R38" s="1601"/>
      <c r="S38" s="1602"/>
      <c r="T38" s="1600"/>
      <c r="U38" s="1600"/>
      <c r="V38" s="1601"/>
      <c r="W38" s="1602"/>
      <c r="X38" s="1600"/>
      <c r="Y38" s="1600"/>
      <c r="Z38" s="1601"/>
      <c r="AA38" s="1602"/>
      <c r="AB38" s="1600"/>
      <c r="AC38" s="1600"/>
      <c r="AD38" s="1601"/>
      <c r="AE38" s="1949"/>
      <c r="AF38" s="1371"/>
      <c r="AG38" s="1952"/>
      <c r="AH38" s="1488" t="e">
        <f t="shared" si="13"/>
        <v>#DIV/0!</v>
      </c>
      <c r="AI38" s="1489">
        <f t="shared" si="12"/>
        <v>0</v>
      </c>
      <c r="AJ38" s="1544" t="e">
        <f t="shared" si="14"/>
        <v>#DIV/0!</v>
      </c>
      <c r="AK38" s="1604"/>
      <c r="AL38" s="13"/>
      <c r="AM38" s="26"/>
      <c r="AN38" s="45"/>
    </row>
    <row r="39" spans="2:41" ht="16.5" customHeight="1">
      <c r="B39" s="1610" t="str">
        <f t="shared" si="15"/>
        <v>PayPal</v>
      </c>
      <c r="C39" s="1602">
        <v>133</v>
      </c>
      <c r="D39" s="1600">
        <v>201</v>
      </c>
      <c r="E39" s="1600">
        <v>183</v>
      </c>
      <c r="F39" s="1601">
        <v>152</v>
      </c>
      <c r="G39" s="1602">
        <v>148</v>
      </c>
      <c r="H39" s="1600">
        <v>174</v>
      </c>
      <c r="I39" s="1600">
        <v>165</v>
      </c>
      <c r="J39" s="1601">
        <v>180</v>
      </c>
      <c r="K39" s="1602">
        <v>178</v>
      </c>
      <c r="L39" s="1600">
        <v>198</v>
      </c>
      <c r="M39" s="1600">
        <v>223</v>
      </c>
      <c r="N39" s="1601">
        <v>224</v>
      </c>
      <c r="O39" s="1602">
        <v>218</v>
      </c>
      <c r="P39" s="1600"/>
      <c r="Q39" s="1600"/>
      <c r="R39" s="1601"/>
      <c r="S39" s="1602"/>
      <c r="T39" s="1600"/>
      <c r="U39" s="1600"/>
      <c r="V39" s="1601"/>
      <c r="W39" s="1602"/>
      <c r="X39" s="1600"/>
      <c r="Y39" s="1600"/>
      <c r="Z39" s="1601"/>
      <c r="AA39" s="1602"/>
      <c r="AB39" s="1600"/>
      <c r="AC39" s="1600"/>
      <c r="AD39" s="1601"/>
      <c r="AE39" s="1949"/>
      <c r="AF39" s="1371"/>
      <c r="AG39" s="1952"/>
      <c r="AH39" s="1488" t="e">
        <f t="shared" si="13"/>
        <v>#DIV/0!</v>
      </c>
      <c r="AI39" s="1489">
        <f t="shared" si="12"/>
        <v>0</v>
      </c>
      <c r="AJ39" s="1544" t="e">
        <f t="shared" si="14"/>
        <v>#DIV/0!</v>
      </c>
      <c r="AK39" s="1604"/>
      <c r="AL39" s="13"/>
      <c r="AN39" s="45"/>
    </row>
    <row r="40" spans="2:41" ht="16.5" customHeight="1">
      <c r="B40" s="1610" t="str">
        <f t="shared" si="15"/>
        <v>Tencent</v>
      </c>
      <c r="C40" s="1602">
        <v>627.63745336676652</v>
      </c>
      <c r="D40" s="1600">
        <v>230.39710970270355</v>
      </c>
      <c r="E40" s="1600">
        <v>547.86914765906363</v>
      </c>
      <c r="F40" s="1500">
        <v>415.7574870030021</v>
      </c>
      <c r="G40" s="1602">
        <v>306.17283950617286</v>
      </c>
      <c r="H40" s="1600">
        <v>438.93547211082756</v>
      </c>
      <c r="I40" s="1600">
        <v>547.46659868943902</v>
      </c>
      <c r="J40" s="1500">
        <v>752.18094676524402</v>
      </c>
      <c r="K40" s="1602">
        <v>993.39622641509425</v>
      </c>
      <c r="L40" s="1600">
        <v>1110.7104784598985</v>
      </c>
      <c r="M40" s="1600">
        <v>878.21945195813248</v>
      </c>
      <c r="N40" s="1601">
        <v>660</v>
      </c>
      <c r="O40" s="1602">
        <v>573.33333333333337</v>
      </c>
      <c r="P40" s="1600"/>
      <c r="Q40" s="1600"/>
      <c r="R40" s="1601"/>
      <c r="S40" s="1602"/>
      <c r="T40" s="1600"/>
      <c r="U40" s="1600"/>
      <c r="V40" s="1601"/>
      <c r="W40" s="1602"/>
      <c r="X40" s="1600"/>
      <c r="Y40" s="1600"/>
      <c r="Z40" s="1601"/>
      <c r="AA40" s="1602"/>
      <c r="AB40" s="1600"/>
      <c r="AC40" s="1600"/>
      <c r="AD40" s="1500"/>
      <c r="AE40" s="1950"/>
      <c r="AF40" s="1468"/>
      <c r="AG40" s="1953"/>
      <c r="AH40" s="1488" t="e">
        <f t="shared" si="13"/>
        <v>#DIV/0!</v>
      </c>
      <c r="AI40" s="1489">
        <f t="shared" si="12"/>
        <v>0</v>
      </c>
      <c r="AJ40" s="1544" t="e">
        <f t="shared" si="14"/>
        <v>#DIV/0!</v>
      </c>
      <c r="AK40" s="1604"/>
      <c r="AL40" s="13"/>
      <c r="AN40" s="45"/>
    </row>
    <row r="41" spans="2:41" ht="16.5" customHeight="1">
      <c r="B41" s="1607" t="str">
        <f t="shared" si="15"/>
        <v>JD.com</v>
      </c>
      <c r="C41" s="1606">
        <v>159.31915479175586</v>
      </c>
      <c r="D41" s="1529">
        <v>156.91773062674139</v>
      </c>
      <c r="E41" s="1529">
        <v>139.92091836734696</v>
      </c>
      <c r="F41" s="1500">
        <v>192.03836860218203</v>
      </c>
      <c r="G41" s="1606">
        <v>97.732461873638357</v>
      </c>
      <c r="H41" s="1529">
        <v>190.32417061611375</v>
      </c>
      <c r="I41" s="1529">
        <v>1079.2499512663258</v>
      </c>
      <c r="J41" s="1500">
        <v>328.38998935356659</v>
      </c>
      <c r="K41" s="1606">
        <v>405.71493710691823</v>
      </c>
      <c r="L41" s="1529">
        <v>255.44318680629587</v>
      </c>
      <c r="M41" s="1529">
        <v>743.85731506527122</v>
      </c>
      <c r="N41" s="1500">
        <v>248.8502755000217</v>
      </c>
      <c r="O41" s="1606">
        <v>144.10681481481481</v>
      </c>
      <c r="P41" s="1529"/>
      <c r="Q41" s="1529"/>
      <c r="R41" s="1500"/>
      <c r="S41" s="1606"/>
      <c r="T41" s="1529"/>
      <c r="U41" s="1529"/>
      <c r="V41" s="1500"/>
      <c r="W41" s="1606"/>
      <c r="X41" s="1529"/>
      <c r="Y41" s="1529"/>
      <c r="Z41" s="1500"/>
      <c r="AA41" s="1606"/>
      <c r="AB41" s="1529"/>
      <c r="AC41" s="1600"/>
      <c r="AD41" s="1500"/>
      <c r="AE41" s="1950"/>
      <c r="AF41" s="1468"/>
      <c r="AG41" s="1953"/>
      <c r="AH41" s="1488" t="e">
        <f t="shared" si="13"/>
        <v>#DIV/0!</v>
      </c>
      <c r="AI41" s="1489">
        <f t="shared" si="12"/>
        <v>0</v>
      </c>
      <c r="AJ41" s="1544" t="e">
        <f t="shared" si="14"/>
        <v>#DIV/0!</v>
      </c>
      <c r="AK41" s="1604"/>
      <c r="AL41" s="13"/>
      <c r="AN41" s="45"/>
    </row>
    <row r="42" spans="2:41" ht="16.5" customHeight="1">
      <c r="B42" s="1607" t="str">
        <f t="shared" si="15"/>
        <v>NetEase</v>
      </c>
      <c r="C42" s="1602">
        <v>37.306586753103787</v>
      </c>
      <c r="D42" s="1600">
        <v>40.108998499739755</v>
      </c>
      <c r="E42" s="1600">
        <v>24.909963985594239</v>
      </c>
      <c r="F42" s="1500">
        <v>67.950501574284246</v>
      </c>
      <c r="G42" s="1602">
        <v>47.204066811909954</v>
      </c>
      <c r="H42" s="1600">
        <v>47.393364928909953</v>
      </c>
      <c r="I42" s="1600">
        <v>66.427746704853874</v>
      </c>
      <c r="J42" s="1601">
        <v>85.771266625680397</v>
      </c>
      <c r="K42" s="1602">
        <v>100.44977511244377</v>
      </c>
      <c r="L42" s="1600">
        <v>116.17691154422788</v>
      </c>
      <c r="M42" s="1600">
        <v>907.34632683658174</v>
      </c>
      <c r="N42" s="1601">
        <v>61.91904047976012</v>
      </c>
      <c r="O42" s="1602">
        <v>62.666666666666664</v>
      </c>
      <c r="P42" s="1600"/>
      <c r="Q42" s="1600"/>
      <c r="R42" s="1500"/>
      <c r="S42" s="1602"/>
      <c r="T42" s="1600"/>
      <c r="U42" s="1600"/>
      <c r="V42" s="1601"/>
      <c r="W42" s="1602"/>
      <c r="X42" s="1600"/>
      <c r="Y42" s="1600"/>
      <c r="Z42" s="1500"/>
      <c r="AA42" s="1602"/>
      <c r="AB42" s="1600"/>
      <c r="AC42" s="1600"/>
      <c r="AD42" s="1500"/>
      <c r="AE42" s="1950"/>
      <c r="AF42" s="1468"/>
      <c r="AG42" s="1953"/>
      <c r="AH42" s="1488" t="e">
        <f t="shared" si="13"/>
        <v>#DIV/0!</v>
      </c>
      <c r="AI42" s="1489">
        <f t="shared" si="12"/>
        <v>0</v>
      </c>
      <c r="AJ42" s="1544" t="e">
        <f t="shared" si="14"/>
        <v>#DIV/0!</v>
      </c>
      <c r="AK42" s="1604"/>
      <c r="AL42" s="13"/>
      <c r="AN42" s="45"/>
    </row>
    <row r="43" spans="2:41" ht="16.5" customHeight="1">
      <c r="B43" s="1607" t="str">
        <f t="shared" si="15"/>
        <v>VIPShop.com</v>
      </c>
      <c r="C43" s="1602">
        <v>101.06415509754756</v>
      </c>
      <c r="D43" s="1600">
        <v>90.015614953614403</v>
      </c>
      <c r="E43" s="1600">
        <v>124.5498199279712</v>
      </c>
      <c r="F43" s="1500">
        <v>104.26887310536721</v>
      </c>
      <c r="G43" s="1602">
        <v>84.967320261437905</v>
      </c>
      <c r="H43" s="1600">
        <v>98.286547575647106</v>
      </c>
      <c r="I43" s="1600">
        <v>107.81388234941295</v>
      </c>
      <c r="J43" s="1601">
        <v>74.375084346743847</v>
      </c>
      <c r="K43" s="1602">
        <v>128.32814465408805</v>
      </c>
      <c r="L43" s="1600">
        <v>136.38928952154009</v>
      </c>
      <c r="M43" s="1600">
        <v>148.33000117605553</v>
      </c>
      <c r="N43" s="1601">
        <v>129.98293490679279</v>
      </c>
      <c r="O43" s="1602">
        <v>164.59259259259258</v>
      </c>
      <c r="P43" s="1600"/>
      <c r="Q43" s="1600"/>
      <c r="R43" s="1500"/>
      <c r="S43" s="1602"/>
      <c r="T43" s="1600"/>
      <c r="U43" s="1600"/>
      <c r="V43" s="1601"/>
      <c r="W43" s="1602"/>
      <c r="X43" s="1600"/>
      <c r="Y43" s="1600"/>
      <c r="Z43" s="1500"/>
      <c r="AA43" s="1602"/>
      <c r="AB43" s="1600"/>
      <c r="AC43" s="1600"/>
      <c r="AD43" s="1500"/>
      <c r="AE43" s="1950"/>
      <c r="AF43" s="1468"/>
      <c r="AG43" s="1953"/>
      <c r="AH43" s="1696" t="e">
        <f t="shared" si="13"/>
        <v>#DIV/0!</v>
      </c>
      <c r="AI43" s="1848">
        <f t="shared" si="12"/>
        <v>0</v>
      </c>
      <c r="AJ43" s="1849" t="e">
        <f t="shared" si="14"/>
        <v>#DIV/0!</v>
      </c>
      <c r="AK43" s="1632"/>
      <c r="AL43" s="13"/>
      <c r="AN43" s="45"/>
    </row>
    <row r="44" spans="2:41" ht="16.5" customHeight="1">
      <c r="B44" s="1611" t="s">
        <v>14</v>
      </c>
      <c r="C44" s="1613">
        <f t="shared" ref="C44:AD44" si="16">SUM(C29:C43)</f>
        <v>10852.160571218885</v>
      </c>
      <c r="D44" s="1614">
        <f t="shared" si="16"/>
        <v>11987.317320351491</v>
      </c>
      <c r="E44" s="1614">
        <f t="shared" si="16"/>
        <v>13848.835684273708</v>
      </c>
      <c r="F44" s="1615">
        <f t="shared" si="16"/>
        <v>14744.237460642893</v>
      </c>
      <c r="G44" s="1613">
        <f t="shared" si="16"/>
        <v>12131.564705882352</v>
      </c>
      <c r="H44" s="1614">
        <f t="shared" si="16"/>
        <v>14693.362085308059</v>
      </c>
      <c r="I44" s="1614">
        <f t="shared" si="16"/>
        <v>16529.34557531173</v>
      </c>
      <c r="J44" s="1615">
        <f t="shared" si="16"/>
        <v>19550.559576800129</v>
      </c>
      <c r="K44" s="1613">
        <f t="shared" si="16"/>
        <v>23785.373360018108</v>
      </c>
      <c r="L44" s="1614">
        <f t="shared" si="16"/>
        <v>23383.631448447723</v>
      </c>
      <c r="M44" s="1614">
        <f t="shared" si="16"/>
        <v>23568.846238632417</v>
      </c>
      <c r="N44" s="1615">
        <f t="shared" si="16"/>
        <v>25506.483331049127</v>
      </c>
      <c r="O44" s="1613">
        <f t="shared" si="16"/>
        <v>20252.588296296297</v>
      </c>
      <c r="P44" s="1614">
        <f t="shared" si="16"/>
        <v>0</v>
      </c>
      <c r="Q44" s="1614">
        <f t="shared" si="16"/>
        <v>0</v>
      </c>
      <c r="R44" s="1615">
        <f t="shared" si="16"/>
        <v>0</v>
      </c>
      <c r="S44" s="1613">
        <f t="shared" si="16"/>
        <v>0</v>
      </c>
      <c r="T44" s="1614">
        <f t="shared" si="16"/>
        <v>0</v>
      </c>
      <c r="U44" s="1614">
        <f t="shared" si="16"/>
        <v>0</v>
      </c>
      <c r="V44" s="1615">
        <f t="shared" si="16"/>
        <v>0</v>
      </c>
      <c r="W44" s="1613">
        <f t="shared" si="16"/>
        <v>0</v>
      </c>
      <c r="X44" s="1614">
        <f t="shared" si="16"/>
        <v>0</v>
      </c>
      <c r="Y44" s="1614">
        <f t="shared" si="16"/>
        <v>0</v>
      </c>
      <c r="Z44" s="1615">
        <f t="shared" si="16"/>
        <v>0</v>
      </c>
      <c r="AA44" s="1613">
        <f>SUM(AA29:AA43)</f>
        <v>0</v>
      </c>
      <c r="AB44" s="1614">
        <f t="shared" si="16"/>
        <v>0</v>
      </c>
      <c r="AC44" s="1614">
        <f t="shared" si="16"/>
        <v>0</v>
      </c>
      <c r="AD44" s="1615">
        <f t="shared" si="16"/>
        <v>0</v>
      </c>
      <c r="AE44" s="1951">
        <f t="shared" ref="AE44:AF44" si="17">SUM(AE29:AE43)</f>
        <v>0</v>
      </c>
      <c r="AF44" s="1702">
        <f t="shared" si="17"/>
        <v>0</v>
      </c>
      <c r="AG44" s="1954">
        <f t="shared" ref="AG44" si="18">SUM(AG29:AG43)</f>
        <v>0</v>
      </c>
      <c r="AH44" s="2054" t="e">
        <f t="shared" si="13"/>
        <v>#DIV/0!</v>
      </c>
      <c r="AI44" s="1489">
        <f t="shared" si="12"/>
        <v>0</v>
      </c>
      <c r="AJ44" s="2053" t="e">
        <f t="shared" si="14"/>
        <v>#DIV/0!</v>
      </c>
      <c r="AK44" s="1604"/>
      <c r="AL44" s="13"/>
    </row>
    <row r="45" spans="2:41" ht="13.2" customHeight="1">
      <c r="B45" s="2" t="s">
        <v>550</v>
      </c>
      <c r="C45" s="1616">
        <v>0.16240200589340192</v>
      </c>
      <c r="D45" s="1616">
        <v>0.16668624964515266</v>
      </c>
      <c r="E45" s="1616">
        <v>0.2352608482366827</v>
      </c>
      <c r="F45" s="1616">
        <v>0.22079428398906242</v>
      </c>
      <c r="G45" s="1616">
        <f t="shared" ref="G45:T45" si="19">G44/C44-1</f>
        <v>0.11789395542640491</v>
      </c>
      <c r="H45" s="1616">
        <f t="shared" si="19"/>
        <v>0.22574231520194887</v>
      </c>
      <c r="I45" s="1616">
        <f t="shared" si="19"/>
        <v>0.19355489169980711</v>
      </c>
      <c r="J45" s="1616">
        <f t="shared" si="19"/>
        <v>0.32597970081442695</v>
      </c>
      <c r="K45" s="1616">
        <f t="shared" si="19"/>
        <v>0.96061876078401132</v>
      </c>
      <c r="L45" s="1616">
        <f t="shared" si="19"/>
        <v>0.59144185739689159</v>
      </c>
      <c r="M45" s="1616">
        <f t="shared" si="19"/>
        <v>0.42587896969344641</v>
      </c>
      <c r="N45" s="1616">
        <f t="shared" si="19"/>
        <v>0.30464211169263189</v>
      </c>
      <c r="O45" s="1616">
        <f t="shared" si="19"/>
        <v>-0.14852762705252409</v>
      </c>
      <c r="P45" s="1616">
        <f t="shared" si="19"/>
        <v>-1</v>
      </c>
      <c r="Q45" s="1616">
        <f t="shared" si="19"/>
        <v>-1</v>
      </c>
      <c r="R45" s="1616">
        <f t="shared" si="19"/>
        <v>-1</v>
      </c>
      <c r="S45" s="1616">
        <f t="shared" si="19"/>
        <v>-1</v>
      </c>
      <c r="T45" s="1616" t="e">
        <f t="shared" si="19"/>
        <v>#DIV/0!</v>
      </c>
      <c r="U45" s="1616" t="e">
        <f>U44/Q44-1</f>
        <v>#DIV/0!</v>
      </c>
      <c r="V45" s="1616" t="e">
        <f>V44/R44-1</f>
        <v>#DIV/0!</v>
      </c>
      <c r="W45" s="1616" t="e">
        <f>W44/S44-1</f>
        <v>#DIV/0!</v>
      </c>
      <c r="X45" s="1616" t="e">
        <f t="shared" ref="X45:AC45" si="20">X44/T44-1</f>
        <v>#DIV/0!</v>
      </c>
      <c r="Y45" s="1616" t="e">
        <f t="shared" si="20"/>
        <v>#DIV/0!</v>
      </c>
      <c r="Z45" s="1616" t="e">
        <f t="shared" si="20"/>
        <v>#DIV/0!</v>
      </c>
      <c r="AA45" s="1616" t="e">
        <f t="shared" si="20"/>
        <v>#DIV/0!</v>
      </c>
      <c r="AB45" s="1616" t="e">
        <f t="shared" si="20"/>
        <v>#DIV/0!</v>
      </c>
      <c r="AC45" s="1616" t="e">
        <f t="shared" si="20"/>
        <v>#DIV/0!</v>
      </c>
      <c r="AD45" s="1629" t="e">
        <f>AD44/Z44-1</f>
        <v>#DIV/0!</v>
      </c>
      <c r="AE45" s="1629" t="e">
        <f>AE44/AA44-1</f>
        <v>#DIV/0!</v>
      </c>
      <c r="AF45" s="1629" t="e">
        <f>AF44/AB44-1</f>
        <v>#DIV/0!</v>
      </c>
      <c r="AG45" s="1629" t="e">
        <f>AG44/AC44-1</f>
        <v>#DIV/0!</v>
      </c>
    </row>
    <row r="46" spans="2:41">
      <c r="B46" s="1612"/>
      <c r="C46" s="45"/>
      <c r="D46" s="45"/>
      <c r="F46" s="15"/>
      <c r="G46" s="15"/>
      <c r="H46" s="15"/>
      <c r="I46" s="15"/>
      <c r="J46" s="15"/>
      <c r="K46" s="15"/>
      <c r="L46" s="15"/>
      <c r="M46" s="15"/>
      <c r="N46" s="15"/>
      <c r="O46" s="45"/>
      <c r="P46" s="45"/>
      <c r="Q46" s="45"/>
      <c r="R46" s="15"/>
      <c r="S46" s="45"/>
      <c r="T46" s="45"/>
      <c r="U46" s="45"/>
      <c r="V46" s="15"/>
      <c r="W46" s="45"/>
      <c r="X46" s="45"/>
      <c r="Y46" s="45"/>
      <c r="Z46" s="15"/>
      <c r="AA46" s="45"/>
      <c r="AB46" s="45"/>
      <c r="AC46" s="45"/>
      <c r="AD46" s="15"/>
      <c r="AE46" s="15"/>
      <c r="AF46" s="15"/>
      <c r="AG46" s="15"/>
    </row>
    <row r="49" spans="3:3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I49" s="1512"/>
    </row>
    <row r="50" spans="3:35">
      <c r="N50" s="13"/>
      <c r="O50" s="13"/>
      <c r="P50" s="13"/>
      <c r="Q50" s="13"/>
      <c r="R50" s="219"/>
      <c r="S50" s="219"/>
      <c r="T50" s="219"/>
      <c r="U50" s="219"/>
      <c r="V50" s="219"/>
      <c r="W50" s="219"/>
      <c r="X50" s="219"/>
      <c r="Y50" s="219"/>
      <c r="Z50" s="219"/>
      <c r="AA50" s="219"/>
      <c r="AB50" s="219"/>
      <c r="AC50" s="13"/>
      <c r="AD50" s="219"/>
      <c r="AE50" s="219"/>
      <c r="AF50" s="219"/>
      <c r="AG50" s="219"/>
      <c r="AI50" s="13"/>
    </row>
    <row r="51" spans="3:3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I51" s="1512"/>
    </row>
    <row r="52" spans="3:35">
      <c r="N52" s="13"/>
      <c r="O52" s="13"/>
      <c r="P52" s="13"/>
      <c r="Q52" s="13"/>
      <c r="R52" s="219"/>
      <c r="S52" s="219"/>
      <c r="T52" s="219"/>
      <c r="U52" s="219"/>
      <c r="V52" s="219"/>
      <c r="W52" s="219"/>
      <c r="X52" s="219"/>
      <c r="Y52" s="13"/>
      <c r="Z52" s="219"/>
      <c r="AA52" s="219"/>
      <c r="AB52" s="219"/>
      <c r="AC52" s="13"/>
      <c r="AD52" s="219"/>
      <c r="AE52" s="219"/>
      <c r="AF52" s="219"/>
      <c r="AG52" s="219"/>
    </row>
    <row r="54" spans="3:3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I54" s="1512"/>
    </row>
    <row r="55" spans="3:35">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row>
    <row r="56" spans="3:3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I56" s="1512"/>
    </row>
    <row r="57" spans="3:35">
      <c r="N57" s="219"/>
      <c r="O57" s="219"/>
      <c r="P57" s="219"/>
      <c r="Q57" s="219"/>
      <c r="R57" s="219"/>
      <c r="S57" s="219"/>
      <c r="T57" s="219"/>
      <c r="U57" s="219"/>
      <c r="V57" s="219"/>
      <c r="W57" s="219"/>
      <c r="X57" s="219"/>
      <c r="Y57" s="219"/>
      <c r="Z57" s="219"/>
      <c r="AA57" s="219"/>
      <c r="AB57" s="219"/>
      <c r="AC57" s="219"/>
      <c r="AD57" s="219"/>
      <c r="AE57" s="219"/>
      <c r="AF57" s="219"/>
      <c r="AG57" s="219"/>
    </row>
    <row r="58" spans="3:35">
      <c r="U58" s="219"/>
      <c r="V58" s="219"/>
      <c r="W58" s="219"/>
      <c r="X58" s="219"/>
      <c r="Y58" s="219"/>
      <c r="Z58" s="219"/>
      <c r="AA58" s="219"/>
      <c r="AB58" s="219"/>
      <c r="AC58" s="219"/>
      <c r="AD58" s="219"/>
      <c r="AE58" s="219"/>
      <c r="AF58" s="219"/>
      <c r="AG58" s="219"/>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B2:AK38"/>
  <sheetViews>
    <sheetView showGridLines="0" zoomScale="90" zoomScaleNormal="90" zoomScalePageLayoutView="80" workbookViewId="0">
      <pane xSplit="10"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7.44140625" customWidth="1"/>
    <col min="3" max="5" width="8.77734375" hidden="1" customWidth="1" outlineLevel="1"/>
    <col min="6" max="6" width="9.77734375" hidden="1" customWidth="1" outlineLevel="1"/>
    <col min="7" max="9" width="8.77734375" hidden="1" customWidth="1" outlineLevel="1"/>
    <col min="10" max="10" width="10.44140625" hidden="1" customWidth="1" outlineLevel="1"/>
    <col min="11" max="11" width="8.77734375" hidden="1" customWidth="1" outlineLevel="1" collapsed="1"/>
    <col min="12" max="13" width="8.77734375" hidden="1" customWidth="1" outlineLevel="1"/>
    <col min="14" max="14" width="9.77734375" hidden="1" customWidth="1" outlineLevel="1"/>
    <col min="15" max="15" width="8.77734375" customWidth="1" collapsed="1"/>
    <col min="16"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9" width="9.77734375" customWidth="1"/>
  </cols>
  <sheetData>
    <row r="2" spans="2:37" ht="17.399999999999999">
      <c r="B2" s="32" t="str">
        <f>'Charts for slides'!B2</f>
        <v>Quarterly Market Update for the quarter ended September 30, 2023</v>
      </c>
    </row>
    <row r="3" spans="2:37">
      <c r="B3" s="969" t="str">
        <f>Introduction!$B$2</f>
        <v>December 2023 QMU - Sample template for illustrative purposes only</v>
      </c>
      <c r="AI3" s="43"/>
    </row>
    <row r="4" spans="2:37" ht="13.8">
      <c r="B4" s="25" t="s">
        <v>40</v>
      </c>
      <c r="AI4" s="43"/>
    </row>
    <row r="5" spans="2:37">
      <c r="AA5" s="13"/>
      <c r="AB5" s="13"/>
      <c r="AH5" s="1520" t="s">
        <v>557</v>
      </c>
      <c r="AI5" s="1521"/>
      <c r="AJ5" s="1522"/>
    </row>
    <row r="6" spans="2:37">
      <c r="B6" s="1476" t="s">
        <v>252</v>
      </c>
      <c r="E6" s="23"/>
      <c r="I6" s="23"/>
      <c r="R6" s="21"/>
      <c r="S6" s="21"/>
      <c r="T6" s="21"/>
      <c r="U6" s="21"/>
      <c r="V6" s="21"/>
      <c r="W6" s="21"/>
      <c r="X6" s="21"/>
      <c r="Y6" s="21"/>
      <c r="Z6" s="21"/>
      <c r="AA6" s="21"/>
      <c r="AB6" s="21"/>
      <c r="AC6" s="21"/>
      <c r="AD6" s="21"/>
      <c r="AE6" s="21"/>
      <c r="AF6" s="21"/>
      <c r="AG6" s="21"/>
      <c r="AH6" s="23" t="s">
        <v>270</v>
      </c>
      <c r="AI6" s="23" t="s">
        <v>347</v>
      </c>
      <c r="AJ6" s="23" t="s">
        <v>270</v>
      </c>
    </row>
    <row r="7" spans="2:37">
      <c r="B7" s="1578" t="s">
        <v>41</v>
      </c>
      <c r="C7" s="1478" t="s">
        <v>96</v>
      </c>
      <c r="D7" s="1560" t="s">
        <v>97</v>
      </c>
      <c r="E7" s="1560" t="s">
        <v>98</v>
      </c>
      <c r="F7" s="1480" t="s">
        <v>99</v>
      </c>
      <c r="G7" s="1478" t="s">
        <v>100</v>
      </c>
      <c r="H7" s="1525" t="s">
        <v>101</v>
      </c>
      <c r="I7" s="1525" t="s">
        <v>102</v>
      </c>
      <c r="J7" s="1480" t="s">
        <v>103</v>
      </c>
      <c r="K7" s="1478" t="s">
        <v>104</v>
      </c>
      <c r="L7" s="1525" t="s">
        <v>105</v>
      </c>
      <c r="M7" s="1525" t="s">
        <v>106</v>
      </c>
      <c r="N7" s="1480" t="s">
        <v>107</v>
      </c>
      <c r="O7" s="1478" t="s">
        <v>108</v>
      </c>
      <c r="P7" s="1525" t="s">
        <v>109</v>
      </c>
      <c r="Q7" s="1525" t="s">
        <v>110</v>
      </c>
      <c r="R7" s="1480" t="s">
        <v>111</v>
      </c>
      <c r="S7" s="1478" t="s">
        <v>112</v>
      </c>
      <c r="T7" s="1525" t="s">
        <v>113</v>
      </c>
      <c r="U7" s="1525" t="s">
        <v>114</v>
      </c>
      <c r="V7" s="1480" t="s">
        <v>115</v>
      </c>
      <c r="W7" s="1478" t="s">
        <v>463</v>
      </c>
      <c r="X7" s="1525" t="s">
        <v>464</v>
      </c>
      <c r="Y7" s="1525" t="s">
        <v>465</v>
      </c>
      <c r="Z7" s="1480" t="s">
        <v>466</v>
      </c>
      <c r="AA7" s="1478" t="s">
        <v>467</v>
      </c>
      <c r="AB7" s="1525" t="s">
        <v>468</v>
      </c>
      <c r="AC7" s="1525" t="s">
        <v>469</v>
      </c>
      <c r="AD7" s="1480" t="s">
        <v>470</v>
      </c>
      <c r="AE7" s="1939" t="s">
        <v>568</v>
      </c>
      <c r="AF7" s="1479" t="s">
        <v>594</v>
      </c>
      <c r="AG7" s="1944" t="s">
        <v>595</v>
      </c>
      <c r="AH7" s="23" t="s">
        <v>251</v>
      </c>
      <c r="AI7" s="23" t="s">
        <v>348</v>
      </c>
      <c r="AJ7" s="23" t="s">
        <v>279</v>
      </c>
      <c r="AK7" s="1579" t="s">
        <v>497</v>
      </c>
    </row>
    <row r="8" spans="2:37" ht="16.5" customHeight="1">
      <c r="B8" s="1482" t="s">
        <v>485</v>
      </c>
      <c r="C8" s="1580">
        <v>212.47499999999999</v>
      </c>
      <c r="D8" s="1580">
        <v>235.61600000000001</v>
      </c>
      <c r="E8" s="1580">
        <v>254.238</v>
      </c>
      <c r="F8" s="1485">
        <v>289.00800000000004</v>
      </c>
      <c r="G8" s="1580">
        <v>291.36700000000002</v>
      </c>
      <c r="H8" s="1580">
        <v>353.904</v>
      </c>
      <c r="I8" s="1580">
        <v>380.34399999999999</v>
      </c>
      <c r="J8" s="1485">
        <v>407.19499999999999</v>
      </c>
      <c r="K8" s="1580">
        <v>407.61700000000002</v>
      </c>
      <c r="L8" s="1580">
        <v>444.767</v>
      </c>
      <c r="M8" s="1580">
        <v>485.48099999999999</v>
      </c>
      <c r="N8" s="1485">
        <v>503.23500000000001</v>
      </c>
      <c r="O8" s="1580"/>
      <c r="P8" s="1580"/>
      <c r="Q8" s="1580"/>
      <c r="R8" s="1501"/>
      <c r="S8" s="1528"/>
      <c r="T8" s="1580"/>
      <c r="U8" s="1580"/>
      <c r="V8" s="1501"/>
      <c r="W8" s="1484"/>
      <c r="X8" s="1484"/>
      <c r="Y8" s="1484"/>
      <c r="Z8" s="1501"/>
      <c r="AA8" s="1580"/>
      <c r="AB8" s="1580"/>
      <c r="AC8" s="1580"/>
      <c r="AD8" s="1501"/>
      <c r="AE8" s="1942"/>
      <c r="AF8" s="1496"/>
      <c r="AG8" s="1947"/>
      <c r="AH8" s="1488" t="e">
        <f>AG8/AC8-1</f>
        <v>#DIV/0!</v>
      </c>
      <c r="AI8" s="1489">
        <f>AG8-AC8</f>
        <v>0</v>
      </c>
      <c r="AJ8" s="1544" t="e">
        <f>AG8/AF8-1</f>
        <v>#DIV/0!</v>
      </c>
      <c r="AK8" s="43"/>
    </row>
    <row r="9" spans="2:37" ht="16.5" customHeight="1">
      <c r="B9" s="1482" t="s">
        <v>556</v>
      </c>
      <c r="C9" s="1580">
        <v>523.30600000000004</v>
      </c>
      <c r="D9" s="1580">
        <v>590.721</v>
      </c>
      <c r="E9" s="1580">
        <v>657.29899999999998</v>
      </c>
      <c r="F9" s="1485">
        <v>581.46299999999997</v>
      </c>
      <c r="G9" s="1580">
        <v>552.75300000000004</v>
      </c>
      <c r="H9" s="1580">
        <v>549</v>
      </c>
      <c r="I9" s="1581" t="s">
        <v>313</v>
      </c>
      <c r="J9" s="1538"/>
      <c r="K9" s="1582"/>
      <c r="L9" s="1583"/>
      <c r="M9" s="1581"/>
      <c r="N9" s="1538"/>
      <c r="O9" s="1582"/>
      <c r="P9" s="1583"/>
      <c r="Q9" s="1583"/>
      <c r="R9" s="1538"/>
      <c r="S9" s="1582"/>
      <c r="T9" s="1583"/>
      <c r="U9" s="1584"/>
      <c r="V9" s="1538"/>
      <c r="W9" s="1585"/>
      <c r="X9" s="1586"/>
      <c r="Y9" s="1586"/>
      <c r="Z9" s="1538"/>
      <c r="AA9" s="1582"/>
      <c r="AB9" s="1583"/>
      <c r="AC9" s="1583"/>
      <c r="AD9" s="1538"/>
      <c r="AE9" s="1955"/>
      <c r="AF9" s="1533"/>
      <c r="AG9" s="1957"/>
      <c r="AH9" s="1700" t="s">
        <v>581</v>
      </c>
      <c r="AI9" s="1587"/>
      <c r="AJ9" s="1587"/>
      <c r="AK9" s="1587"/>
    </row>
    <row r="10" spans="2:37" ht="16.5" customHeight="1">
      <c r="B10" s="1482" t="s">
        <v>493</v>
      </c>
      <c r="C10" s="1580">
        <v>6152</v>
      </c>
      <c r="D10" s="1580">
        <v>6543</v>
      </c>
      <c r="E10" s="1580">
        <v>6639</v>
      </c>
      <c r="F10" s="1485">
        <v>5912</v>
      </c>
      <c r="G10" s="1580">
        <v>6288</v>
      </c>
      <c r="H10" s="1580">
        <v>6169</v>
      </c>
      <c r="I10" s="1580">
        <v>6970</v>
      </c>
      <c r="J10" s="1485">
        <v>6694</v>
      </c>
      <c r="K10" s="1580">
        <v>7163</v>
      </c>
      <c r="L10" s="1580">
        <v>7443</v>
      </c>
      <c r="M10" s="1580">
        <v>7642</v>
      </c>
      <c r="N10" s="1485">
        <v>7128</v>
      </c>
      <c r="O10" s="1580"/>
      <c r="P10" s="1580"/>
      <c r="Q10" s="1580"/>
      <c r="R10" s="1501"/>
      <c r="S10" s="1580"/>
      <c r="T10" s="1580"/>
      <c r="U10" s="1588"/>
      <c r="V10" s="1501"/>
      <c r="W10" s="1484"/>
      <c r="X10" s="1484"/>
      <c r="Y10" s="1484"/>
      <c r="Z10" s="1501"/>
      <c r="AA10" s="1580"/>
      <c r="AB10" s="1580"/>
      <c r="AC10" s="1580"/>
      <c r="AD10" s="1501"/>
      <c r="AE10" s="1942"/>
      <c r="AF10" s="1496"/>
      <c r="AG10" s="1947"/>
      <c r="AH10" s="1530" t="e">
        <f t="shared" ref="AH10:AH18" si="0">AG10/AC10-1</f>
        <v>#DIV/0!</v>
      </c>
      <c r="AI10" s="1521">
        <f t="shared" ref="AI10:AI18" si="1">AG10-AC10</f>
        <v>0</v>
      </c>
      <c r="AJ10" s="1522" t="e">
        <f t="shared" ref="AJ10:AJ18" si="2">AG10/AF10-1</f>
        <v>#DIV/0!</v>
      </c>
      <c r="AK10" s="1597"/>
    </row>
    <row r="11" spans="2:37" ht="16.5" customHeight="1">
      <c r="B11" s="1482" t="s">
        <v>480</v>
      </c>
      <c r="C11" s="1588">
        <v>5573</v>
      </c>
      <c r="D11" s="1588">
        <v>5800</v>
      </c>
      <c r="E11" s="1588">
        <v>5989</v>
      </c>
      <c r="F11" s="1485">
        <v>8395</v>
      </c>
      <c r="G11" s="1588">
        <v>6916</v>
      </c>
      <c r="H11" s="1588">
        <v>7406</v>
      </c>
      <c r="I11" s="1588">
        <v>7535</v>
      </c>
      <c r="J11" s="1485">
        <v>8812</v>
      </c>
      <c r="K11" s="1588">
        <v>8667</v>
      </c>
      <c r="L11" s="1580">
        <v>9227</v>
      </c>
      <c r="M11" s="1588">
        <v>8937</v>
      </c>
      <c r="N11" s="1485">
        <v>9889</v>
      </c>
      <c r="O11" s="1588"/>
      <c r="P11" s="1580"/>
      <c r="Q11" s="1580"/>
      <c r="R11" s="1501"/>
      <c r="S11" s="1588"/>
      <c r="T11" s="1580"/>
      <c r="U11" s="1588"/>
      <c r="V11" s="1501"/>
      <c r="W11" s="1484"/>
      <c r="X11" s="1484"/>
      <c r="Y11" s="1484"/>
      <c r="Z11" s="1501"/>
      <c r="AA11" s="1588"/>
      <c r="AB11" s="1580"/>
      <c r="AC11" s="1580"/>
      <c r="AD11" s="1501"/>
      <c r="AE11" s="1942"/>
      <c r="AF11" s="1496"/>
      <c r="AG11" s="1947"/>
      <c r="AH11" s="1530" t="e">
        <f t="shared" si="0"/>
        <v>#DIV/0!</v>
      </c>
      <c r="AI11" s="1521">
        <f t="shared" si="1"/>
        <v>0</v>
      </c>
      <c r="AJ11" s="1522" t="e">
        <f t="shared" si="2"/>
        <v>#DIV/0!</v>
      </c>
      <c r="AK11" s="1597"/>
    </row>
    <row r="12" spans="2:37" ht="16.5" customHeight="1">
      <c r="B12" s="1589" t="s">
        <v>481</v>
      </c>
      <c r="C12" s="1588">
        <v>92.712000000000003</v>
      </c>
      <c r="D12" s="1588">
        <v>106.018</v>
      </c>
      <c r="E12" s="1588">
        <v>90.131</v>
      </c>
      <c r="F12" s="1485">
        <v>109.8</v>
      </c>
      <c r="G12" s="1588">
        <v>110.8</v>
      </c>
      <c r="H12" s="1588">
        <v>140.80000000000001</v>
      </c>
      <c r="I12" s="1588">
        <v>164.8</v>
      </c>
      <c r="J12" s="1485">
        <v>174.85</v>
      </c>
      <c r="K12" s="1588">
        <v>203.52699999999999</v>
      </c>
      <c r="L12" s="1588">
        <v>221.3</v>
      </c>
      <c r="M12" s="1588">
        <v>177.72</v>
      </c>
      <c r="N12" s="1485">
        <v>189.56700000000001</v>
      </c>
      <c r="O12" s="1588"/>
      <c r="P12" s="1588"/>
      <c r="Q12" s="1588"/>
      <c r="R12" s="1501"/>
      <c r="S12" s="1588"/>
      <c r="T12" s="1588"/>
      <c r="U12" s="1588"/>
      <c r="V12" s="1501"/>
      <c r="W12" s="1484"/>
      <c r="X12" s="1484"/>
      <c r="Y12" s="1484"/>
      <c r="Z12" s="1501"/>
      <c r="AA12" s="1588"/>
      <c r="AB12" s="1588"/>
      <c r="AC12" s="1588"/>
      <c r="AD12" s="1501"/>
      <c r="AE12" s="1942"/>
      <c r="AF12" s="1496"/>
      <c r="AG12" s="1947"/>
      <c r="AH12" s="1488" t="e">
        <f t="shared" si="0"/>
        <v>#DIV/0!</v>
      </c>
      <c r="AI12" s="1489">
        <f t="shared" si="1"/>
        <v>0</v>
      </c>
      <c r="AJ12" s="1544" t="e">
        <f t="shared" si="2"/>
        <v>#DIV/0!</v>
      </c>
      <c r="AK12" s="43"/>
    </row>
    <row r="13" spans="2:37" ht="16.5" customHeight="1">
      <c r="B13" s="1589" t="s">
        <v>339</v>
      </c>
      <c r="C13" s="1588">
        <v>470.00183475016814</v>
      </c>
      <c r="D13" s="1588">
        <v>948.81571523299385</v>
      </c>
      <c r="E13" s="1588">
        <v>1246.9987765474532</v>
      </c>
      <c r="F13" s="1485">
        <v>1392.1759118819136</v>
      </c>
      <c r="G13" s="1588">
        <v>1129.1212781408858</v>
      </c>
      <c r="H13" s="1588">
        <v>1331.9797061828499</v>
      </c>
      <c r="I13" s="1588">
        <v>1590.8416149055347</v>
      </c>
      <c r="J13" s="1485">
        <v>1855.2858974671967</v>
      </c>
      <c r="K13" s="1588">
        <v>1590.8375810207071</v>
      </c>
      <c r="L13" s="1588">
        <v>1927.6925500384264</v>
      </c>
      <c r="M13" s="1588">
        <v>1542.1837346353273</v>
      </c>
      <c r="N13" s="1485">
        <v>1925.2725111548607</v>
      </c>
      <c r="O13" s="1588"/>
      <c r="P13" s="1550"/>
      <c r="Q13" s="1550"/>
      <c r="R13" s="1501"/>
      <c r="S13" s="1550"/>
      <c r="T13" s="1550"/>
      <c r="U13" s="1550"/>
      <c r="V13" s="1501"/>
      <c r="W13" s="1484"/>
      <c r="X13" s="1484"/>
      <c r="Y13" s="1484"/>
      <c r="Z13" s="1501"/>
      <c r="AA13" s="1588"/>
      <c r="AB13" s="1588"/>
      <c r="AC13" s="1588"/>
      <c r="AD13" s="1660"/>
      <c r="AE13" s="1956"/>
      <c r="AF13" s="1694"/>
      <c r="AG13" s="1958"/>
      <c r="AH13" s="1530" t="e">
        <f t="shared" si="0"/>
        <v>#DIV/0!</v>
      </c>
      <c r="AI13" s="1521">
        <f t="shared" si="1"/>
        <v>0</v>
      </c>
      <c r="AJ13" s="1522" t="e">
        <f t="shared" si="2"/>
        <v>#DIV/0!</v>
      </c>
      <c r="AK13" s="1597"/>
    </row>
    <row r="14" spans="2:37" ht="16.5" customHeight="1">
      <c r="B14" s="1589" t="s">
        <v>494</v>
      </c>
      <c r="C14" s="1580">
        <v>7159</v>
      </c>
      <c r="D14" s="1580">
        <v>6476</v>
      </c>
      <c r="E14" s="1580">
        <v>6823</v>
      </c>
      <c r="F14" s="1485">
        <v>6325</v>
      </c>
      <c r="G14" s="1580">
        <v>6243</v>
      </c>
      <c r="H14" s="1580">
        <v>6791</v>
      </c>
      <c r="I14" s="1580">
        <v>6852</v>
      </c>
      <c r="J14" s="1485">
        <v>6951</v>
      </c>
      <c r="K14" s="1580">
        <v>6434</v>
      </c>
      <c r="L14" s="1580">
        <v>6679.9095500000003</v>
      </c>
      <c r="M14" s="1580">
        <v>6874.7962699999998</v>
      </c>
      <c r="N14" s="1485">
        <v>6445.0281610000002</v>
      </c>
      <c r="O14" s="1580"/>
      <c r="P14" s="1580"/>
      <c r="Q14" s="1580"/>
      <c r="R14" s="1501"/>
      <c r="S14" s="1580"/>
      <c r="T14" s="1580"/>
      <c r="U14" s="1588"/>
      <c r="V14" s="1501"/>
      <c r="W14" s="1484"/>
      <c r="X14" s="1484"/>
      <c r="Y14" s="1484"/>
      <c r="Z14" s="1501"/>
      <c r="AA14" s="1580"/>
      <c r="AB14" s="1580"/>
      <c r="AC14" s="1580"/>
      <c r="AD14" s="1660"/>
      <c r="AE14" s="1956"/>
      <c r="AF14" s="1694"/>
      <c r="AG14" s="1958"/>
      <c r="AH14" s="1530" t="e">
        <f t="shared" si="0"/>
        <v>#DIV/0!</v>
      </c>
      <c r="AI14" s="1521">
        <f t="shared" si="1"/>
        <v>0</v>
      </c>
      <c r="AJ14" s="1522" t="e">
        <f t="shared" si="2"/>
        <v>#DIV/0!</v>
      </c>
      <c r="AK14" s="1597"/>
    </row>
    <row r="15" spans="2:37" ht="16.5" customHeight="1">
      <c r="B15" s="1589" t="s">
        <v>314</v>
      </c>
      <c r="C15" s="1580">
        <v>1675</v>
      </c>
      <c r="D15" s="1580">
        <v>1950</v>
      </c>
      <c r="E15" s="1580">
        <v>1558</v>
      </c>
      <c r="F15" s="1485">
        <v>2530</v>
      </c>
      <c r="G15" s="1580">
        <v>1395</v>
      </c>
      <c r="H15" s="1580">
        <v>1747</v>
      </c>
      <c r="I15" s="1580">
        <v>1721</v>
      </c>
      <c r="J15" s="1485">
        <v>3332</v>
      </c>
      <c r="K15" s="1580">
        <v>1500</v>
      </c>
      <c r="L15" s="1580">
        <v>2177</v>
      </c>
      <c r="M15" s="1580">
        <v>1736</v>
      </c>
      <c r="N15" s="1485">
        <v>2621</v>
      </c>
      <c r="O15" s="1580"/>
      <c r="P15" s="1580"/>
      <c r="Q15" s="1580"/>
      <c r="R15" s="1501"/>
      <c r="S15" s="1580"/>
      <c r="T15" s="1580"/>
      <c r="U15" s="1580"/>
      <c r="V15" s="1501"/>
      <c r="W15" s="1484"/>
      <c r="X15" s="1484"/>
      <c r="Y15" s="1484"/>
      <c r="Z15" s="1501"/>
      <c r="AA15" s="1580"/>
      <c r="AB15" s="1580"/>
      <c r="AC15" s="1580"/>
      <c r="AD15" s="1660"/>
      <c r="AE15" s="1956"/>
      <c r="AF15" s="1694"/>
      <c r="AG15" s="1958"/>
      <c r="AH15" s="1530" t="e">
        <f t="shared" si="0"/>
        <v>#DIV/0!</v>
      </c>
      <c r="AI15" s="1521">
        <f t="shared" si="1"/>
        <v>0</v>
      </c>
      <c r="AJ15" s="1522" t="e">
        <f t="shared" si="2"/>
        <v>#DIV/0!</v>
      </c>
      <c r="AK15" s="1597"/>
    </row>
    <row r="16" spans="2:37" ht="16.5" customHeight="1">
      <c r="B16" s="1589" t="s">
        <v>338</v>
      </c>
      <c r="C16" s="1588">
        <v>366.33845024769124</v>
      </c>
      <c r="D16" s="1588">
        <v>528.30653918925282</v>
      </c>
      <c r="E16" s="1588">
        <v>443.74036470471401</v>
      </c>
      <c r="F16" s="1485">
        <v>516.78049487349563</v>
      </c>
      <c r="G16" s="1588">
        <v>562.38198983297025</v>
      </c>
      <c r="H16" s="1588">
        <v>764.6322281765099</v>
      </c>
      <c r="I16" s="1588">
        <v>1159.3028657674615</v>
      </c>
      <c r="J16" s="1485">
        <v>1367.2684380627743</v>
      </c>
      <c r="K16" s="1588">
        <v>1196.9039078723833</v>
      </c>
      <c r="L16" s="1588">
        <v>1806.0120010760081</v>
      </c>
      <c r="M16" s="1588">
        <v>1935.9292045409652</v>
      </c>
      <c r="N16" s="1485">
        <v>1929.8763369358037</v>
      </c>
      <c r="O16" s="1588"/>
      <c r="P16" s="1550"/>
      <c r="Q16" s="1550"/>
      <c r="R16" s="1501"/>
      <c r="S16" s="1550"/>
      <c r="T16" s="1550"/>
      <c r="U16" s="1550"/>
      <c r="V16" s="1501"/>
      <c r="W16" s="1484"/>
      <c r="X16" s="1484"/>
      <c r="Y16" s="1484"/>
      <c r="Z16" s="1501"/>
      <c r="AA16" s="1588"/>
      <c r="AB16" s="1588"/>
      <c r="AC16" s="1588"/>
      <c r="AD16" s="1660"/>
      <c r="AE16" s="1956"/>
      <c r="AF16" s="1694"/>
      <c r="AG16" s="1958"/>
      <c r="AH16" s="1530" t="e">
        <f t="shared" si="0"/>
        <v>#DIV/0!</v>
      </c>
      <c r="AI16" s="1521">
        <f t="shared" si="1"/>
        <v>0</v>
      </c>
      <c r="AJ16" s="1522" t="e">
        <f t="shared" si="2"/>
        <v>#DIV/0!</v>
      </c>
      <c r="AK16" s="1597"/>
    </row>
    <row r="17" spans="2:37" ht="16.5" customHeight="1">
      <c r="B17" s="1482" t="s">
        <v>482</v>
      </c>
      <c r="C17" s="1580">
        <v>680</v>
      </c>
      <c r="D17" s="1580">
        <v>783.90000000000009</v>
      </c>
      <c r="E17" s="1580">
        <v>842</v>
      </c>
      <c r="F17" s="1485">
        <v>904.8</v>
      </c>
      <c r="G17" s="1580">
        <v>763.2</v>
      </c>
      <c r="H17" s="1580">
        <v>848.5</v>
      </c>
      <c r="I17" s="1580">
        <v>798</v>
      </c>
      <c r="J17" s="1485">
        <v>742.8</v>
      </c>
      <c r="K17" s="1580">
        <v>638.1</v>
      </c>
      <c r="L17" s="1580">
        <v>745.40000000000009</v>
      </c>
      <c r="M17" s="1580">
        <v>717.5</v>
      </c>
      <c r="N17" s="1485">
        <v>673.1</v>
      </c>
      <c r="O17" s="1580"/>
      <c r="P17" s="1580"/>
      <c r="Q17" s="1580"/>
      <c r="R17" s="1501"/>
      <c r="S17" s="1580"/>
      <c r="T17" s="1580"/>
      <c r="U17" s="1580"/>
      <c r="V17" s="1501"/>
      <c r="W17" s="1484"/>
      <c r="X17" s="1484"/>
      <c r="Y17" s="1484"/>
      <c r="Z17" s="1501"/>
      <c r="AA17" s="1580"/>
      <c r="AB17" s="1580"/>
      <c r="AC17" s="1580"/>
      <c r="AD17" s="1501"/>
      <c r="AE17" s="1942"/>
      <c r="AF17" s="1496"/>
      <c r="AG17" s="1947"/>
      <c r="AH17" s="1488" t="e">
        <f t="shared" si="0"/>
        <v>#DIV/0!</v>
      </c>
      <c r="AI17" s="1489">
        <f t="shared" si="1"/>
        <v>0</v>
      </c>
      <c r="AJ17" s="1544" t="e">
        <f t="shared" si="2"/>
        <v>#DIV/0!</v>
      </c>
      <c r="AK17" s="43"/>
    </row>
    <row r="18" spans="2:37" ht="16.5" customHeight="1">
      <c r="B18" s="1482" t="s">
        <v>483</v>
      </c>
      <c r="C18" s="1580">
        <v>979</v>
      </c>
      <c r="D18" s="1580">
        <v>1086</v>
      </c>
      <c r="E18" s="1580">
        <v>1100</v>
      </c>
      <c r="F18" s="1485">
        <v>1050</v>
      </c>
      <c r="G18" s="1580">
        <v>850</v>
      </c>
      <c r="H18" s="1580">
        <v>971</v>
      </c>
      <c r="I18" s="1580">
        <v>976</v>
      </c>
      <c r="J18" s="1485">
        <v>1225</v>
      </c>
      <c r="K18" s="1580">
        <v>1223</v>
      </c>
      <c r="L18" s="1580">
        <v>1629</v>
      </c>
      <c r="M18" s="1580">
        <v>1543.9259999999999</v>
      </c>
      <c r="N18" s="1485">
        <v>1600</v>
      </c>
      <c r="O18" s="1580"/>
      <c r="P18" s="1580"/>
      <c r="Q18" s="1580"/>
      <c r="R18" s="1501"/>
      <c r="S18" s="1580"/>
      <c r="T18" s="1580"/>
      <c r="U18" s="1580"/>
      <c r="V18" s="1501"/>
      <c r="W18" s="1484"/>
      <c r="X18" s="1484"/>
      <c r="Y18" s="1484"/>
      <c r="Z18" s="1501"/>
      <c r="AA18" s="1580"/>
      <c r="AB18" s="1580"/>
      <c r="AC18" s="1580"/>
      <c r="AD18" s="1501"/>
      <c r="AE18" s="1942"/>
      <c r="AF18" s="1496"/>
      <c r="AG18" s="1947"/>
      <c r="AH18" s="1530" t="e">
        <f t="shared" si="0"/>
        <v>#DIV/0!</v>
      </c>
      <c r="AI18" s="1521">
        <f t="shared" si="1"/>
        <v>0</v>
      </c>
      <c r="AJ18" s="1522" t="e">
        <f t="shared" si="2"/>
        <v>#DIV/0!</v>
      </c>
      <c r="AK18" s="1597"/>
    </row>
    <row r="19" spans="2:37" ht="16.5" customHeight="1">
      <c r="B19" s="1482" t="s">
        <v>22</v>
      </c>
      <c r="C19" s="1580">
        <v>196.8</v>
      </c>
      <c r="D19" s="1580">
        <v>214.8</v>
      </c>
      <c r="E19" s="1580">
        <v>224.2</v>
      </c>
      <c r="F19" s="1485">
        <v>221.7</v>
      </c>
      <c r="G19" s="1580">
        <v>188.65100000000001</v>
      </c>
      <c r="H19" s="1580">
        <v>212</v>
      </c>
      <c r="I19" s="1580">
        <v>226</v>
      </c>
      <c r="J19" s="1485">
        <v>237.58099999999999</v>
      </c>
      <c r="K19" s="1580">
        <v>251</v>
      </c>
      <c r="L19" s="1580">
        <v>268.46199999999999</v>
      </c>
      <c r="M19" s="1580">
        <v>279.21100000000001</v>
      </c>
      <c r="N19" s="1485">
        <v>290.07</v>
      </c>
      <c r="O19" s="1580"/>
      <c r="P19" s="1580"/>
      <c r="Q19" s="1580"/>
      <c r="R19" s="1501"/>
      <c r="S19" s="1580"/>
      <c r="T19" s="1590"/>
      <c r="U19" s="1582"/>
      <c r="V19" s="1538"/>
      <c r="W19" s="1585"/>
      <c r="X19" s="1585"/>
      <c r="Y19" s="1585"/>
      <c r="Z19" s="1538"/>
      <c r="AA19" s="1582"/>
      <c r="AB19" s="1582"/>
      <c r="AC19" s="1582"/>
      <c r="AD19" s="1538"/>
      <c r="AE19" s="1955"/>
      <c r="AF19" s="1533"/>
      <c r="AG19" s="1957"/>
      <c r="AH19" s="1701" t="s">
        <v>582</v>
      </c>
      <c r="AI19" s="1587"/>
      <c r="AJ19" s="1591"/>
      <c r="AK19" s="1587"/>
    </row>
    <row r="20" spans="2:37" ht="16.5" customHeight="1">
      <c r="B20" s="1482" t="s">
        <v>484</v>
      </c>
      <c r="C20" s="1580">
        <v>757</v>
      </c>
      <c r="D20" s="1580">
        <v>660</v>
      </c>
      <c r="E20" s="1580">
        <v>710</v>
      </c>
      <c r="F20" s="1485">
        <v>784</v>
      </c>
      <c r="G20" s="1580">
        <v>852</v>
      </c>
      <c r="H20" s="1580">
        <v>727</v>
      </c>
      <c r="I20" s="1580">
        <v>819</v>
      </c>
      <c r="J20" s="1485">
        <v>920</v>
      </c>
      <c r="K20" s="1580">
        <v>1027</v>
      </c>
      <c r="L20" s="1580">
        <v>875</v>
      </c>
      <c r="M20" s="1580">
        <v>913</v>
      </c>
      <c r="N20" s="1485">
        <v>967</v>
      </c>
      <c r="O20" s="1580"/>
      <c r="P20" s="1580"/>
      <c r="Q20" s="1580"/>
      <c r="R20" s="1501"/>
      <c r="S20" s="1580"/>
      <c r="T20" s="1580"/>
      <c r="U20" s="1580"/>
      <c r="V20" s="1501"/>
      <c r="W20" s="1484"/>
      <c r="X20" s="1484"/>
      <c r="Y20" s="1484"/>
      <c r="Z20" s="1501"/>
      <c r="AA20" s="1580"/>
      <c r="AB20" s="1580"/>
      <c r="AC20" s="1580"/>
      <c r="AD20" s="1501"/>
      <c r="AE20" s="1942"/>
      <c r="AF20" s="1496"/>
      <c r="AG20" s="1947"/>
      <c r="AH20" s="1488" t="e">
        <f>AG20/AC20-1</f>
        <v>#DIV/0!</v>
      </c>
      <c r="AI20" s="1489">
        <f>AG20-AC20</f>
        <v>0</v>
      </c>
      <c r="AJ20" s="1544" t="e">
        <f>AG20/AF20-1</f>
        <v>#DIV/0!</v>
      </c>
      <c r="AK20" s="43"/>
    </row>
    <row r="21" spans="2:37" ht="16.5" customHeight="1">
      <c r="B21" s="1482" t="s">
        <v>243</v>
      </c>
      <c r="C21" s="1580">
        <v>604</v>
      </c>
      <c r="D21" s="1580">
        <v>725</v>
      </c>
      <c r="E21" s="1580">
        <v>462</v>
      </c>
      <c r="F21" s="1485">
        <v>497</v>
      </c>
      <c r="G21" s="1580">
        <v>1014</v>
      </c>
      <c r="H21" s="1580">
        <v>1114</v>
      </c>
      <c r="I21" s="1580">
        <v>943</v>
      </c>
      <c r="J21" s="1485">
        <v>940</v>
      </c>
      <c r="K21" s="1580">
        <v>994</v>
      </c>
      <c r="L21" s="1580">
        <v>1115</v>
      </c>
      <c r="M21" s="1580">
        <v>904</v>
      </c>
      <c r="N21" s="1485">
        <v>891</v>
      </c>
      <c r="O21" s="1580"/>
      <c r="P21" s="1580"/>
      <c r="Q21" s="1580"/>
      <c r="R21" s="1501"/>
      <c r="S21" s="1580"/>
      <c r="T21" s="1580"/>
      <c r="U21" s="1580"/>
      <c r="V21" s="1501"/>
      <c r="W21" s="1484"/>
      <c r="X21" s="1484"/>
      <c r="Y21" s="1484"/>
      <c r="Z21" s="1501"/>
      <c r="AA21" s="1580"/>
      <c r="AB21" s="1580"/>
      <c r="AC21" s="1580"/>
      <c r="AD21" s="1501"/>
      <c r="AE21" s="1942"/>
      <c r="AF21" s="1496"/>
      <c r="AG21" s="1947"/>
      <c r="AH21" s="1696" t="e">
        <f t="shared" ref="AH21:AH22" si="3">AG21/AC21-1</f>
        <v>#DIV/0!</v>
      </c>
      <c r="AI21" s="1848">
        <f t="shared" ref="AI21:AI22" si="4">AG21-AC21</f>
        <v>0</v>
      </c>
      <c r="AJ21" s="1849" t="e">
        <f t="shared" ref="AJ21:AJ22" si="5">AG21/AF21-1</f>
        <v>#DIV/0!</v>
      </c>
      <c r="AK21" s="1504"/>
    </row>
    <row r="22" spans="2:37" ht="16.5" customHeight="1">
      <c r="B22" s="1505" t="s">
        <v>14</v>
      </c>
      <c r="C22" s="1593">
        <f>SUM(C8:C21)</f>
        <v>25440.633284997857</v>
      </c>
      <c r="D22" s="1593">
        <f t="shared" ref="D22:X22" si="6">SUM(D8:D21)</f>
        <v>26648.177254422244</v>
      </c>
      <c r="E22" s="1593">
        <f t="shared" si="6"/>
        <v>27039.607141252167</v>
      </c>
      <c r="F22" s="1508">
        <f t="shared" si="6"/>
        <v>29508.727406755406</v>
      </c>
      <c r="G22" s="1555">
        <f t="shared" si="6"/>
        <v>27156.274267973859</v>
      </c>
      <c r="H22" s="1593">
        <f t="shared" si="6"/>
        <v>29125.815934359358</v>
      </c>
      <c r="I22" s="1593">
        <f t="shared" si="6"/>
        <v>30135.288480672996</v>
      </c>
      <c r="J22" s="1508">
        <f t="shared" si="6"/>
        <v>33658.980335529966</v>
      </c>
      <c r="K22" s="1555">
        <f t="shared" si="6"/>
        <v>31295.985488893089</v>
      </c>
      <c r="L22" s="1593">
        <f t="shared" si="6"/>
        <v>34559.543101114439</v>
      </c>
      <c r="M22" s="1593">
        <f t="shared" si="6"/>
        <v>33688.74720917629</v>
      </c>
      <c r="N22" s="1508">
        <f t="shared" si="6"/>
        <v>35052.149009090666</v>
      </c>
      <c r="O22" s="1555">
        <f t="shared" si="6"/>
        <v>0</v>
      </c>
      <c r="P22" s="1593">
        <f t="shared" si="6"/>
        <v>0</v>
      </c>
      <c r="Q22" s="1593">
        <f t="shared" si="6"/>
        <v>0</v>
      </c>
      <c r="R22" s="1508">
        <f t="shared" si="6"/>
        <v>0</v>
      </c>
      <c r="S22" s="1593">
        <f t="shared" si="6"/>
        <v>0</v>
      </c>
      <c r="T22" s="1593">
        <f t="shared" si="6"/>
        <v>0</v>
      </c>
      <c r="U22" s="1593">
        <f t="shared" si="6"/>
        <v>0</v>
      </c>
      <c r="V22" s="1508">
        <f t="shared" si="6"/>
        <v>0</v>
      </c>
      <c r="W22" s="1593">
        <f t="shared" si="6"/>
        <v>0</v>
      </c>
      <c r="X22" s="1593">
        <f t="shared" si="6"/>
        <v>0</v>
      </c>
      <c r="Y22" s="1593">
        <f t="shared" ref="Y22:AC22" si="7">SUM(Y8:Y21)</f>
        <v>0</v>
      </c>
      <c r="Z22" s="1508">
        <f t="shared" si="7"/>
        <v>0</v>
      </c>
      <c r="AA22" s="1593">
        <f t="shared" si="7"/>
        <v>0</v>
      </c>
      <c r="AB22" s="1593">
        <f t="shared" si="7"/>
        <v>0</v>
      </c>
      <c r="AC22" s="1593">
        <f t="shared" si="7"/>
        <v>0</v>
      </c>
      <c r="AD22" s="1508">
        <f>SUM(AD8:AD21)</f>
        <v>0</v>
      </c>
      <c r="AE22" s="1943">
        <f>SUM(AE8:AE21)</f>
        <v>0</v>
      </c>
      <c r="AF22" s="1507">
        <f>SUM(AF8:AF21)</f>
        <v>0</v>
      </c>
      <c r="AG22" s="1948">
        <f>SUM(AG8:AG21)</f>
        <v>0</v>
      </c>
      <c r="AH22" s="1488" t="e">
        <f t="shared" si="3"/>
        <v>#DIV/0!</v>
      </c>
      <c r="AI22" s="1489">
        <f t="shared" si="4"/>
        <v>0</v>
      </c>
      <c r="AJ22" s="2053" t="e">
        <f t="shared" si="5"/>
        <v>#DIV/0!</v>
      </c>
      <c r="AK22" s="43"/>
    </row>
    <row r="23" spans="2:37" ht="16.5" customHeight="1">
      <c r="B23" s="2" t="s">
        <v>550</v>
      </c>
      <c r="C23" s="1568">
        <v>-2.458360383696423E-2</v>
      </c>
      <c r="D23" s="1568">
        <v>-5.8062757365763162E-2</v>
      </c>
      <c r="E23" s="1568">
        <v>-1.2746685840979821E-2</v>
      </c>
      <c r="F23" s="1568">
        <v>2.4412756543814362E-2</v>
      </c>
      <c r="G23" s="1568">
        <f t="shared" ref="G23:M23" si="8">G22/C22-1</f>
        <v>6.7437039155298972E-2</v>
      </c>
      <c r="H23" s="1568">
        <f t="shared" si="8"/>
        <v>9.2975915623870753E-2</v>
      </c>
      <c r="I23" s="1568">
        <f t="shared" si="8"/>
        <v>0.11448691999293126</v>
      </c>
      <c r="J23" s="1568">
        <f t="shared" si="8"/>
        <v>0.14064493095776287</v>
      </c>
      <c r="K23" s="1568">
        <f>K22/G22-1</f>
        <v>0.15244032300120436</v>
      </c>
      <c r="L23" s="1568">
        <f t="shared" si="8"/>
        <v>0.18656051315441369</v>
      </c>
      <c r="M23" s="1568">
        <f t="shared" si="8"/>
        <v>0.11791686450196992</v>
      </c>
      <c r="N23" s="1568">
        <f t="shared" ref="N23:U23" si="9">N22/J22-1</f>
        <v>4.1390697509932961E-2</v>
      </c>
      <c r="O23" s="1568">
        <f t="shared" si="9"/>
        <v>-1</v>
      </c>
      <c r="P23" s="1568">
        <f t="shared" si="9"/>
        <v>-1</v>
      </c>
      <c r="Q23" s="1568">
        <f t="shared" si="9"/>
        <v>-1</v>
      </c>
      <c r="R23" s="1568">
        <f t="shared" si="9"/>
        <v>-1</v>
      </c>
      <c r="S23" s="1568" t="e">
        <f t="shared" si="9"/>
        <v>#DIV/0!</v>
      </c>
      <c r="T23" s="1568" t="e">
        <f t="shared" si="9"/>
        <v>#DIV/0!</v>
      </c>
      <c r="U23" s="1568" t="e">
        <f t="shared" si="9"/>
        <v>#DIV/0!</v>
      </c>
      <c r="V23" s="1568" t="e">
        <f t="shared" ref="V23:AC23" si="10">V22/R22-1</f>
        <v>#DIV/0!</v>
      </c>
      <c r="W23" s="1568" t="e">
        <f t="shared" si="10"/>
        <v>#DIV/0!</v>
      </c>
      <c r="X23" s="1568" t="e">
        <f t="shared" si="10"/>
        <v>#DIV/0!</v>
      </c>
      <c r="Y23" s="1568" t="e">
        <f t="shared" si="10"/>
        <v>#DIV/0!</v>
      </c>
      <c r="Z23" s="1568" t="e">
        <f t="shared" si="10"/>
        <v>#DIV/0!</v>
      </c>
      <c r="AA23" s="1568" t="e">
        <f t="shared" si="10"/>
        <v>#DIV/0!</v>
      </c>
      <c r="AB23" s="1568" t="e">
        <f t="shared" si="10"/>
        <v>#DIV/0!</v>
      </c>
      <c r="AC23" s="1568" t="e">
        <f t="shared" si="10"/>
        <v>#DIV/0!</v>
      </c>
      <c r="AD23" s="1568" t="e">
        <f>AD22/Z22-1</f>
        <v>#DIV/0!</v>
      </c>
      <c r="AE23" s="1568" t="e">
        <f>AE22/AA22-1</f>
        <v>#DIV/0!</v>
      </c>
      <c r="AF23" s="1568" t="e">
        <f>AF22/AB22-1</f>
        <v>#DIV/0!</v>
      </c>
      <c r="AG23" s="1568" t="e">
        <f>AG22/AC22-1</f>
        <v>#DIV/0!</v>
      </c>
    </row>
    <row r="24" spans="2:37">
      <c r="B24" s="1595" t="s">
        <v>553</v>
      </c>
      <c r="C24" s="43"/>
      <c r="D24" s="43"/>
      <c r="E24" s="43"/>
      <c r="F24" s="43"/>
      <c r="G24" s="43"/>
      <c r="H24" s="43"/>
      <c r="I24" s="43"/>
      <c r="J24" s="1569">
        <f>SUM(G22:J22)/SUM(C22:F22)-1</f>
        <v>0.10529744611663538</v>
      </c>
      <c r="N24" s="1569">
        <f>SUM(K22:P22)/SUM(G22:J22)-1</f>
        <v>0.12092360151840409</v>
      </c>
      <c r="P24" s="1569"/>
      <c r="Q24" s="1569"/>
      <c r="R24" s="1569">
        <f>SUM(O22:R22)/SUM(K22:P22)-1</f>
        <v>-1</v>
      </c>
      <c r="T24" s="1569" t="e">
        <f>T22/S22-1</f>
        <v>#DIV/0!</v>
      </c>
      <c r="U24" s="1569" t="e">
        <f>U22/T22-1</f>
        <v>#DIV/0!</v>
      </c>
      <c r="V24" s="1569" t="e">
        <f>V22/U22-1</f>
        <v>#DIV/0!</v>
      </c>
      <c r="X24" s="1569"/>
      <c r="Y24" s="1569"/>
      <c r="Z24" s="1568" t="e">
        <f>Z22/Y22-1</f>
        <v>#DIV/0!</v>
      </c>
      <c r="AB24" s="1569"/>
      <c r="AC24" s="1569"/>
      <c r="AD24" s="1568" t="e">
        <f>AD22/AC22-1</f>
        <v>#DIV/0!</v>
      </c>
      <c r="AE24" s="1568" t="e">
        <f>AE22/AD22-1</f>
        <v>#DIV/0!</v>
      </c>
      <c r="AF24" s="1568" t="e">
        <f>AF22/AE22-1</f>
        <v>#DIV/0!</v>
      </c>
      <c r="AG24" s="1568" t="e">
        <f>AG22/AF22-1</f>
        <v>#DIV/0!</v>
      </c>
    </row>
    <row r="25" spans="2:37">
      <c r="B25" s="1595" t="s">
        <v>486</v>
      </c>
      <c r="C25" s="43"/>
      <c r="D25" s="43"/>
      <c r="E25" s="43"/>
      <c r="F25" s="15">
        <f>SUM(C22:F22)</f>
        <v>108637.14508742768</v>
      </c>
      <c r="J25" s="15">
        <f>SUM(G22:J22)</f>
        <v>120076.35901853618</v>
      </c>
      <c r="L25" s="15"/>
      <c r="N25" s="15">
        <f>SUM(K22:N22)</f>
        <v>134596.42480827449</v>
      </c>
      <c r="R25" s="15">
        <f>SUM(O22:R22)</f>
        <v>0</v>
      </c>
      <c r="V25" s="15">
        <f>SUM(S22:V22)</f>
        <v>0</v>
      </c>
      <c r="X25" s="1569"/>
      <c r="Y25" s="1569"/>
      <c r="Z25" s="15">
        <f>SUM(W22:Z22)</f>
        <v>0</v>
      </c>
      <c r="AB25" s="1569"/>
      <c r="AC25" s="1569"/>
      <c r="AD25" s="15">
        <f>SUM(AA22:AD22)</f>
        <v>0</v>
      </c>
      <c r="AE25" s="15"/>
      <c r="AF25" s="15"/>
      <c r="AG25" s="15"/>
    </row>
    <row r="26" spans="2:37">
      <c r="B26" s="1595" t="s">
        <v>487</v>
      </c>
      <c r="C26" s="43"/>
      <c r="D26" s="43"/>
      <c r="E26" s="43"/>
      <c r="J26" s="1568">
        <f>J25/F25-1</f>
        <v>0.10529744611663538</v>
      </c>
      <c r="N26" s="1568">
        <f>N25/J25-1</f>
        <v>0.12092360151840409</v>
      </c>
      <c r="R26" s="1568">
        <f>R25/N25-1</f>
        <v>-1</v>
      </c>
      <c r="V26" s="1568" t="e">
        <f>V25/R25-1</f>
        <v>#DIV/0!</v>
      </c>
      <c r="X26" s="1569"/>
      <c r="Y26" s="1569"/>
      <c r="Z26" s="1568" t="e">
        <f>Z25/V25-1</f>
        <v>#DIV/0!</v>
      </c>
      <c r="AB26" s="1569"/>
      <c r="AC26" s="1569"/>
      <c r="AD26" s="1568" t="e">
        <f>AD25/Z25-1</f>
        <v>#DIV/0!</v>
      </c>
      <c r="AE26" s="1568"/>
      <c r="AF26" s="1568"/>
      <c r="AG26" s="1568"/>
    </row>
    <row r="27" spans="2:37">
      <c r="B27" s="1595" t="s">
        <v>488</v>
      </c>
      <c r="C27" s="43"/>
      <c r="D27" s="43"/>
      <c r="E27" s="43"/>
      <c r="L27" s="1568"/>
      <c r="R27" s="1568">
        <f>(R25/F25)^(1/3)-1</f>
        <v>-1</v>
      </c>
      <c r="V27" s="1568">
        <f>(V25/J25)^(1/3)-1</f>
        <v>-1</v>
      </c>
      <c r="X27" s="1569"/>
      <c r="Y27" s="1569"/>
      <c r="Z27" s="1568">
        <f>(Z25/N25)^(1/3)-1</f>
        <v>-1</v>
      </c>
      <c r="AB27" s="1569"/>
      <c r="AC27" s="1569"/>
      <c r="AD27" s="1568" t="e">
        <f>(AD25/R25)^(1/3)-1</f>
        <v>#DIV/0!</v>
      </c>
      <c r="AE27" s="1568"/>
      <c r="AF27" s="1568"/>
      <c r="AG27" s="1568"/>
      <c r="AH27" s="23" t="s">
        <v>270</v>
      </c>
      <c r="AI27" s="23" t="s">
        <v>347</v>
      </c>
      <c r="AJ27" s="23" t="s">
        <v>270</v>
      </c>
    </row>
    <row r="28" spans="2:37">
      <c r="B28" s="1517"/>
      <c r="C28" s="43"/>
      <c r="D28" s="43"/>
      <c r="E28" s="43"/>
      <c r="F28" s="43"/>
      <c r="G28" s="43"/>
      <c r="H28" s="43"/>
      <c r="I28" s="43"/>
      <c r="J28" s="1569"/>
      <c r="N28" s="1569"/>
      <c r="P28" s="1569"/>
      <c r="Q28" s="1569"/>
      <c r="R28" s="1569"/>
      <c r="T28" s="1569"/>
      <c r="U28" s="1569"/>
      <c r="V28" s="1569"/>
      <c r="X28" s="1569"/>
      <c r="Y28" s="1596" t="s">
        <v>554</v>
      </c>
      <c r="Z28" s="1568">
        <f>(Z25/F25)^(1/5)-1</f>
        <v>-1</v>
      </c>
      <c r="AB28" s="1569"/>
      <c r="AC28" s="1569"/>
      <c r="AD28" s="1569"/>
      <c r="AE28" s="1569"/>
      <c r="AF28" s="1569"/>
      <c r="AG28" s="1569"/>
      <c r="AH28" s="23" t="s">
        <v>251</v>
      </c>
      <c r="AI28" s="23" t="s">
        <v>348</v>
      </c>
      <c r="AJ28" s="23" t="s">
        <v>279</v>
      </c>
    </row>
    <row r="29" spans="2:37">
      <c r="B29" s="2" t="s">
        <v>501</v>
      </c>
      <c r="C29" s="1558"/>
      <c r="D29" s="1558"/>
      <c r="E29" s="1558"/>
      <c r="F29" s="1558"/>
      <c r="G29" s="1558"/>
      <c r="H29" s="1558"/>
      <c r="I29" s="1558"/>
      <c r="J29" s="1559"/>
      <c r="K29" s="1"/>
      <c r="L29" s="1"/>
      <c r="M29" s="1"/>
      <c r="N29" s="1559"/>
      <c r="O29" s="43">
        <f>O10+O11+O13+O14+O15+O16+O18</f>
        <v>0</v>
      </c>
      <c r="P29" s="43">
        <f>P10+P11+P13+P14+P15+P16+P18</f>
        <v>0</v>
      </c>
      <c r="Q29" s="43">
        <f>Q10+Q11+Q13+Q14+Q15+Q16+Q18</f>
        <v>0</v>
      </c>
      <c r="R29" s="43">
        <f>R10+R11+R13+R14+R15+R16+R18</f>
        <v>0</v>
      </c>
      <c r="S29" s="43">
        <f t="shared" ref="S29:AD29" si="11">S10+S11+S13+S14+S15+S16+S18</f>
        <v>0</v>
      </c>
      <c r="T29" s="43">
        <f t="shared" si="11"/>
        <v>0</v>
      </c>
      <c r="U29" s="43">
        <f t="shared" si="11"/>
        <v>0</v>
      </c>
      <c r="V29" s="43">
        <f t="shared" si="11"/>
        <v>0</v>
      </c>
      <c r="W29" s="43">
        <f t="shared" si="11"/>
        <v>0</v>
      </c>
      <c r="X29" s="43">
        <f t="shared" si="11"/>
        <v>0</v>
      </c>
      <c r="Y29" s="43">
        <f t="shared" si="11"/>
        <v>0</v>
      </c>
      <c r="Z29" s="43">
        <f t="shared" si="11"/>
        <v>0</v>
      </c>
      <c r="AA29" s="43">
        <f t="shared" si="11"/>
        <v>0</v>
      </c>
      <c r="AB29" s="43">
        <f t="shared" si="11"/>
        <v>0</v>
      </c>
      <c r="AC29" s="43">
        <f t="shared" si="11"/>
        <v>0</v>
      </c>
      <c r="AD29" s="43">
        <f t="shared" si="11"/>
        <v>0</v>
      </c>
      <c r="AE29" s="43">
        <f>AE10+AE11+AE13+AE14+AE15+AE16+AE18</f>
        <v>0</v>
      </c>
      <c r="AF29" s="43">
        <f>AF10+AF11+AF13+AF14+AF15+AF16+AF18</f>
        <v>0</v>
      </c>
      <c r="AG29" s="43">
        <f>AG10+AG11+AG13+AG14+AG15+AG16+AG18</f>
        <v>0</v>
      </c>
      <c r="AH29" s="1488" t="e">
        <f t="shared" ref="AH29" si="12">AG29/AC29-1</f>
        <v>#DIV/0!</v>
      </c>
      <c r="AI29" s="1489">
        <f t="shared" ref="AI29" si="13">AG29-AC29</f>
        <v>0</v>
      </c>
      <c r="AJ29" s="1544" t="e">
        <f t="shared" ref="AJ29" si="14">AG29/AF29-1</f>
        <v>#DIV/0!</v>
      </c>
    </row>
    <row r="30" spans="2:37">
      <c r="B30" s="2" t="s">
        <v>510</v>
      </c>
      <c r="O30" s="43">
        <f>O22-O29</f>
        <v>0</v>
      </c>
      <c r="P30" s="43">
        <f t="shared" ref="P30:Z30" si="15">P22-P29</f>
        <v>0</v>
      </c>
      <c r="Q30" s="43">
        <f t="shared" si="15"/>
        <v>0</v>
      </c>
      <c r="R30" s="43">
        <f t="shared" si="15"/>
        <v>0</v>
      </c>
      <c r="S30" s="43">
        <f t="shared" si="15"/>
        <v>0</v>
      </c>
      <c r="T30" s="43">
        <f t="shared" si="15"/>
        <v>0</v>
      </c>
      <c r="U30" s="43">
        <f t="shared" si="15"/>
        <v>0</v>
      </c>
      <c r="V30" s="43">
        <f t="shared" si="15"/>
        <v>0</v>
      </c>
      <c r="W30" s="43">
        <f t="shared" si="15"/>
        <v>0</v>
      </c>
      <c r="X30" s="43">
        <f t="shared" si="15"/>
        <v>0</v>
      </c>
      <c r="Y30" s="43">
        <f t="shared" si="15"/>
        <v>0</v>
      </c>
      <c r="Z30" s="43">
        <f t="shared" si="15"/>
        <v>0</v>
      </c>
      <c r="AA30" s="43">
        <f t="shared" ref="AA30:AF30" si="16">AA22-AA29</f>
        <v>0</v>
      </c>
      <c r="AB30" s="43">
        <f t="shared" si="16"/>
        <v>0</v>
      </c>
      <c r="AC30" s="43">
        <f t="shared" si="16"/>
        <v>0</v>
      </c>
      <c r="AD30" s="43">
        <f t="shared" si="16"/>
        <v>0</v>
      </c>
      <c r="AE30" s="43">
        <f t="shared" si="16"/>
        <v>0</v>
      </c>
      <c r="AF30" s="43">
        <f t="shared" si="16"/>
        <v>0</v>
      </c>
      <c r="AG30" s="43">
        <f t="shared" ref="AG30" si="17">AG22-AG29</f>
        <v>0</v>
      </c>
      <c r="AH30" s="1488" t="e">
        <f t="shared" ref="AH30" si="18">AG30/AC30-1</f>
        <v>#DIV/0!</v>
      </c>
      <c r="AI30" s="1489">
        <f t="shared" ref="AI30" si="19">AG30-AC30</f>
        <v>0</v>
      </c>
      <c r="AJ30" s="1544" t="e">
        <f>AG30/AF30-1</f>
        <v>#DIV/0!</v>
      </c>
    </row>
    <row r="31" spans="2:37">
      <c r="B31" s="1594"/>
      <c r="Z31" s="15"/>
      <c r="AD31" s="15"/>
      <c r="AE31" s="15"/>
      <c r="AF31" s="15"/>
      <c r="AG31" s="15"/>
    </row>
    <row r="32" spans="2:37">
      <c r="B32" s="1594" t="s">
        <v>624</v>
      </c>
    </row>
    <row r="33" spans="2:33">
      <c r="B33" s="1482" t="s">
        <v>136</v>
      </c>
      <c r="C33" s="1528">
        <v>5963.0125356142535</v>
      </c>
      <c r="D33" s="1528">
        <v>6410.349972836827</v>
      </c>
      <c r="E33" s="1528">
        <v>7056.8746194734958</v>
      </c>
      <c r="F33" s="1501">
        <v>8346.0815993908436</v>
      </c>
      <c r="G33" s="1528">
        <v>7342.1579081312157</v>
      </c>
      <c r="H33" s="1528">
        <v>7777.6015385682977</v>
      </c>
      <c r="I33" s="1528">
        <v>9125.735602673778</v>
      </c>
      <c r="J33" s="1501">
        <v>9354.9232260978151</v>
      </c>
      <c r="K33" s="1528">
        <v>7541.1193866823232</v>
      </c>
      <c r="L33" s="1528">
        <v>6988.3743564615625</v>
      </c>
      <c r="M33" s="1528">
        <v>9202.6092628832357</v>
      </c>
      <c r="N33" s="1528">
        <v>10269.077490296282</v>
      </c>
      <c r="O33" s="1528">
        <v>7178.7902475098199</v>
      </c>
      <c r="P33" s="1528"/>
      <c r="Q33" s="1528"/>
      <c r="R33" s="1528"/>
      <c r="S33" s="1528"/>
      <c r="T33" s="1528"/>
      <c r="U33" s="1528"/>
      <c r="V33" s="1528"/>
      <c r="W33" s="1528"/>
      <c r="X33" s="1528"/>
      <c r="Y33" s="1528"/>
      <c r="Z33" s="1528"/>
      <c r="AA33" s="1528"/>
      <c r="AB33" s="1528"/>
      <c r="AC33" s="1528"/>
      <c r="AD33" s="1528"/>
      <c r="AE33" s="1528"/>
      <c r="AF33" s="1528"/>
      <c r="AG33" s="1528"/>
    </row>
    <row r="35" spans="2:33">
      <c r="B35" s="1516" t="s">
        <v>370</v>
      </c>
      <c r="C35" s="43">
        <f t="shared" ref="C35:W35" si="20">C18+C16+C13</f>
        <v>1815.3402849978595</v>
      </c>
      <c r="D35" s="43">
        <f t="shared" si="20"/>
        <v>2563.1222544222464</v>
      </c>
      <c r="E35" s="43">
        <f t="shared" si="20"/>
        <v>2790.7391412521674</v>
      </c>
      <c r="F35" s="43">
        <f t="shared" si="20"/>
        <v>2958.9564067554093</v>
      </c>
      <c r="G35" s="43">
        <f t="shared" si="20"/>
        <v>2541.5032679738561</v>
      </c>
      <c r="H35" s="43">
        <f t="shared" si="20"/>
        <v>3067.61193435936</v>
      </c>
      <c r="I35" s="43">
        <f t="shared" si="20"/>
        <v>3726.144480672996</v>
      </c>
      <c r="J35" s="43">
        <f t="shared" si="20"/>
        <v>4447.5543355299706</v>
      </c>
      <c r="K35" s="43">
        <f t="shared" si="20"/>
        <v>4010.7414888930907</v>
      </c>
      <c r="L35" s="43">
        <f t="shared" si="20"/>
        <v>5362.7045511144352</v>
      </c>
      <c r="M35" s="43">
        <f t="shared" si="20"/>
        <v>5022.0389391762928</v>
      </c>
      <c r="N35" s="43">
        <f t="shared" si="20"/>
        <v>5455.1488480906646</v>
      </c>
      <c r="O35" s="43">
        <f t="shared" si="20"/>
        <v>0</v>
      </c>
      <c r="P35" s="43">
        <f t="shared" si="20"/>
        <v>0</v>
      </c>
      <c r="Q35" s="43">
        <f t="shared" si="20"/>
        <v>0</v>
      </c>
      <c r="R35" s="43">
        <f t="shared" si="20"/>
        <v>0</v>
      </c>
      <c r="S35" s="43">
        <f t="shared" si="20"/>
        <v>0</v>
      </c>
      <c r="T35" s="43">
        <f t="shared" si="20"/>
        <v>0</v>
      </c>
      <c r="U35" s="43">
        <f t="shared" si="20"/>
        <v>0</v>
      </c>
      <c r="V35" s="43">
        <f t="shared" si="20"/>
        <v>0</v>
      </c>
      <c r="W35" s="43">
        <f t="shared" si="20"/>
        <v>0</v>
      </c>
      <c r="X35" s="43">
        <f t="shared" ref="X35:AC35" si="21">X18+X16+X13</f>
        <v>0</v>
      </c>
      <c r="Y35" s="43">
        <f t="shared" si="21"/>
        <v>0</v>
      </c>
      <c r="Z35" s="43">
        <f t="shared" si="21"/>
        <v>0</v>
      </c>
      <c r="AA35" s="43">
        <f t="shared" si="21"/>
        <v>0</v>
      </c>
      <c r="AB35" s="43">
        <f t="shared" si="21"/>
        <v>0</v>
      </c>
      <c r="AC35" s="43">
        <f t="shared" si="21"/>
        <v>0</v>
      </c>
      <c r="AD35" s="43">
        <f>AD18+AD16+AD13</f>
        <v>0</v>
      </c>
      <c r="AE35" s="43">
        <f>AE18+AE16+AE13</f>
        <v>0</v>
      </c>
      <c r="AF35" s="43">
        <f>AF18+AF16+AF13</f>
        <v>0</v>
      </c>
      <c r="AG35" s="43">
        <f>AG18+AG16+AG13</f>
        <v>0</v>
      </c>
    </row>
    <row r="36" spans="2:33">
      <c r="G36" s="5">
        <f>G35/C35-1</f>
        <v>0.40001480106901988</v>
      </c>
      <c r="H36" s="5">
        <f t="shared" ref="H36:Q36" si="22">H35/D35-1</f>
        <v>0.19682622593077626</v>
      </c>
      <c r="I36" s="5">
        <f t="shared" si="22"/>
        <v>0.33518193284132058</v>
      </c>
      <c r="J36" s="5">
        <f t="shared" si="22"/>
        <v>0.50308207494238033</v>
      </c>
      <c r="K36" s="5">
        <f t="shared" si="22"/>
        <v>0.5780981041549258</v>
      </c>
      <c r="L36" s="5">
        <f t="shared" si="22"/>
        <v>0.74816915107431359</v>
      </c>
      <c r="M36" s="5">
        <f t="shared" si="22"/>
        <v>0.34778427546889956</v>
      </c>
      <c r="N36" s="5">
        <f t="shared" si="22"/>
        <v>0.22655024234585985</v>
      </c>
      <c r="O36" s="5">
        <f t="shared" si="22"/>
        <v>-1</v>
      </c>
      <c r="P36" s="5">
        <f t="shared" si="22"/>
        <v>-1</v>
      </c>
      <c r="Q36" s="5">
        <f t="shared" si="22"/>
        <v>-1</v>
      </c>
      <c r="R36" s="5">
        <f t="shared" ref="R36:AC36" si="23">R35/N35-1</f>
        <v>-1</v>
      </c>
      <c r="S36" s="5" t="e">
        <f t="shared" si="23"/>
        <v>#DIV/0!</v>
      </c>
      <c r="T36" s="5" t="e">
        <f t="shared" si="23"/>
        <v>#DIV/0!</v>
      </c>
      <c r="U36" s="5" t="e">
        <f t="shared" si="23"/>
        <v>#DIV/0!</v>
      </c>
      <c r="V36" s="5" t="e">
        <f t="shared" si="23"/>
        <v>#DIV/0!</v>
      </c>
      <c r="W36" s="5" t="e">
        <f t="shared" si="23"/>
        <v>#DIV/0!</v>
      </c>
      <c r="X36" s="5" t="e">
        <f t="shared" si="23"/>
        <v>#DIV/0!</v>
      </c>
      <c r="Y36" s="5" t="e">
        <f t="shared" si="23"/>
        <v>#DIV/0!</v>
      </c>
      <c r="Z36" s="5" t="e">
        <f t="shared" si="23"/>
        <v>#DIV/0!</v>
      </c>
      <c r="AA36" s="5" t="e">
        <f t="shared" si="23"/>
        <v>#DIV/0!</v>
      </c>
      <c r="AB36" s="5" t="e">
        <f t="shared" si="23"/>
        <v>#DIV/0!</v>
      </c>
      <c r="AC36" s="5" t="e">
        <f t="shared" si="23"/>
        <v>#DIV/0!</v>
      </c>
      <c r="AD36" s="5" t="e">
        <f>AD35/Z35-1</f>
        <v>#DIV/0!</v>
      </c>
      <c r="AE36" s="5" t="e">
        <f>AE35/AA35-1</f>
        <v>#DIV/0!</v>
      </c>
      <c r="AF36" s="5" t="e">
        <f>AF35/AB35-1</f>
        <v>#DIV/0!</v>
      </c>
      <c r="AG36" s="5" t="e">
        <f>AG35/AC35-1</f>
        <v>#DIV/0!</v>
      </c>
    </row>
    <row r="37" spans="2:33">
      <c r="B37" s="1516" t="s">
        <v>555</v>
      </c>
      <c r="C37" s="43">
        <f t="shared" ref="C37:W37" si="24">C22-C35</f>
        <v>23625.292999999998</v>
      </c>
      <c r="D37" s="43">
        <f t="shared" si="24"/>
        <v>24085.054999999997</v>
      </c>
      <c r="E37" s="43">
        <f t="shared" si="24"/>
        <v>24248.867999999999</v>
      </c>
      <c r="F37" s="43">
        <f t="shared" si="24"/>
        <v>26549.770999999997</v>
      </c>
      <c r="G37" s="43">
        <f t="shared" si="24"/>
        <v>24614.771000000001</v>
      </c>
      <c r="H37" s="43">
        <f t="shared" si="24"/>
        <v>26058.203999999998</v>
      </c>
      <c r="I37" s="43">
        <f t="shared" si="24"/>
        <v>26409.144</v>
      </c>
      <c r="J37" s="43">
        <f t="shared" si="24"/>
        <v>29211.425999999996</v>
      </c>
      <c r="K37" s="43">
        <f t="shared" si="24"/>
        <v>27285.243999999999</v>
      </c>
      <c r="L37" s="43">
        <f t="shared" si="24"/>
        <v>29196.838550000004</v>
      </c>
      <c r="M37" s="43">
        <f t="shared" si="24"/>
        <v>28666.708269999996</v>
      </c>
      <c r="N37" s="43">
        <f t="shared" si="24"/>
        <v>29597.000161000004</v>
      </c>
      <c r="O37" s="43">
        <f t="shared" si="24"/>
        <v>0</v>
      </c>
      <c r="P37" s="43">
        <f t="shared" si="24"/>
        <v>0</v>
      </c>
      <c r="Q37" s="43">
        <f t="shared" si="24"/>
        <v>0</v>
      </c>
      <c r="R37" s="43">
        <f t="shared" si="24"/>
        <v>0</v>
      </c>
      <c r="S37" s="43">
        <f t="shared" si="24"/>
        <v>0</v>
      </c>
      <c r="T37" s="43">
        <f t="shared" si="24"/>
        <v>0</v>
      </c>
      <c r="U37" s="43">
        <f t="shared" si="24"/>
        <v>0</v>
      </c>
      <c r="V37" s="43">
        <f t="shared" si="24"/>
        <v>0</v>
      </c>
      <c r="W37" s="43">
        <f t="shared" si="24"/>
        <v>0</v>
      </c>
      <c r="X37" s="43">
        <f t="shared" ref="X37:AC37" si="25">X22-X35</f>
        <v>0</v>
      </c>
      <c r="Y37" s="43">
        <f t="shared" si="25"/>
        <v>0</v>
      </c>
      <c r="Z37" s="43">
        <f t="shared" si="25"/>
        <v>0</v>
      </c>
      <c r="AA37" s="43">
        <f t="shared" si="25"/>
        <v>0</v>
      </c>
      <c r="AB37" s="43">
        <f t="shared" si="25"/>
        <v>0</v>
      </c>
      <c r="AC37" s="43">
        <f t="shared" si="25"/>
        <v>0</v>
      </c>
      <c r="AD37" s="43">
        <f>AD22-AD35</f>
        <v>0</v>
      </c>
      <c r="AE37" s="43">
        <f>AE22-AE35</f>
        <v>0</v>
      </c>
      <c r="AF37" s="43">
        <f>AF22-AF35</f>
        <v>0</v>
      </c>
      <c r="AG37" s="43">
        <f>AG22-AG35</f>
        <v>0</v>
      </c>
    </row>
    <row r="38" spans="2:33">
      <c r="G38" s="5">
        <f t="shared" ref="G38:AC38" si="26">G37/C37-1</f>
        <v>4.1882147239401535E-2</v>
      </c>
      <c r="H38" s="5">
        <f t="shared" si="26"/>
        <v>8.1924205695191432E-2</v>
      </c>
      <c r="I38" s="5">
        <f t="shared" si="26"/>
        <v>8.9087705042561138E-2</v>
      </c>
      <c r="J38" s="5">
        <f t="shared" si="26"/>
        <v>0.10025152382670255</v>
      </c>
      <c r="K38" s="5">
        <f t="shared" si="26"/>
        <v>0.10849067009398539</v>
      </c>
      <c r="L38" s="5">
        <f t="shared" si="26"/>
        <v>0.12044707877795435</v>
      </c>
      <c r="M38" s="5">
        <f t="shared" si="26"/>
        <v>8.5484189491336515E-2</v>
      </c>
      <c r="N38" s="5">
        <f t="shared" si="26"/>
        <v>1.3199429599910939E-2</v>
      </c>
      <c r="O38" s="5">
        <f t="shared" si="26"/>
        <v>-1</v>
      </c>
      <c r="P38" s="5">
        <f t="shared" si="26"/>
        <v>-1</v>
      </c>
      <c r="Q38" s="5">
        <f t="shared" si="26"/>
        <v>-1</v>
      </c>
      <c r="R38" s="5">
        <f t="shared" si="26"/>
        <v>-1</v>
      </c>
      <c r="S38" s="5" t="e">
        <f t="shared" si="26"/>
        <v>#DIV/0!</v>
      </c>
      <c r="T38" s="5" t="e">
        <f t="shared" si="26"/>
        <v>#DIV/0!</v>
      </c>
      <c r="U38" s="5" t="e">
        <f t="shared" si="26"/>
        <v>#DIV/0!</v>
      </c>
      <c r="V38" s="5" t="e">
        <f t="shared" si="26"/>
        <v>#DIV/0!</v>
      </c>
      <c r="W38" s="5" t="e">
        <f t="shared" si="26"/>
        <v>#DIV/0!</v>
      </c>
      <c r="X38" s="5" t="e">
        <f t="shared" si="26"/>
        <v>#DIV/0!</v>
      </c>
      <c r="Y38" s="5" t="e">
        <f t="shared" si="26"/>
        <v>#DIV/0!</v>
      </c>
      <c r="Z38" s="5" t="e">
        <f t="shared" si="26"/>
        <v>#DIV/0!</v>
      </c>
      <c r="AA38" s="5" t="e">
        <f t="shared" si="26"/>
        <v>#DIV/0!</v>
      </c>
      <c r="AB38" s="5" t="e">
        <f t="shared" si="26"/>
        <v>#DIV/0!</v>
      </c>
      <c r="AC38" s="5" t="e">
        <f t="shared" si="26"/>
        <v>#DIV/0!</v>
      </c>
      <c r="AD38" s="5" t="e">
        <f>AD37/Z37-1</f>
        <v>#DIV/0!</v>
      </c>
      <c r="AE38" s="5" t="e">
        <f>AE37/AA37-1</f>
        <v>#DIV/0!</v>
      </c>
      <c r="AF38" s="5" t="e">
        <f>AF37/AB37-1</f>
        <v>#DIV/0!</v>
      </c>
      <c r="AG38" s="5" t="e">
        <f>AG37/AC37-1</f>
        <v>#DIV/0!</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P46"/>
  <sheetViews>
    <sheetView showGridLines="0" zoomScale="90" zoomScaleNormal="90"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77734375" customWidth="1"/>
    <col min="3" max="14" width="8.77734375" hidden="1" customWidth="1" outlineLevel="1"/>
    <col min="15" max="15" width="8.77734375" customWidth="1" collapsed="1"/>
    <col min="16" max="36" width="8.77734375" customWidth="1"/>
    <col min="39" max="39" width="8.77734375" customWidth="1"/>
    <col min="40" max="40" width="11.109375" customWidth="1"/>
    <col min="41" max="41" width="9.109375" bestFit="1" customWidth="1"/>
    <col min="42" max="42" width="8.77734375" bestFit="1" customWidth="1"/>
  </cols>
  <sheetData>
    <row r="2" spans="2:42" ht="17.399999999999999">
      <c r="B2" s="32" t="str">
        <f>'Charts for slides'!B2</f>
        <v>Quarterly Market Update for the quarter ended September 30, 2023</v>
      </c>
    </row>
    <row r="3" spans="2:42">
      <c r="B3" s="969" t="str">
        <f>Introduction!$B$2</f>
        <v>December 2023 QMU - Sample template for illustrative purposes only</v>
      </c>
    </row>
    <row r="4" spans="2:42" ht="13.8" customHeight="1">
      <c r="B4" s="25" t="s">
        <v>39</v>
      </c>
    </row>
    <row r="6" spans="2:42" ht="13.2" customHeight="1">
      <c r="B6" s="1476" t="s">
        <v>252</v>
      </c>
      <c r="R6" s="1359"/>
      <c r="AH6" s="23" t="s">
        <v>270</v>
      </c>
      <c r="AI6" s="23" t="s">
        <v>347</v>
      </c>
      <c r="AJ6" s="23" t="s">
        <v>270</v>
      </c>
    </row>
    <row r="7" spans="2:42">
      <c r="B7" s="1477" t="s">
        <v>41</v>
      </c>
      <c r="C7" s="1478" t="s">
        <v>96</v>
      </c>
      <c r="D7" s="1479" t="s">
        <v>97</v>
      </c>
      <c r="E7" s="1479" t="s">
        <v>98</v>
      </c>
      <c r="F7" s="1480" t="s">
        <v>99</v>
      </c>
      <c r="G7" s="1478" t="s">
        <v>100</v>
      </c>
      <c r="H7" s="1479" t="s">
        <v>101</v>
      </c>
      <c r="I7" s="1479" t="s">
        <v>102</v>
      </c>
      <c r="J7" s="1480" t="s">
        <v>103</v>
      </c>
      <c r="K7" s="1478" t="s">
        <v>104</v>
      </c>
      <c r="L7" s="1479" t="s">
        <v>105</v>
      </c>
      <c r="M7" s="1479" t="s">
        <v>106</v>
      </c>
      <c r="N7" s="1480" t="s">
        <v>107</v>
      </c>
      <c r="O7" s="1478" t="s">
        <v>108</v>
      </c>
      <c r="P7" s="1479" t="s">
        <v>109</v>
      </c>
      <c r="Q7" s="1479" t="s">
        <v>110</v>
      </c>
      <c r="R7" s="1480" t="s">
        <v>111</v>
      </c>
      <c r="S7" s="1478" t="s">
        <v>112</v>
      </c>
      <c r="T7" s="1479" t="s">
        <v>113</v>
      </c>
      <c r="U7" s="1479" t="s">
        <v>114</v>
      </c>
      <c r="V7" s="1480" t="s">
        <v>115</v>
      </c>
      <c r="W7" s="1478" t="s">
        <v>463</v>
      </c>
      <c r="X7" s="1479" t="s">
        <v>464</v>
      </c>
      <c r="Y7" s="1479" t="s">
        <v>465</v>
      </c>
      <c r="Z7" s="1480" t="s">
        <v>466</v>
      </c>
      <c r="AA7" s="1478" t="s">
        <v>467</v>
      </c>
      <c r="AB7" s="1479" t="s">
        <v>468</v>
      </c>
      <c r="AC7" s="1479" t="s">
        <v>469</v>
      </c>
      <c r="AD7" s="1480" t="s">
        <v>470</v>
      </c>
      <c r="AE7" s="1939" t="s">
        <v>568</v>
      </c>
      <c r="AF7" s="1479" t="s">
        <v>594</v>
      </c>
      <c r="AG7" s="1944" t="s">
        <v>595</v>
      </c>
      <c r="AH7" s="23" t="s">
        <v>251</v>
      </c>
      <c r="AI7" s="23" t="s">
        <v>348</v>
      </c>
      <c r="AJ7" s="23" t="s">
        <v>279</v>
      </c>
      <c r="AM7" s="23" t="s">
        <v>497</v>
      </c>
      <c r="AO7" s="1481"/>
      <c r="AP7" s="1481"/>
    </row>
    <row r="8" spans="2:42" ht="17.25" customHeight="1">
      <c r="B8" s="1482" t="s">
        <v>8</v>
      </c>
      <c r="C8" s="1483">
        <v>142</v>
      </c>
      <c r="D8" s="1484">
        <v>162.69999999999999</v>
      </c>
      <c r="E8" s="1484">
        <v>168.89</v>
      </c>
      <c r="F8" s="1485">
        <v>162.98699999999999</v>
      </c>
      <c r="G8" s="1484">
        <v>170.3</v>
      </c>
      <c r="H8" s="1484">
        <v>184.67</v>
      </c>
      <c r="I8" s="1484">
        <v>185.1</v>
      </c>
      <c r="J8" s="1486">
        <v>126.5</v>
      </c>
      <c r="K8" s="1483">
        <v>120.81</v>
      </c>
      <c r="L8" s="1484">
        <v>128.048</v>
      </c>
      <c r="M8" s="1484">
        <v>121</v>
      </c>
      <c r="N8" s="1487">
        <v>140</v>
      </c>
      <c r="O8" s="1484">
        <v>143.791</v>
      </c>
      <c r="P8" s="1484"/>
      <c r="Q8" s="1484"/>
      <c r="R8" s="1486"/>
      <c r="S8" s="1483"/>
      <c r="T8" s="1484"/>
      <c r="U8" s="1484"/>
      <c r="V8" s="1487"/>
      <c r="W8" s="1484"/>
      <c r="X8" s="1484"/>
      <c r="Y8" s="1484"/>
      <c r="Z8" s="1487"/>
      <c r="AA8" s="1484"/>
      <c r="AB8" s="1484"/>
      <c r="AC8" s="1484"/>
      <c r="AD8" s="1485"/>
      <c r="AE8" s="1940"/>
      <c r="AF8" s="1484"/>
      <c r="AG8" s="1945"/>
      <c r="AH8" s="1488" t="e">
        <f>AG8/AC8-1</f>
        <v>#DIV/0!</v>
      </c>
      <c r="AI8" s="1489">
        <f>AG8-AC8</f>
        <v>0</v>
      </c>
      <c r="AJ8" s="1544" t="e">
        <f>AG8/AF8-1</f>
        <v>#DIV/0!</v>
      </c>
      <c r="AK8" s="19" t="s">
        <v>337</v>
      </c>
      <c r="AM8" s="43"/>
      <c r="AO8" s="1490"/>
      <c r="AP8" s="219"/>
    </row>
    <row r="9" spans="2:42" ht="17.25" customHeight="1">
      <c r="B9" s="1482" t="s">
        <v>7</v>
      </c>
      <c r="C9" s="1483">
        <v>134.4208089937176</v>
      </c>
      <c r="D9" s="1484">
        <v>177.48673365699443</v>
      </c>
      <c r="E9" s="1484">
        <v>177.99352750809061</v>
      </c>
      <c r="F9" s="1485">
        <v>142.84120075884388</v>
      </c>
      <c r="G9" s="1484">
        <v>151.14048177360905</v>
      </c>
      <c r="H9" s="1484">
        <v>158.89807162534436</v>
      </c>
      <c r="I9" s="1484">
        <v>130.56136230182031</v>
      </c>
      <c r="J9" s="1486">
        <v>138.00824014125956</v>
      </c>
      <c r="K9" s="1483">
        <v>148.13567653926509</v>
      </c>
      <c r="L9" s="1484">
        <v>147.35651345558466</v>
      </c>
      <c r="M9" s="1484">
        <v>146.7783205396604</v>
      </c>
      <c r="N9" s="1487">
        <v>150</v>
      </c>
      <c r="O9" s="1484">
        <v>145.52060860679003</v>
      </c>
      <c r="P9" s="1484"/>
      <c r="Q9" s="1484"/>
      <c r="R9" s="1486"/>
      <c r="S9" s="1483"/>
      <c r="T9" s="1484"/>
      <c r="U9" s="1484"/>
      <c r="V9" s="1487"/>
      <c r="W9" s="1484"/>
      <c r="X9" s="1484"/>
      <c r="Y9" s="1484"/>
      <c r="Z9" s="1487"/>
      <c r="AA9" s="1484"/>
      <c r="AB9" s="1484"/>
      <c r="AC9" s="1491"/>
      <c r="AD9" s="1492"/>
      <c r="AE9" s="1941"/>
      <c r="AF9" s="1585"/>
      <c r="AG9" s="1946"/>
      <c r="AH9" s="1493"/>
      <c r="AI9" s="1494"/>
      <c r="AJ9" s="1495"/>
      <c r="AK9" s="19" t="s">
        <v>580</v>
      </c>
      <c r="AM9" s="43"/>
      <c r="AO9" s="1490"/>
      <c r="AP9" s="219"/>
    </row>
    <row r="10" spans="2:42" ht="17.25" customHeight="1">
      <c r="B10" s="1482" t="s">
        <v>543</v>
      </c>
      <c r="C10" s="1483"/>
      <c r="D10" s="1484"/>
      <c r="E10" s="1484"/>
      <c r="F10" s="1484"/>
      <c r="G10" s="1484"/>
      <c r="H10" s="1484"/>
      <c r="I10" s="1484"/>
      <c r="J10" s="1486"/>
      <c r="K10" s="1483"/>
      <c r="L10" s="1484"/>
      <c r="M10" s="1484"/>
      <c r="N10" s="1487"/>
      <c r="O10" s="1484"/>
      <c r="P10" s="1484"/>
      <c r="Q10" s="1484"/>
      <c r="R10" s="1486"/>
      <c r="S10" s="1483"/>
      <c r="T10" s="1484"/>
      <c r="U10" s="1484"/>
      <c r="V10" s="1487"/>
      <c r="W10" s="1484"/>
      <c r="X10" s="1484"/>
      <c r="Y10" s="1484"/>
      <c r="Z10" s="1487"/>
      <c r="AA10" s="1484"/>
      <c r="AB10" s="1484"/>
      <c r="AC10" s="1484"/>
      <c r="AD10" s="1484"/>
      <c r="AE10" s="1940"/>
      <c r="AF10" s="1484"/>
      <c r="AG10" s="1945"/>
      <c r="AH10" s="1488" t="e">
        <f>AG10/AC10-1</f>
        <v>#DIV/0!</v>
      </c>
      <c r="AI10" s="1489">
        <f>AG10-AC10</f>
        <v>0</v>
      </c>
      <c r="AJ10" s="1544" t="e">
        <f>AG10/AF10-1</f>
        <v>#DIV/0!</v>
      </c>
      <c r="AK10" s="19" t="s">
        <v>337</v>
      </c>
      <c r="AM10" s="43"/>
      <c r="AO10" s="1490"/>
      <c r="AP10" s="219"/>
    </row>
    <row r="11" spans="2:42" ht="17.25" customHeight="1">
      <c r="B11" s="1482" t="s">
        <v>6</v>
      </c>
      <c r="C11" s="1483">
        <v>640.70000000000005</v>
      </c>
      <c r="D11" s="1484">
        <v>670.6</v>
      </c>
      <c r="E11" s="1484">
        <v>716.2</v>
      </c>
      <c r="F11" s="1485">
        <v>621.15</v>
      </c>
      <c r="G11" s="1484">
        <v>707</v>
      </c>
      <c r="H11" s="1484">
        <v>728.7</v>
      </c>
      <c r="I11" s="1484">
        <v>744</v>
      </c>
      <c r="J11" s="1486">
        <v>646</v>
      </c>
      <c r="K11" s="1483">
        <v>730</v>
      </c>
      <c r="L11" s="1484">
        <v>818.8</v>
      </c>
      <c r="M11" s="1484">
        <v>899</v>
      </c>
      <c r="N11" s="1487">
        <v>779</v>
      </c>
      <c r="O11" s="1484">
        <v>865</v>
      </c>
      <c r="P11" s="1484"/>
      <c r="Q11" s="1484"/>
      <c r="R11" s="1486"/>
      <c r="S11" s="1483"/>
      <c r="T11" s="1484"/>
      <c r="U11" s="1484"/>
      <c r="V11" s="1487"/>
      <c r="W11" s="1484"/>
      <c r="X11" s="1484"/>
      <c r="Y11" s="1484"/>
      <c r="Z11" s="1487"/>
      <c r="AA11" s="1484"/>
      <c r="AB11" s="1484"/>
      <c r="AC11" s="1484"/>
      <c r="AD11" s="1484"/>
      <c r="AE11" s="1940"/>
      <c r="AF11" s="1484"/>
      <c r="AG11" s="1945"/>
      <c r="AH11" s="1488" t="e">
        <f t="shared" ref="AH11:AH19" si="0">AG11/AC11-1</f>
        <v>#DIV/0!</v>
      </c>
      <c r="AI11" s="1489">
        <f t="shared" ref="AI11:AI19" si="1">AG11-AC11</f>
        <v>0</v>
      </c>
      <c r="AJ11" s="1544" t="e">
        <f t="shared" ref="AJ11:AJ19" si="2">AG11/AF11-1</f>
        <v>#DIV/0!</v>
      </c>
      <c r="AK11" s="19" t="s">
        <v>337</v>
      </c>
      <c r="AM11" s="43"/>
      <c r="AO11" s="1490"/>
      <c r="AP11" s="219"/>
    </row>
    <row r="12" spans="2:42" ht="17.25" customHeight="1">
      <c r="B12" s="1482" t="s">
        <v>495</v>
      </c>
      <c r="C12" s="1483">
        <v>4718.6643350033082</v>
      </c>
      <c r="D12" s="1484">
        <v>4897.2961133149993</v>
      </c>
      <c r="E12" s="1484">
        <v>4343.439083912147</v>
      </c>
      <c r="F12" s="1485">
        <v>5279.6650426982178</v>
      </c>
      <c r="G12" s="1484">
        <v>3907.589871204224</v>
      </c>
      <c r="H12" s="1484">
        <v>4188.1060924728008</v>
      </c>
      <c r="I12" s="1484">
        <v>4348.5738151978967</v>
      </c>
      <c r="J12" s="1486">
        <v>4350.9092438792813</v>
      </c>
      <c r="K12" s="1483">
        <v>3525.4095228704196</v>
      </c>
      <c r="L12" s="1484">
        <v>3731.6115059845406</v>
      </c>
      <c r="M12" s="1484">
        <v>4017.800239274573</v>
      </c>
      <c r="N12" s="1487">
        <v>4603</v>
      </c>
      <c r="O12" s="1484">
        <v>3649.0757694655163</v>
      </c>
      <c r="P12" s="1484"/>
      <c r="Q12" s="1484"/>
      <c r="R12" s="1486"/>
      <c r="S12" s="1483"/>
      <c r="T12" s="1484"/>
      <c r="U12" s="1484"/>
      <c r="V12" s="1487"/>
      <c r="W12" s="1484"/>
      <c r="X12" s="1484"/>
      <c r="Y12" s="1484"/>
      <c r="Z12" s="1487"/>
      <c r="AA12" s="1484"/>
      <c r="AB12" s="1484"/>
      <c r="AC12" s="1484"/>
      <c r="AD12" s="1484"/>
      <c r="AE12" s="1940"/>
      <c r="AF12" s="1484"/>
      <c r="AG12" s="1945"/>
      <c r="AH12" s="1488" t="e">
        <f t="shared" si="0"/>
        <v>#DIV/0!</v>
      </c>
      <c r="AI12" s="1489">
        <f t="shared" si="1"/>
        <v>0</v>
      </c>
      <c r="AJ12" s="1544" t="e">
        <f t="shared" si="2"/>
        <v>#DIV/0!</v>
      </c>
      <c r="AK12" s="19" t="s">
        <v>334</v>
      </c>
      <c r="AM12" s="43"/>
      <c r="AO12" s="1490"/>
      <c r="AP12" s="219"/>
    </row>
    <row r="13" spans="2:42" ht="17.25" customHeight="1">
      <c r="B13" s="1482" t="s">
        <v>397</v>
      </c>
      <c r="C13" s="1483">
        <v>432.70834832506199</v>
      </c>
      <c r="D13" s="1484">
        <v>740.89373899697603</v>
      </c>
      <c r="E13" s="1484">
        <v>641.40661168178701</v>
      </c>
      <c r="F13" s="1485">
        <v>773.41915022324599</v>
      </c>
      <c r="G13" s="1484">
        <v>511.63528881915403</v>
      </c>
      <c r="H13" s="1484">
        <v>914.50356673992906</v>
      </c>
      <c r="I13" s="1484">
        <v>798.82556175131106</v>
      </c>
      <c r="J13" s="1486">
        <v>925.25959454682402</v>
      </c>
      <c r="K13" s="1483">
        <v>677.27483180818194</v>
      </c>
      <c r="L13" s="1484">
        <v>1049.6058001239201</v>
      </c>
      <c r="M13" s="1484">
        <v>899.494254513687</v>
      </c>
      <c r="N13" s="1487">
        <v>998.31162824521903</v>
      </c>
      <c r="O13" s="1484">
        <v>727.35236172368604</v>
      </c>
      <c r="P13" s="1484"/>
      <c r="Q13" s="1484"/>
      <c r="R13" s="1486"/>
      <c r="S13" s="1483"/>
      <c r="T13" s="1484"/>
      <c r="U13" s="1484"/>
      <c r="V13" s="1487"/>
      <c r="W13" s="1484"/>
      <c r="X13" s="1484"/>
      <c r="Y13" s="1484"/>
      <c r="Z13" s="1487"/>
      <c r="AA13" s="1484"/>
      <c r="AB13" s="1484"/>
      <c r="AC13" s="1484"/>
      <c r="AD13" s="1484"/>
      <c r="AE13" s="1940"/>
      <c r="AF13" s="1484"/>
      <c r="AG13" s="1945"/>
      <c r="AH13" s="1488" t="e">
        <f t="shared" si="0"/>
        <v>#DIV/0!</v>
      </c>
      <c r="AI13" s="1489">
        <f t="shared" si="1"/>
        <v>0</v>
      </c>
      <c r="AJ13" s="1544" t="e">
        <f t="shared" si="2"/>
        <v>#DIV/0!</v>
      </c>
      <c r="AK13" s="19"/>
      <c r="AM13" s="43"/>
      <c r="AO13" s="1490"/>
      <c r="AP13" s="219"/>
    </row>
    <row r="14" spans="2:42" ht="17.25" customHeight="1">
      <c r="B14" s="1482" t="s">
        <v>588</v>
      </c>
      <c r="C14" s="1483">
        <v>1496.609623616569</v>
      </c>
      <c r="D14" s="1484">
        <v>875.02850331194577</v>
      </c>
      <c r="E14" s="1484">
        <v>1156.6814964176087</v>
      </c>
      <c r="F14" s="1485">
        <v>1143.5999539269083</v>
      </c>
      <c r="G14" s="1484">
        <v>1436.2198622778747</v>
      </c>
      <c r="H14" s="1484">
        <v>884.18681797084969</v>
      </c>
      <c r="I14" s="1484">
        <v>1009.1053740267089</v>
      </c>
      <c r="J14" s="1486">
        <v>913.32048247416833</v>
      </c>
      <c r="K14" s="1483">
        <v>1301.0205023841299</v>
      </c>
      <c r="L14" s="1484">
        <v>821.39622707164449</v>
      </c>
      <c r="M14" s="1484">
        <v>1002.8443824120112</v>
      </c>
      <c r="N14" s="1487">
        <v>913</v>
      </c>
      <c r="O14" s="1484">
        <v>1409.9199169118667</v>
      </c>
      <c r="P14" s="1484"/>
      <c r="Q14" s="1484"/>
      <c r="R14" s="1486"/>
      <c r="S14" s="1483"/>
      <c r="T14" s="1484"/>
      <c r="U14" s="1484"/>
      <c r="V14" s="1487"/>
      <c r="W14" s="1484"/>
      <c r="X14" s="1484"/>
      <c r="Y14" s="1484"/>
      <c r="Z14" s="1487"/>
      <c r="AA14" s="1484"/>
      <c r="AB14" s="1484"/>
      <c r="AC14" s="1484"/>
      <c r="AD14" s="1484"/>
      <c r="AE14" s="1940"/>
      <c r="AF14" s="1484"/>
      <c r="AG14" s="1945"/>
      <c r="AH14" s="1488" t="e">
        <f t="shared" si="0"/>
        <v>#DIV/0!</v>
      </c>
      <c r="AI14" s="1489">
        <f t="shared" si="1"/>
        <v>0</v>
      </c>
      <c r="AJ14" s="1544" t="e">
        <f t="shared" si="2"/>
        <v>#DIV/0!</v>
      </c>
      <c r="AK14" s="19" t="s">
        <v>589</v>
      </c>
      <c r="AM14" s="43"/>
      <c r="AO14" s="1490"/>
      <c r="AP14" s="219"/>
    </row>
    <row r="15" spans="2:42" ht="17.25" customHeight="1">
      <c r="B15" s="1482" t="s">
        <v>516</v>
      </c>
      <c r="C15" s="1483">
        <v>12552.496647438928</v>
      </c>
      <c r="D15" s="1484">
        <v>14434.173449429994</v>
      </c>
      <c r="E15" s="1484">
        <v>12953.178688801727</v>
      </c>
      <c r="F15" s="1485">
        <v>11956.780328124671</v>
      </c>
      <c r="G15" s="1496">
        <v>13180.121479810874</v>
      </c>
      <c r="H15" s="1496">
        <v>12344.584048529698</v>
      </c>
      <c r="I15" s="1496">
        <v>10500</v>
      </c>
      <c r="J15" s="1497">
        <v>19016.557671837065</v>
      </c>
      <c r="K15" s="1498">
        <v>13069.037778207496</v>
      </c>
      <c r="L15" s="1499">
        <v>14444.725965387233</v>
      </c>
      <c r="M15" s="1496">
        <v>12835.009914851698</v>
      </c>
      <c r="N15" s="1500">
        <v>14186.063590099247</v>
      </c>
      <c r="O15" s="1496">
        <v>13124.884155884305</v>
      </c>
      <c r="P15" s="1496"/>
      <c r="Q15" s="1496"/>
      <c r="R15" s="1497"/>
      <c r="S15" s="1498"/>
      <c r="T15" s="1499"/>
      <c r="U15" s="1496"/>
      <c r="V15" s="1500"/>
      <c r="W15" s="1496"/>
      <c r="X15" s="1496"/>
      <c r="Y15" s="1496"/>
      <c r="Z15" s="1500"/>
      <c r="AA15" s="1484"/>
      <c r="AB15" s="1496"/>
      <c r="AC15" s="1496"/>
      <c r="AD15" s="1484"/>
      <c r="AE15" s="1942"/>
      <c r="AF15" s="1496"/>
      <c r="AG15" s="1947"/>
      <c r="AH15" s="1488" t="e">
        <f t="shared" si="0"/>
        <v>#DIV/0!</v>
      </c>
      <c r="AI15" s="1489">
        <f t="shared" si="1"/>
        <v>0</v>
      </c>
      <c r="AJ15" s="1544" t="e">
        <f t="shared" si="2"/>
        <v>#DIV/0!</v>
      </c>
      <c r="AK15" s="19" t="s">
        <v>517</v>
      </c>
      <c r="AM15" s="43"/>
      <c r="AO15" s="1490"/>
      <c r="AP15" s="219"/>
    </row>
    <row r="16" spans="2:42" ht="17.25" customHeight="1">
      <c r="B16" s="1482" t="s">
        <v>2</v>
      </c>
      <c r="C16" s="1483">
        <v>216.1</v>
      </c>
      <c r="D16" s="1484">
        <v>227.6</v>
      </c>
      <c r="E16" s="1484">
        <v>156.19999999999999</v>
      </c>
      <c r="F16" s="1485">
        <v>151.4</v>
      </c>
      <c r="G16" s="1484">
        <v>147.1</v>
      </c>
      <c r="H16" s="1484">
        <v>143.4</v>
      </c>
      <c r="I16" s="1484">
        <v>159.57900000000001</v>
      </c>
      <c r="J16" s="1486">
        <v>160.54300000000001</v>
      </c>
      <c r="K16" s="1483">
        <v>171.6</v>
      </c>
      <c r="L16" s="1484">
        <v>175.3</v>
      </c>
      <c r="M16" s="1484">
        <v>167</v>
      </c>
      <c r="N16" s="1487">
        <v>250</v>
      </c>
      <c r="O16" s="1484">
        <v>223</v>
      </c>
      <c r="P16" s="1484"/>
      <c r="Q16" s="1484"/>
      <c r="R16" s="1486"/>
      <c r="S16" s="1483"/>
      <c r="T16" s="1484"/>
      <c r="U16" s="1484"/>
      <c r="V16" s="1487"/>
      <c r="W16" s="1484"/>
      <c r="X16" s="1484"/>
      <c r="Y16" s="1484"/>
      <c r="Z16" s="1487"/>
      <c r="AA16" s="1484"/>
      <c r="AB16" s="1484"/>
      <c r="AC16" s="1484"/>
      <c r="AD16" s="1484"/>
      <c r="AE16" s="1940"/>
      <c r="AF16" s="1484"/>
      <c r="AG16" s="1945"/>
      <c r="AH16" s="1488" t="e">
        <f t="shared" si="0"/>
        <v>#DIV/0!</v>
      </c>
      <c r="AI16" s="1489">
        <f t="shared" si="1"/>
        <v>0</v>
      </c>
      <c r="AJ16" s="1544" t="e">
        <f t="shared" si="2"/>
        <v>#DIV/0!</v>
      </c>
      <c r="AK16" s="19" t="s">
        <v>337</v>
      </c>
      <c r="AM16" s="43"/>
      <c r="AO16" s="1490"/>
      <c r="AP16" s="219"/>
    </row>
    <row r="17" spans="2:42" ht="17.25" customHeight="1">
      <c r="B17" s="1482" t="s">
        <v>142</v>
      </c>
      <c r="C17" s="1483">
        <v>5710.3493882949406</v>
      </c>
      <c r="D17" s="1484">
        <v>5895.9015467991412</v>
      </c>
      <c r="E17" s="1484">
        <v>5939.0693003013057</v>
      </c>
      <c r="F17" s="1485">
        <v>6543.3962264150941</v>
      </c>
      <c r="G17" s="1484">
        <v>5224.8987422724367</v>
      </c>
      <c r="H17" s="1484">
        <v>5477.6859504132235</v>
      </c>
      <c r="I17" s="1484">
        <v>5664.1221374045799</v>
      </c>
      <c r="J17" s="1486">
        <v>6859.3290170688642</v>
      </c>
      <c r="K17" s="1483">
        <v>4649.1335873171929</v>
      </c>
      <c r="L17" s="1484">
        <v>4859.4903548463917</v>
      </c>
      <c r="M17" s="1484">
        <v>4960.4559199813912</v>
      </c>
      <c r="N17" s="1487">
        <v>6020.0821542674585</v>
      </c>
      <c r="O17" s="1484">
        <v>4478.2559327807421</v>
      </c>
      <c r="P17" s="1484"/>
      <c r="Q17" s="1484"/>
      <c r="R17" s="1486"/>
      <c r="S17" s="1483"/>
      <c r="T17" s="1484"/>
      <c r="U17" s="1484"/>
      <c r="V17" s="1487"/>
      <c r="W17" s="1484"/>
      <c r="X17" s="1484"/>
      <c r="Y17" s="1484"/>
      <c r="Z17" s="1487"/>
      <c r="AA17" s="1484"/>
      <c r="AB17" s="1484"/>
      <c r="AC17" s="1484"/>
      <c r="AD17" s="1484"/>
      <c r="AE17" s="1940"/>
      <c r="AF17" s="1484"/>
      <c r="AG17" s="1945"/>
      <c r="AH17" s="1488" t="e">
        <f t="shared" si="0"/>
        <v>#DIV/0!</v>
      </c>
      <c r="AI17" s="1489">
        <f t="shared" si="1"/>
        <v>0</v>
      </c>
      <c r="AJ17" s="1544" t="e">
        <f t="shared" si="2"/>
        <v>#DIV/0!</v>
      </c>
      <c r="AK17" s="19" t="s">
        <v>335</v>
      </c>
      <c r="AM17" s="43"/>
      <c r="AO17" s="1490"/>
      <c r="AP17" s="219"/>
    </row>
    <row r="18" spans="2:42" ht="17.25" customHeight="1">
      <c r="B18" s="1482" t="s">
        <v>518</v>
      </c>
      <c r="C18" s="1483"/>
      <c r="D18" s="1484"/>
      <c r="E18" s="1484"/>
      <c r="F18" s="1484"/>
      <c r="G18" s="1484"/>
      <c r="H18" s="1484"/>
      <c r="I18" s="1484"/>
      <c r="J18" s="1486"/>
      <c r="K18" s="1483">
        <v>51</v>
      </c>
      <c r="L18" s="1484">
        <v>63</v>
      </c>
      <c r="M18" s="1484">
        <v>77.28</v>
      </c>
      <c r="N18" s="1487">
        <v>87</v>
      </c>
      <c r="O18" s="1484">
        <v>47.5</v>
      </c>
      <c r="P18" s="1484"/>
      <c r="Q18" s="1484"/>
      <c r="R18" s="1486"/>
      <c r="S18" s="1483"/>
      <c r="T18" s="1484"/>
      <c r="U18" s="1484"/>
      <c r="V18" s="1487"/>
      <c r="W18" s="1484"/>
      <c r="X18" s="1484"/>
      <c r="Y18" s="1484"/>
      <c r="Z18" s="1487"/>
      <c r="AA18" s="1484"/>
      <c r="AB18" s="1484"/>
      <c r="AC18" s="1484"/>
      <c r="AD18" s="1484"/>
      <c r="AE18" s="1940"/>
      <c r="AF18" s="1484"/>
      <c r="AG18" s="1945"/>
      <c r="AH18" s="1488" t="e">
        <f t="shared" si="0"/>
        <v>#DIV/0!</v>
      </c>
      <c r="AI18" s="1489">
        <f t="shared" si="1"/>
        <v>0</v>
      </c>
      <c r="AJ18" s="1544" t="e">
        <f t="shared" si="2"/>
        <v>#DIV/0!</v>
      </c>
      <c r="AK18" s="19"/>
      <c r="AM18" s="43"/>
      <c r="AO18" s="1490"/>
      <c r="AP18" s="219"/>
    </row>
    <row r="19" spans="2:42" ht="17.25" customHeight="1">
      <c r="B19" s="1482" t="s">
        <v>585</v>
      </c>
      <c r="C19" s="1483">
        <v>1935.9545976942518</v>
      </c>
      <c r="D19" s="1484">
        <v>2460.592533792676</v>
      </c>
      <c r="E19" s="1484">
        <v>2149.5316670546604</v>
      </c>
      <c r="F19" s="1485">
        <v>2614.2779437165818</v>
      </c>
      <c r="G19" s="1502">
        <v>2108.3216366807028</v>
      </c>
      <c r="H19" s="1496">
        <v>2600.8320133362545</v>
      </c>
      <c r="I19" s="1496">
        <v>1983.5879673460004</v>
      </c>
      <c r="J19" s="1497">
        <v>2751.7954377112919</v>
      </c>
      <c r="K19" s="1498">
        <v>2483.3929117189591</v>
      </c>
      <c r="L19" s="1499">
        <v>1210.5037461512522</v>
      </c>
      <c r="M19" s="1496">
        <v>1632.6433062616966</v>
      </c>
      <c r="N19" s="1500">
        <v>3248.5729205150533</v>
      </c>
      <c r="O19" s="1502">
        <v>2468.4391538313293</v>
      </c>
      <c r="P19" s="1496"/>
      <c r="Q19" s="1496"/>
      <c r="R19" s="1497"/>
      <c r="S19" s="1498"/>
      <c r="T19" s="1499"/>
      <c r="U19" s="1496"/>
      <c r="V19" s="1500"/>
      <c r="W19" s="1502"/>
      <c r="X19" s="1496"/>
      <c r="Y19" s="1496"/>
      <c r="Z19" s="1500"/>
      <c r="AA19" s="1502"/>
      <c r="AB19" s="1496"/>
      <c r="AC19" s="1496"/>
      <c r="AD19" s="1484"/>
      <c r="AE19" s="1942"/>
      <c r="AF19" s="1496"/>
      <c r="AG19" s="1947"/>
      <c r="AH19" s="1696" t="e">
        <f t="shared" si="0"/>
        <v>#DIV/0!</v>
      </c>
      <c r="AI19" s="1848">
        <f t="shared" si="1"/>
        <v>0</v>
      </c>
      <c r="AJ19" s="1849" t="e">
        <f t="shared" si="2"/>
        <v>#DIV/0!</v>
      </c>
      <c r="AK19" s="1503" t="s">
        <v>336</v>
      </c>
      <c r="AL19" s="3"/>
      <c r="AM19" s="1504"/>
      <c r="AO19" s="1490"/>
      <c r="AP19" s="219"/>
    </row>
    <row r="20" spans="2:42" ht="17.25" customHeight="1">
      <c r="B20" s="1505" t="s">
        <v>14</v>
      </c>
      <c r="C20" s="1506">
        <f t="shared" ref="C20:AC20" si="3">SUM(C8:C19)</f>
        <v>27980.003749366777</v>
      </c>
      <c r="D20" s="1507">
        <f t="shared" si="3"/>
        <v>30542.272619302727</v>
      </c>
      <c r="E20" s="1507">
        <f t="shared" si="3"/>
        <v>28402.590375677326</v>
      </c>
      <c r="F20" s="1508">
        <f t="shared" si="3"/>
        <v>29389.516845863564</v>
      </c>
      <c r="G20" s="1507">
        <f t="shared" si="3"/>
        <v>27544.327362838878</v>
      </c>
      <c r="H20" s="1507">
        <f t="shared" si="3"/>
        <v>27625.566561088101</v>
      </c>
      <c r="I20" s="1507">
        <f t="shared" si="3"/>
        <v>25523.455218028321</v>
      </c>
      <c r="J20" s="1509">
        <f t="shared" si="3"/>
        <v>35888.222687658759</v>
      </c>
      <c r="K20" s="1506">
        <f t="shared" si="3"/>
        <v>26926.814810845641</v>
      </c>
      <c r="L20" s="1507">
        <f t="shared" si="3"/>
        <v>27449.838113020567</v>
      </c>
      <c r="M20" s="1507">
        <f t="shared" si="3"/>
        <v>26759.306337834718</v>
      </c>
      <c r="N20" s="1508">
        <f t="shared" si="3"/>
        <v>31375.03029312698</v>
      </c>
      <c r="O20" s="1507">
        <f t="shared" si="3"/>
        <v>27282.738899204236</v>
      </c>
      <c r="P20" s="1507">
        <f t="shared" si="3"/>
        <v>0</v>
      </c>
      <c r="Q20" s="1507">
        <f t="shared" si="3"/>
        <v>0</v>
      </c>
      <c r="R20" s="1509">
        <f t="shared" si="3"/>
        <v>0</v>
      </c>
      <c r="S20" s="1506">
        <f t="shared" si="3"/>
        <v>0</v>
      </c>
      <c r="T20" s="1507">
        <f t="shared" si="3"/>
        <v>0</v>
      </c>
      <c r="U20" s="1507">
        <f t="shared" si="3"/>
        <v>0</v>
      </c>
      <c r="V20" s="1508">
        <f t="shared" si="3"/>
        <v>0</v>
      </c>
      <c r="W20" s="1507">
        <f t="shared" si="3"/>
        <v>0</v>
      </c>
      <c r="X20" s="1507">
        <f t="shared" si="3"/>
        <v>0</v>
      </c>
      <c r="Y20" s="1507">
        <f t="shared" si="3"/>
        <v>0</v>
      </c>
      <c r="Z20" s="1508">
        <f t="shared" si="3"/>
        <v>0</v>
      </c>
      <c r="AA20" s="1507">
        <f t="shared" si="3"/>
        <v>0</v>
      </c>
      <c r="AB20" s="1507">
        <f t="shared" si="3"/>
        <v>0</v>
      </c>
      <c r="AC20" s="1507">
        <f t="shared" si="3"/>
        <v>0</v>
      </c>
      <c r="AD20" s="1508">
        <f>SUM(AD8:AD19)</f>
        <v>0</v>
      </c>
      <c r="AE20" s="1943">
        <f>SUM(AE8:AE19)</f>
        <v>0</v>
      </c>
      <c r="AF20" s="1507">
        <f>SUM(AF8:AF19)</f>
        <v>0</v>
      </c>
      <c r="AG20" s="1948">
        <f>SUM(AG8:AG19)</f>
        <v>0</v>
      </c>
      <c r="AH20" s="1488" t="e">
        <f t="shared" ref="AH20" si="4">AG20/AC20-1</f>
        <v>#DIV/0!</v>
      </c>
      <c r="AI20" s="1489">
        <f t="shared" ref="AI20" si="5">AG20-AC20</f>
        <v>0</v>
      </c>
      <c r="AJ20" s="1544" t="e">
        <f t="shared" ref="AJ20" si="6">AG20/AF20-1</f>
        <v>#DIV/0!</v>
      </c>
      <c r="AM20" s="43"/>
      <c r="AO20" s="1490"/>
      <c r="AP20" s="219"/>
    </row>
    <row r="21" spans="2:42" ht="13.8" customHeight="1">
      <c r="B21" s="2" t="s">
        <v>550</v>
      </c>
      <c r="C21" s="26">
        <v>0.18958462729105063</v>
      </c>
      <c r="D21" s="26">
        <v>0.19365517840729307</v>
      </c>
      <c r="E21" s="26">
        <v>6.4108547547695016E-2</v>
      </c>
      <c r="F21" s="26">
        <v>7.2267716729409681E-2</v>
      </c>
      <c r="G21" s="26">
        <f t="shared" ref="G21:S21" si="7">G20/C20-1</f>
        <v>-1.5570990998804213E-2</v>
      </c>
      <c r="H21" s="26">
        <f t="shared" si="7"/>
        <v>-9.5497348693406203E-2</v>
      </c>
      <c r="I21" s="26">
        <f t="shared" si="7"/>
        <v>-0.10136875262316092</v>
      </c>
      <c r="J21" s="26">
        <f t="shared" si="7"/>
        <v>0.22112326228016421</v>
      </c>
      <c r="K21" s="26">
        <f t="shared" si="7"/>
        <v>-2.2418864830453189E-2</v>
      </c>
      <c r="L21" s="26">
        <f t="shared" si="7"/>
        <v>-6.361080330386959E-3</v>
      </c>
      <c r="M21" s="26">
        <f t="shared" si="7"/>
        <v>4.8420212281190755E-2</v>
      </c>
      <c r="N21" s="26">
        <f t="shared" si="7"/>
        <v>-0.12575692125550075</v>
      </c>
      <c r="O21" s="26">
        <f t="shared" si="7"/>
        <v>1.3218202407484059E-2</v>
      </c>
      <c r="P21" s="26">
        <f t="shared" si="7"/>
        <v>-1</v>
      </c>
      <c r="Q21" s="26">
        <f t="shared" si="7"/>
        <v>-1</v>
      </c>
      <c r="R21" s="26">
        <f t="shared" si="7"/>
        <v>-1</v>
      </c>
      <c r="S21" s="26">
        <f t="shared" si="7"/>
        <v>-1</v>
      </c>
      <c r="T21" s="26" t="e">
        <f t="shared" ref="T21:AC21" si="8">T20/P20-1</f>
        <v>#DIV/0!</v>
      </c>
      <c r="U21" s="26" t="e">
        <f t="shared" si="8"/>
        <v>#DIV/0!</v>
      </c>
      <c r="V21" s="26" t="e">
        <f t="shared" si="8"/>
        <v>#DIV/0!</v>
      </c>
      <c r="W21" s="26" t="e">
        <f t="shared" si="8"/>
        <v>#DIV/0!</v>
      </c>
      <c r="X21" s="26" t="e">
        <f t="shared" si="8"/>
        <v>#DIV/0!</v>
      </c>
      <c r="Y21" s="26" t="e">
        <f t="shared" si="8"/>
        <v>#DIV/0!</v>
      </c>
      <c r="Z21" s="26" t="e">
        <f t="shared" si="8"/>
        <v>#DIV/0!</v>
      </c>
      <c r="AA21" s="26" t="e">
        <f t="shared" si="8"/>
        <v>#DIV/0!</v>
      </c>
      <c r="AB21" s="26" t="e">
        <f t="shared" si="8"/>
        <v>#DIV/0!</v>
      </c>
      <c r="AC21" s="26" t="e">
        <f t="shared" si="8"/>
        <v>#DIV/0!</v>
      </c>
      <c r="AD21" s="26" t="e">
        <f>AD20/Z20-1</f>
        <v>#DIV/0!</v>
      </c>
      <c r="AE21" s="26" t="e">
        <f>AE20/AA20-1</f>
        <v>#DIV/0!</v>
      </c>
      <c r="AF21" s="26" t="e">
        <f>AF20/AB20-1</f>
        <v>#DIV/0!</v>
      </c>
      <c r="AG21" s="26" t="e">
        <f>AG20/AC20-1</f>
        <v>#DIV/0!</v>
      </c>
      <c r="AH21" s="31" t="s">
        <v>550</v>
      </c>
    </row>
    <row r="22" spans="2:42" ht="13.8" customHeight="1">
      <c r="F22" s="26">
        <v>0.12712269448582858</v>
      </c>
      <c r="J22" s="26">
        <f>SUM(G20:J20)/SUM(C20:F20)-1</f>
        <v>2.2971212257376639E-3</v>
      </c>
      <c r="N22" s="26">
        <f>SUM(K20:P20)/SUM(G20:J20)-1</f>
        <v>0.1991065677030246</v>
      </c>
      <c r="Q22" s="26"/>
      <c r="R22" s="26"/>
      <c r="S22" s="26"/>
      <c r="U22" s="26"/>
      <c r="V22" s="26"/>
      <c r="W22" s="26"/>
      <c r="Y22" s="26"/>
      <c r="Z22" s="26"/>
      <c r="AA22" s="26"/>
      <c r="AC22" s="26"/>
      <c r="AD22" s="26" t="e">
        <f>AD20/AC20-1</f>
        <v>#DIV/0!</v>
      </c>
      <c r="AE22" s="26" t="e">
        <f>AE20/AD20-1</f>
        <v>#DIV/0!</v>
      </c>
      <c r="AF22" s="26" t="e">
        <f>AF20/AE20-1</f>
        <v>#DIV/0!</v>
      </c>
      <c r="AG22" s="26" t="e">
        <f>AG20/AF20-1</f>
        <v>#DIV/0!</v>
      </c>
      <c r="AI22" s="1510"/>
      <c r="AJ22" s="1511"/>
      <c r="AL22" s="43"/>
    </row>
    <row r="23" spans="2:42" ht="13.8" customHeight="1">
      <c r="C23" s="219"/>
      <c r="D23" s="219"/>
      <c r="E23" s="219"/>
      <c r="F23" s="219"/>
      <c r="G23" s="219"/>
      <c r="H23" s="219"/>
      <c r="I23" s="219"/>
      <c r="J23" s="219"/>
      <c r="K23" s="219"/>
      <c r="L23" s="219"/>
      <c r="M23" s="219"/>
      <c r="N23" s="219"/>
      <c r="O23" s="223"/>
      <c r="P23" s="219"/>
      <c r="Q23" s="219"/>
      <c r="R23" s="219"/>
      <c r="S23" s="219"/>
      <c r="T23" s="219"/>
      <c r="U23" s="219"/>
      <c r="V23" s="219"/>
      <c r="W23" s="219"/>
      <c r="X23" s="219"/>
      <c r="Y23" s="219"/>
      <c r="Z23" s="219"/>
      <c r="AA23" s="219"/>
      <c r="AB23" s="219"/>
      <c r="AC23" s="219"/>
      <c r="AD23" s="219"/>
      <c r="AE23" s="219"/>
      <c r="AF23" s="219"/>
      <c r="AG23" s="219"/>
      <c r="AI23" s="1512"/>
    </row>
    <row r="24" spans="2:42" ht="13.8" customHeight="1">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I24" s="1512"/>
    </row>
    <row r="25" spans="2:42" ht="13.8" customHeight="1">
      <c r="C25" s="1365"/>
      <c r="D25" s="1365"/>
      <c r="E25" s="1365"/>
      <c r="F25" s="1365"/>
      <c r="G25" s="1365"/>
      <c r="H25" s="1365"/>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c r="AI25" s="1512"/>
    </row>
    <row r="26" spans="2:42" ht="13.8" customHeight="1">
      <c r="C26" s="13"/>
      <c r="D26" s="13"/>
      <c r="E26" s="13"/>
      <c r="F26" s="1365"/>
      <c r="G26" s="13"/>
      <c r="H26" s="13"/>
      <c r="I26" s="13"/>
      <c r="J26" s="1365"/>
      <c r="N26" s="1365"/>
      <c r="R26" s="1365"/>
      <c r="V26" s="1365"/>
      <c r="Z26" s="1365"/>
      <c r="AA26" s="1365"/>
      <c r="AB26" s="1365"/>
      <c r="AC26" s="1365"/>
      <c r="AD26" s="1365"/>
      <c r="AE26" s="1365"/>
      <c r="AF26" s="1365"/>
      <c r="AG26" s="1365"/>
      <c r="AI26" s="1512"/>
      <c r="AJ26" s="1511"/>
    </row>
    <row r="27" spans="2:42" ht="13.8" customHeight="1">
      <c r="C27" s="13"/>
      <c r="D27" s="13"/>
      <c r="E27" s="13"/>
      <c r="F27" s="223"/>
      <c r="G27" s="13"/>
      <c r="H27" s="13"/>
      <c r="I27" s="13"/>
      <c r="J27" s="223"/>
      <c r="N27" s="223"/>
      <c r="O27" s="223"/>
      <c r="R27" s="223"/>
      <c r="V27" s="223"/>
      <c r="Z27" s="223"/>
      <c r="AA27" s="223"/>
      <c r="AB27" s="223"/>
      <c r="AC27" s="223"/>
      <c r="AD27" s="223"/>
      <c r="AE27" s="223"/>
      <c r="AF27" s="223"/>
      <c r="AG27" s="223"/>
      <c r="AJ27" s="1511"/>
      <c r="AL27" s="1513"/>
    </row>
    <row r="28" spans="2:42">
      <c r="AJ28" s="1511"/>
      <c r="AL28" s="1514"/>
    </row>
    <row r="29" spans="2:42">
      <c r="L29" s="43"/>
      <c r="O29" s="43"/>
      <c r="AI29" s="1514"/>
      <c r="AJ29" s="1511"/>
    </row>
    <row r="30" spans="2:42" ht="13.8">
      <c r="S30" s="1515"/>
      <c r="AD30" s="5"/>
      <c r="AE30" s="5"/>
      <c r="AF30" s="5"/>
      <c r="AG30" s="5"/>
      <c r="AI30" s="1514"/>
      <c r="AJ30" s="1511"/>
    </row>
    <row r="31" spans="2:42" ht="13.8">
      <c r="S31" s="1515"/>
      <c r="AI31" s="1514"/>
      <c r="AJ31" s="1511"/>
    </row>
    <row r="32" spans="2:42" ht="13.8">
      <c r="S32" s="1515"/>
    </row>
    <row r="33" spans="2:19" ht="13.8">
      <c r="B33" s="1476"/>
      <c r="K33" s="23"/>
      <c r="L33" s="23"/>
      <c r="S33" s="1515"/>
    </row>
    <row r="34" spans="2:19" ht="13.8">
      <c r="B34" s="1516"/>
      <c r="K34" s="1373"/>
      <c r="L34" s="1488"/>
      <c r="S34" s="1515"/>
    </row>
    <row r="35" spans="2:19" ht="13.8">
      <c r="B35" s="1516"/>
      <c r="K35" s="1373"/>
      <c r="L35" s="1488"/>
      <c r="S35" s="1515"/>
    </row>
    <row r="36" spans="2:19" ht="13.8">
      <c r="B36" s="1516"/>
      <c r="K36" s="1373"/>
      <c r="L36" s="1488"/>
      <c r="S36" s="1515"/>
    </row>
    <row r="37" spans="2:19" ht="13.8">
      <c r="B37" s="1516"/>
      <c r="K37" s="1373"/>
      <c r="L37" s="1488"/>
      <c r="S37" s="1515"/>
    </row>
    <row r="38" spans="2:19" ht="13.8">
      <c r="B38" s="1516"/>
      <c r="K38" s="1373"/>
      <c r="L38" s="1488"/>
      <c r="S38" s="1515"/>
    </row>
    <row r="39" spans="2:19" ht="13.8">
      <c r="B39" s="1516"/>
      <c r="K39" s="1373"/>
      <c r="L39" s="1488"/>
      <c r="S39" s="1515"/>
    </row>
    <row r="40" spans="2:19" ht="13.8">
      <c r="B40" s="1516"/>
      <c r="K40" s="1373"/>
      <c r="L40" s="1488"/>
      <c r="S40" s="1515"/>
    </row>
    <row r="41" spans="2:19">
      <c r="B41" s="1516"/>
      <c r="K41" s="1373"/>
      <c r="L41" s="1488"/>
    </row>
    <row r="42" spans="2:19">
      <c r="B42" s="1516"/>
      <c r="K42" s="1373"/>
      <c r="L42" s="1488"/>
    </row>
    <row r="43" spans="2:19">
      <c r="B43" s="1516"/>
      <c r="K43" s="1373"/>
      <c r="L43" s="1488"/>
    </row>
    <row r="44" spans="2:19">
      <c r="B44" s="1516"/>
      <c r="K44" s="1373"/>
      <c r="L44" s="1488"/>
    </row>
    <row r="45" spans="2:19">
      <c r="B45" s="1517"/>
      <c r="C45" s="1"/>
      <c r="D45" s="1"/>
      <c r="E45" s="1"/>
      <c r="F45" s="1"/>
      <c r="G45" s="1"/>
      <c r="H45" s="1"/>
      <c r="I45" s="1"/>
      <c r="J45" s="1"/>
      <c r="K45" s="1518"/>
      <c r="L45" s="1519"/>
    </row>
    <row r="46" spans="2:19">
      <c r="L46" s="1488"/>
    </row>
  </sheetData>
  <conditionalFormatting sqref="F8:F9">
    <cfRule type="expression" dxfId="2" priority="1">
      <formula>F8=0</formula>
    </cfRule>
  </conditionalFormatting>
  <conditionalFormatting sqref="F11:F12 F14:F17">
    <cfRule type="expression" dxfId="1" priority="3">
      <formula>F11=0</formula>
    </cfRule>
  </conditionalFormatting>
  <conditionalFormatting sqref="F19">
    <cfRule type="expression" dxfId="0" priority="2">
      <formula>F19=0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AW86"/>
  <sheetViews>
    <sheetView showGridLines="0" zoomScale="90" zoomScaleNormal="90"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 customWidth="1"/>
    <col min="3" max="10" width="8.77734375" hidden="1" customWidth="1" outlineLevel="1"/>
    <col min="11" max="11" width="8.77734375" hidden="1" customWidth="1" outlineLevel="1" collapsed="1"/>
    <col min="12" max="14" width="8.77734375" hidden="1" customWidth="1" outlineLevel="1"/>
    <col min="15" max="15" width="8.77734375" customWidth="1" collapsed="1"/>
    <col min="16" max="36" width="8.77734375" customWidth="1"/>
    <col min="37" max="37" width="15.77734375" customWidth="1"/>
    <col min="38" max="38" width="8.77734375" customWidth="1"/>
    <col min="40" max="44" width="8.77734375" customWidth="1"/>
    <col min="47" max="47" width="8.77734375" customWidth="1"/>
  </cols>
  <sheetData>
    <row r="2" spans="2:49" ht="17.399999999999999">
      <c r="B2" s="32" t="str">
        <f>'Charts for slides'!B2</f>
        <v>Quarterly Market Update for the quarter ended September 30, 2023</v>
      </c>
      <c r="AF2" s="43"/>
      <c r="AG2" s="43"/>
    </row>
    <row r="3" spans="2:49">
      <c r="B3" s="969" t="str">
        <f>Introduction!$B$2</f>
        <v>December 2023 QMU - Sample template for illustrative purposes only</v>
      </c>
      <c r="AF3" s="43"/>
      <c r="AG3" s="43"/>
      <c r="AH3" s="5"/>
    </row>
    <row r="4" spans="2:49" ht="13.8">
      <c r="B4" s="25" t="s">
        <v>52</v>
      </c>
      <c r="O4" s="1634"/>
    </row>
    <row r="5" spans="2:49">
      <c r="S5" s="5"/>
      <c r="V5" s="1697"/>
      <c r="X5" s="1697"/>
      <c r="Y5" s="1697"/>
      <c r="Z5" s="13"/>
      <c r="AP5" s="43"/>
      <c r="AQ5" s="43"/>
      <c r="AR5" s="43"/>
      <c r="AS5" s="43"/>
    </row>
    <row r="6" spans="2:49">
      <c r="B6" s="1476" t="s">
        <v>252</v>
      </c>
      <c r="O6" s="43"/>
      <c r="P6" s="43"/>
      <c r="Q6" s="43"/>
      <c r="R6" s="1364"/>
      <c r="S6" s="1364"/>
      <c r="T6" s="1364"/>
      <c r="U6" s="1364"/>
      <c r="V6" s="1364"/>
      <c r="W6" s="2095"/>
      <c r="X6" s="1364"/>
      <c r="Y6" s="1364"/>
      <c r="Z6" s="21"/>
      <c r="AA6" s="21"/>
      <c r="AB6" s="21"/>
      <c r="AC6" s="21"/>
      <c r="AD6" s="21"/>
      <c r="AE6" s="21"/>
      <c r="AF6" s="21"/>
      <c r="AG6" s="21"/>
      <c r="AH6" s="23" t="s">
        <v>270</v>
      </c>
      <c r="AI6" s="23" t="s">
        <v>347</v>
      </c>
      <c r="AJ6" s="23" t="s">
        <v>270</v>
      </c>
    </row>
    <row r="7" spans="2:49">
      <c r="B7" s="1578" t="s">
        <v>41</v>
      </c>
      <c r="C7" s="1478" t="s">
        <v>96</v>
      </c>
      <c r="D7" s="1525" t="s">
        <v>97</v>
      </c>
      <c r="E7" s="1525" t="s">
        <v>98</v>
      </c>
      <c r="F7" s="1635" t="s">
        <v>99</v>
      </c>
      <c r="G7" s="1478" t="s">
        <v>100</v>
      </c>
      <c r="H7" s="1479" t="s">
        <v>101</v>
      </c>
      <c r="I7" s="1479" t="s">
        <v>102</v>
      </c>
      <c r="J7" s="1480" t="s">
        <v>103</v>
      </c>
      <c r="K7" s="1524" t="s">
        <v>104</v>
      </c>
      <c r="L7" s="1525" t="s">
        <v>105</v>
      </c>
      <c r="M7" s="1525" t="s">
        <v>106</v>
      </c>
      <c r="N7" s="1635" t="s">
        <v>107</v>
      </c>
      <c r="O7" s="1478" t="s">
        <v>108</v>
      </c>
      <c r="P7" s="1479" t="s">
        <v>109</v>
      </c>
      <c r="Q7" s="1479" t="s">
        <v>110</v>
      </c>
      <c r="R7" s="1480" t="s">
        <v>111</v>
      </c>
      <c r="S7" s="1524" t="s">
        <v>112</v>
      </c>
      <c r="T7" s="1525" t="s">
        <v>113</v>
      </c>
      <c r="U7" s="1525" t="s">
        <v>114</v>
      </c>
      <c r="V7" s="1635" t="s">
        <v>115</v>
      </c>
      <c r="W7" s="1478" t="s">
        <v>463</v>
      </c>
      <c r="X7" s="1479" t="s">
        <v>464</v>
      </c>
      <c r="Y7" s="1479" t="s">
        <v>465</v>
      </c>
      <c r="Z7" s="1480" t="s">
        <v>466</v>
      </c>
      <c r="AA7" s="1478" t="s">
        <v>467</v>
      </c>
      <c r="AB7" s="1479" t="s">
        <v>468</v>
      </c>
      <c r="AC7" s="1479" t="s">
        <v>469</v>
      </c>
      <c r="AD7" s="1480" t="s">
        <v>470</v>
      </c>
      <c r="AE7" s="1524" t="s">
        <v>568</v>
      </c>
      <c r="AF7" s="1524" t="s">
        <v>594</v>
      </c>
      <c r="AG7" s="1524" t="s">
        <v>595</v>
      </c>
      <c r="AH7" s="23" t="s">
        <v>251</v>
      </c>
      <c r="AI7" s="23" t="s">
        <v>348</v>
      </c>
      <c r="AJ7" s="23" t="s">
        <v>279</v>
      </c>
      <c r="AL7" s="23" t="s">
        <v>497</v>
      </c>
      <c r="AM7" s="21"/>
      <c r="AN7" s="21"/>
      <c r="AO7" s="21"/>
      <c r="AW7" s="2094"/>
    </row>
    <row r="8" spans="2:49" ht="17.25" customHeight="1">
      <c r="B8" s="1482" t="s">
        <v>607</v>
      </c>
      <c r="C8" s="1528">
        <v>80.599999999999994</v>
      </c>
      <c r="D8" s="1580">
        <v>99.1</v>
      </c>
      <c r="E8" s="1580">
        <v>95.8</v>
      </c>
      <c r="F8" s="1497">
        <v>100.9</v>
      </c>
      <c r="G8" s="1498">
        <v>109.1</v>
      </c>
      <c r="H8" s="1496">
        <v>112.7</v>
      </c>
      <c r="I8" s="1484">
        <v>116</v>
      </c>
      <c r="J8" s="1501">
        <v>110.5</v>
      </c>
      <c r="K8" s="1527">
        <v>116.8</v>
      </c>
      <c r="L8" s="1528">
        <v>133.19999999999999</v>
      </c>
      <c r="M8" s="1528">
        <v>135.1</v>
      </c>
      <c r="N8" s="1497">
        <v>159.69999999999999</v>
      </c>
      <c r="O8" s="1498">
        <v>166.5</v>
      </c>
      <c r="P8" s="1496"/>
      <c r="Q8" s="1484"/>
      <c r="R8" s="1485"/>
      <c r="S8" s="1527"/>
      <c r="T8" s="1528"/>
      <c r="U8" s="1528"/>
      <c r="V8" s="1486"/>
      <c r="W8" s="1498"/>
      <c r="X8" s="1496"/>
      <c r="Y8" s="1496"/>
      <c r="Z8" s="1485"/>
      <c r="AA8" s="1498"/>
      <c r="AB8" s="1496"/>
      <c r="AC8" s="1496"/>
      <c r="AD8" s="1501"/>
      <c r="AE8" s="1527"/>
      <c r="AF8" s="1527"/>
      <c r="AG8" s="1527"/>
      <c r="AH8" s="1488" t="e">
        <f>AG8/AC8-1</f>
        <v>#DIV/0!</v>
      </c>
      <c r="AI8" s="1489">
        <f>AG8-AC8</f>
        <v>0</v>
      </c>
      <c r="AJ8" s="1544" t="e">
        <f>AG8/AF8-1</f>
        <v>#DIV/0!</v>
      </c>
      <c r="AK8" s="224"/>
      <c r="AL8" s="15"/>
      <c r="AM8" s="1747"/>
      <c r="AO8" s="1373"/>
      <c r="AP8" s="43"/>
      <c r="AQ8" s="43"/>
      <c r="AR8" s="43"/>
      <c r="AS8" s="43"/>
      <c r="AT8" s="43"/>
      <c r="AU8" s="43"/>
      <c r="AV8" s="43"/>
      <c r="AW8" s="248"/>
    </row>
    <row r="9" spans="2:49" ht="17.25" customHeight="1">
      <c r="B9" s="1482" t="s">
        <v>122</v>
      </c>
      <c r="C9" s="1528">
        <v>84.489000000000004</v>
      </c>
      <c r="D9" s="1580">
        <v>116.2</v>
      </c>
      <c r="E9" s="1580">
        <v>135.304</v>
      </c>
      <c r="F9" s="1497">
        <v>142</v>
      </c>
      <c r="G9" s="1498">
        <v>114.7</v>
      </c>
      <c r="H9" s="1496">
        <v>78.900000000000006</v>
      </c>
      <c r="I9" s="1484">
        <v>104.998</v>
      </c>
      <c r="J9" s="1501">
        <v>86.6</v>
      </c>
      <c r="K9" s="1527">
        <v>72.941000000000003</v>
      </c>
      <c r="L9" s="1528">
        <v>65</v>
      </c>
      <c r="M9" s="1528">
        <v>94.813999999999993</v>
      </c>
      <c r="N9" s="1497">
        <v>107.13</v>
      </c>
      <c r="O9" s="1483">
        <v>105.21599999999999</v>
      </c>
      <c r="P9" s="1484"/>
      <c r="Q9" s="1484"/>
      <c r="R9" s="1485"/>
      <c r="S9" s="1483"/>
      <c r="T9" s="1484"/>
      <c r="U9" s="1484"/>
      <c r="V9" s="1485"/>
      <c r="W9" s="1532"/>
      <c r="X9" s="1636"/>
      <c r="Y9" s="1535"/>
      <c r="Z9" s="1637"/>
      <c r="AA9" s="1532"/>
      <c r="AB9" s="1636"/>
      <c r="AC9" s="1535"/>
      <c r="AD9" s="1637"/>
      <c r="AE9" s="1534"/>
      <c r="AF9" s="1534"/>
      <c r="AG9" s="1534"/>
      <c r="AH9" s="1638"/>
      <c r="AI9" s="1639"/>
      <c r="AJ9" s="1495"/>
      <c r="AK9" s="1542" t="s">
        <v>598</v>
      </c>
      <c r="AL9" s="1543"/>
      <c r="AO9" s="1747"/>
      <c r="AP9" s="43"/>
      <c r="AQ9" s="43"/>
      <c r="AR9" s="43"/>
      <c r="AS9" s="43"/>
      <c r="AT9" s="43"/>
      <c r="AU9" s="43"/>
      <c r="AV9" s="43"/>
    </row>
    <row r="10" spans="2:49" ht="17.25" customHeight="1">
      <c r="B10" s="1482" t="s">
        <v>31</v>
      </c>
      <c r="C10" s="1528">
        <v>150.44951379120542</v>
      </c>
      <c r="D10" s="1580">
        <v>152.93469275282447</v>
      </c>
      <c r="E10" s="1580">
        <v>161</v>
      </c>
      <c r="F10" s="1497">
        <v>147</v>
      </c>
      <c r="G10" s="1498">
        <v>184</v>
      </c>
      <c r="H10" s="1496">
        <v>163.90556325191395</v>
      </c>
      <c r="I10" s="1484">
        <v>151.55247492090146</v>
      </c>
      <c r="J10" s="1501">
        <v>175</v>
      </c>
      <c r="K10" s="1527">
        <v>189.88735762381219</v>
      </c>
      <c r="L10" s="1528">
        <v>192.51269831316236</v>
      </c>
      <c r="M10" s="1528">
        <v>179.93649300246972</v>
      </c>
      <c r="N10" s="1497">
        <v>184</v>
      </c>
      <c r="O10" s="1498">
        <v>180.7077100968024</v>
      </c>
      <c r="P10" s="1496"/>
      <c r="Q10" s="1496"/>
      <c r="R10" s="1501"/>
      <c r="S10" s="1483"/>
      <c r="T10" s="1484"/>
      <c r="U10" s="1484"/>
      <c r="V10" s="1485"/>
      <c r="W10" s="1483"/>
      <c r="X10" s="1484"/>
      <c r="Y10" s="1484"/>
      <c r="Z10" s="1485"/>
      <c r="AA10" s="1483"/>
      <c r="AB10" s="1484"/>
      <c r="AC10" s="1484"/>
      <c r="AD10" s="1485"/>
      <c r="AE10" s="1484"/>
      <c r="AF10" s="1484"/>
      <c r="AG10" s="1484"/>
      <c r="AH10" s="1488" t="e">
        <f t="shared" ref="AH10:AH21" si="0">AG10/AC10-1</f>
        <v>#DIV/0!</v>
      </c>
      <c r="AI10" s="1489">
        <f t="shared" ref="AI10:AI21" si="1">AG10-AC10</f>
        <v>0</v>
      </c>
      <c r="AJ10" s="1544" t="e">
        <f t="shared" ref="AJ10:AJ21" si="2">AG10/AF10-1</f>
        <v>#DIV/0!</v>
      </c>
      <c r="AK10" s="224"/>
      <c r="AL10" s="15"/>
      <c r="AM10" s="1747"/>
      <c r="AO10" s="1373"/>
      <c r="AP10" s="43"/>
      <c r="AQ10" s="43"/>
      <c r="AR10" s="43"/>
      <c r="AS10" s="43"/>
      <c r="AT10" s="43"/>
      <c r="AU10" s="43"/>
      <c r="AV10" s="43"/>
      <c r="AW10" s="248"/>
    </row>
    <row r="11" spans="2:49" ht="17.25" customHeight="1">
      <c r="B11" s="1482" t="s">
        <v>32</v>
      </c>
      <c r="C11" s="1528">
        <v>50.4</v>
      </c>
      <c r="D11" s="1580">
        <v>55.3</v>
      </c>
      <c r="E11" s="1580">
        <v>70.099999999999994</v>
      </c>
      <c r="F11" s="1497">
        <v>85</v>
      </c>
      <c r="G11" s="1498">
        <v>96.2</v>
      </c>
      <c r="H11" s="1496">
        <v>117.4</v>
      </c>
      <c r="I11" s="1484">
        <v>88.879000000000005</v>
      </c>
      <c r="J11" s="1501">
        <v>79.855000000000004</v>
      </c>
      <c r="K11" s="1527">
        <v>65.2</v>
      </c>
      <c r="L11" s="1640">
        <v>87.8</v>
      </c>
      <c r="M11" s="1640">
        <v>56.386000000000003</v>
      </c>
      <c r="N11" s="1497">
        <v>58</v>
      </c>
      <c r="O11" s="1498">
        <v>52.719000000000001</v>
      </c>
      <c r="P11" s="1496"/>
      <c r="Q11" s="1496"/>
      <c r="R11" s="1485"/>
      <c r="S11" s="1527"/>
      <c r="T11" s="1580"/>
      <c r="U11" s="1580"/>
      <c r="V11" s="1486"/>
      <c r="W11" s="1498"/>
      <c r="X11" s="1484"/>
      <c r="Y11" s="1484"/>
      <c r="Z11" s="1485"/>
      <c r="AA11" s="1498"/>
      <c r="AB11" s="1484"/>
      <c r="AC11" s="1484"/>
      <c r="AD11" s="1485"/>
      <c r="AE11" s="1484"/>
      <c r="AF11" s="1484"/>
      <c r="AG11" s="1484"/>
      <c r="AH11" s="1488" t="e">
        <f t="shared" si="0"/>
        <v>#DIV/0!</v>
      </c>
      <c r="AI11" s="1489">
        <f t="shared" si="1"/>
        <v>0</v>
      </c>
      <c r="AJ11" s="1544" t="e">
        <f t="shared" si="2"/>
        <v>#DIV/0!</v>
      </c>
      <c r="AK11" s="224"/>
      <c r="AL11" s="15"/>
      <c r="AO11" s="1747"/>
      <c r="AP11" s="43"/>
      <c r="AQ11" s="43"/>
      <c r="AR11" s="43"/>
      <c r="AS11" s="43"/>
      <c r="AT11" s="43"/>
      <c r="AU11" s="43"/>
      <c r="AV11" s="43"/>
      <c r="AW11" s="248"/>
    </row>
    <row r="12" spans="2:49" ht="17.25" customHeight="1">
      <c r="B12" s="1482" t="s">
        <v>490</v>
      </c>
      <c r="C12" s="1496">
        <v>12.056250382239618</v>
      </c>
      <c r="D12" s="1484">
        <v>10.982792933468064</v>
      </c>
      <c r="E12" s="1484">
        <v>11.816446578631453</v>
      </c>
      <c r="F12" s="1497">
        <v>12.929750311195725</v>
      </c>
      <c r="G12" s="1498">
        <v>12.837763253449529</v>
      </c>
      <c r="H12" s="1496">
        <v>13.853911775428363</v>
      </c>
      <c r="I12" s="1484">
        <v>11.256399106299391</v>
      </c>
      <c r="J12" s="1501">
        <v>13.724875644456539</v>
      </c>
      <c r="K12" s="1641">
        <v>11.401784028695488</v>
      </c>
      <c r="L12" s="1496">
        <v>7.1529754812817457</v>
      </c>
      <c r="M12" s="1496">
        <v>11.268214159708338</v>
      </c>
      <c r="N12" s="1641">
        <v>11.621371859950541</v>
      </c>
      <c r="O12" s="1498">
        <v>12.457950991001674</v>
      </c>
      <c r="P12" s="1527"/>
      <c r="Q12" s="1527"/>
      <c r="R12" s="1485"/>
      <c r="S12" s="1527"/>
      <c r="T12" s="1618"/>
      <c r="U12" s="1618"/>
      <c r="V12" s="1486"/>
      <c r="W12" s="1498"/>
      <c r="X12" s="1618"/>
      <c r="Y12" s="1618"/>
      <c r="Z12" s="1485"/>
      <c r="AA12" s="1498"/>
      <c r="AB12" s="1618"/>
      <c r="AC12" s="1618"/>
      <c r="AD12" s="1485"/>
      <c r="AE12" s="1484"/>
      <c r="AF12" s="1484"/>
      <c r="AG12" s="1484"/>
      <c r="AH12" s="1488" t="e">
        <f t="shared" si="0"/>
        <v>#DIV/0!</v>
      </c>
      <c r="AI12" s="1489">
        <f t="shared" si="1"/>
        <v>0</v>
      </c>
      <c r="AJ12" s="1544" t="e">
        <f t="shared" si="2"/>
        <v>#DIV/0!</v>
      </c>
      <c r="AK12" s="224"/>
      <c r="AL12" s="15"/>
      <c r="AO12" s="1747"/>
      <c r="AP12" s="43"/>
      <c r="AQ12" s="43"/>
      <c r="AR12" s="43"/>
      <c r="AS12" s="43"/>
      <c r="AT12" s="43"/>
      <c r="AU12" s="43"/>
      <c r="AV12" s="43"/>
      <c r="AW12" s="248"/>
    </row>
    <row r="13" spans="2:49" ht="17.25" customHeight="1">
      <c r="B13" s="1482" t="s">
        <v>491</v>
      </c>
      <c r="C13" s="1496"/>
      <c r="D13" s="1484"/>
      <c r="E13" s="1484"/>
      <c r="F13" s="1497">
        <v>87.720582851285059</v>
      </c>
      <c r="G13" s="1498">
        <v>66.521423384168486</v>
      </c>
      <c r="H13" s="1496">
        <v>105.1403572730587</v>
      </c>
      <c r="I13" s="1484">
        <v>100.01649447435109</v>
      </c>
      <c r="J13" s="1501">
        <v>96.762976066282647</v>
      </c>
      <c r="K13" s="1641">
        <v>107.45075829085646</v>
      </c>
      <c r="L13" s="1496">
        <v>117.10666583056374</v>
      </c>
      <c r="M13" s="1496">
        <v>124.36787016347174</v>
      </c>
      <c r="N13" s="1641">
        <v>127.40972131835076</v>
      </c>
      <c r="O13" s="1498">
        <v>102.28738307366173</v>
      </c>
      <c r="P13" s="1527"/>
      <c r="Q13" s="1527"/>
      <c r="R13" s="1485"/>
      <c r="S13" s="1527"/>
      <c r="T13" s="1618"/>
      <c r="U13" s="1618"/>
      <c r="V13" s="1486"/>
      <c r="W13" s="1498"/>
      <c r="X13" s="1618"/>
      <c r="Y13" s="1618"/>
      <c r="Z13" s="1485"/>
      <c r="AA13" s="1498"/>
      <c r="AB13" s="1618"/>
      <c r="AC13" s="1618"/>
      <c r="AD13" s="1485"/>
      <c r="AE13" s="1484"/>
      <c r="AF13" s="1484"/>
      <c r="AG13" s="1484"/>
      <c r="AH13" s="1488" t="e">
        <f t="shared" si="0"/>
        <v>#DIV/0!</v>
      </c>
      <c r="AI13" s="1489">
        <f t="shared" si="1"/>
        <v>0</v>
      </c>
      <c r="AJ13" s="1544" t="e">
        <f t="shared" si="2"/>
        <v>#DIV/0!</v>
      </c>
      <c r="AK13" s="224"/>
      <c r="AL13" s="15"/>
      <c r="AN13" s="1747"/>
      <c r="AP13" s="43"/>
      <c r="AQ13" s="43"/>
      <c r="AR13" s="43"/>
      <c r="AS13" s="43"/>
      <c r="AT13" s="43"/>
      <c r="AU13" s="43"/>
      <c r="AV13" s="43"/>
      <c r="AW13" s="248"/>
    </row>
    <row r="14" spans="2:49" ht="17.25" customHeight="1">
      <c r="B14" s="1482" t="s">
        <v>125</v>
      </c>
      <c r="C14" s="1550">
        <v>22.371873279921701</v>
      </c>
      <c r="D14" s="1550">
        <v>29.514038149474999</v>
      </c>
      <c r="E14" s="1550">
        <v>25.587815126050401</v>
      </c>
      <c r="F14" s="1497">
        <v>29.9189939225306</v>
      </c>
      <c r="G14" s="1498">
        <v>27.8867102396514</v>
      </c>
      <c r="H14" s="1496">
        <v>34.878141013488928</v>
      </c>
      <c r="I14" s="1496">
        <v>34.670123858507509</v>
      </c>
      <c r="J14" s="1501">
        <v>32.582224943681013</v>
      </c>
      <c r="K14" s="1527">
        <v>28.00327229249265</v>
      </c>
      <c r="L14" s="1643">
        <v>24.769549131498088</v>
      </c>
      <c r="M14" s="1643">
        <v>29.107373868046572</v>
      </c>
      <c r="N14" s="1486">
        <v>32.68399207485502</v>
      </c>
      <c r="O14" s="1498">
        <v>33.206338852898881</v>
      </c>
      <c r="P14" s="1496"/>
      <c r="Q14" s="1496"/>
      <c r="R14" s="1485"/>
      <c r="S14" s="1527"/>
      <c r="T14" s="1618"/>
      <c r="U14" s="1618"/>
      <c r="V14" s="1485"/>
      <c r="W14" s="1527"/>
      <c r="X14" s="1618"/>
      <c r="Y14" s="1618"/>
      <c r="Z14" s="1485"/>
      <c r="AA14" s="1527"/>
      <c r="AB14" s="1618"/>
      <c r="AC14" s="1618"/>
      <c r="AD14" s="1485"/>
      <c r="AE14" s="1484"/>
      <c r="AF14" s="1484"/>
      <c r="AG14" s="1484"/>
      <c r="AH14" s="1488" t="e">
        <f t="shared" si="0"/>
        <v>#DIV/0!</v>
      </c>
      <c r="AI14" s="1489">
        <f t="shared" si="1"/>
        <v>0</v>
      </c>
      <c r="AJ14" s="1544" t="e">
        <f t="shared" si="2"/>
        <v>#DIV/0!</v>
      </c>
      <c r="AK14" s="224"/>
      <c r="AL14" s="15"/>
      <c r="AN14" s="1747"/>
      <c r="AP14" s="43"/>
      <c r="AQ14" s="43"/>
      <c r="AR14" s="43"/>
      <c r="AS14" s="43"/>
      <c r="AT14" s="43"/>
      <c r="AU14" s="43"/>
      <c r="AV14" s="43"/>
      <c r="AW14" s="248"/>
    </row>
    <row r="15" spans="2:49" ht="17.25" customHeight="1">
      <c r="B15" s="1482" t="s">
        <v>610</v>
      </c>
      <c r="C15" s="1528">
        <v>318.8</v>
      </c>
      <c r="D15" s="1528">
        <v>341</v>
      </c>
      <c r="E15" s="1580">
        <v>369.9</v>
      </c>
      <c r="F15" s="1497">
        <v>381</v>
      </c>
      <c r="G15" s="1498">
        <v>357.52699999999999</v>
      </c>
      <c r="H15" s="1496">
        <v>341.8</v>
      </c>
      <c r="I15" s="1496">
        <v>332.20499999999998</v>
      </c>
      <c r="J15" s="1501">
        <v>332.40300000000002</v>
      </c>
      <c r="K15" s="1527">
        <v>310</v>
      </c>
      <c r="L15" s="1643">
        <v>317.3</v>
      </c>
      <c r="M15" s="1643">
        <v>325.423</v>
      </c>
      <c r="N15" s="1486">
        <v>327.60000000000002</v>
      </c>
      <c r="O15" s="1498">
        <v>310.08499999999998</v>
      </c>
      <c r="P15" s="1496"/>
      <c r="Q15" s="1642"/>
      <c r="R15" s="1644"/>
      <c r="S15" s="1618"/>
      <c r="T15" s="1618"/>
      <c r="U15" s="1618"/>
      <c r="V15" s="1485"/>
      <c r="W15" s="1527"/>
      <c r="X15" s="1618"/>
      <c r="Y15" s="1618"/>
      <c r="Z15" s="1485"/>
      <c r="AA15" s="1527"/>
      <c r="AB15" s="1618"/>
      <c r="AC15" s="1618"/>
      <c r="AD15" s="1485"/>
      <c r="AE15" s="1484"/>
      <c r="AF15" s="1484"/>
      <c r="AG15" s="1484"/>
      <c r="AH15" s="1488" t="e">
        <f t="shared" si="0"/>
        <v>#DIV/0!</v>
      </c>
      <c r="AI15" s="1489">
        <f t="shared" si="1"/>
        <v>0</v>
      </c>
      <c r="AJ15" s="1544" t="e">
        <f t="shared" si="2"/>
        <v>#DIV/0!</v>
      </c>
      <c r="AK15" s="1542" t="s">
        <v>618</v>
      </c>
      <c r="AL15" s="1543"/>
      <c r="AM15" s="1747"/>
      <c r="AN15" s="1373"/>
      <c r="AP15" s="43"/>
      <c r="AQ15" s="43"/>
      <c r="AR15" s="43"/>
      <c r="AS15" s="43"/>
      <c r="AT15" s="43"/>
      <c r="AU15" s="43"/>
      <c r="AV15" s="43"/>
      <c r="AW15" s="248"/>
    </row>
    <row r="16" spans="2:49" ht="17.25" customHeight="1">
      <c r="B16" s="1482" t="s">
        <v>34</v>
      </c>
      <c r="C16" s="1528">
        <v>142.59066723747785</v>
      </c>
      <c r="D16" s="1528">
        <v>179.61913330334386</v>
      </c>
      <c r="E16" s="1528">
        <v>164.23751686909583</v>
      </c>
      <c r="F16" s="1497">
        <v>218</v>
      </c>
      <c r="G16" s="1498">
        <v>197</v>
      </c>
      <c r="H16" s="1496">
        <v>134.15231498359458</v>
      </c>
      <c r="I16" s="1484">
        <v>162</v>
      </c>
      <c r="J16" s="1501">
        <v>155</v>
      </c>
      <c r="K16" s="1527">
        <v>145</v>
      </c>
      <c r="L16" s="1528">
        <f>1.0035*K16</f>
        <v>145.50750000000002</v>
      </c>
      <c r="M16" s="1528">
        <f>1.05*L16</f>
        <v>152.78287500000002</v>
      </c>
      <c r="N16" s="1497">
        <v>145</v>
      </c>
      <c r="O16" s="1498">
        <f>0.95*N16</f>
        <v>137.75</v>
      </c>
      <c r="P16" s="1496"/>
      <c r="Q16" s="1496"/>
      <c r="R16" s="1501"/>
      <c r="S16" s="1527"/>
      <c r="T16" s="1580"/>
      <c r="U16" s="1528"/>
      <c r="V16" s="1497"/>
      <c r="W16" s="1483"/>
      <c r="X16" s="1484"/>
      <c r="Y16" s="1484"/>
      <c r="Z16" s="1501"/>
      <c r="AA16" s="1483"/>
      <c r="AB16" s="1484"/>
      <c r="AC16" s="1496"/>
      <c r="AD16" s="1501"/>
      <c r="AE16" s="1496"/>
      <c r="AF16" s="1496"/>
      <c r="AG16" s="1496"/>
      <c r="AH16" s="1488" t="e">
        <f t="shared" si="0"/>
        <v>#DIV/0!</v>
      </c>
      <c r="AI16" s="1489">
        <f t="shared" si="1"/>
        <v>0</v>
      </c>
      <c r="AJ16" s="1544" t="e">
        <f t="shared" si="2"/>
        <v>#DIV/0!</v>
      </c>
      <c r="AK16" s="224"/>
      <c r="AL16" s="15"/>
      <c r="AN16" s="1747"/>
      <c r="AP16" s="43"/>
      <c r="AQ16" s="43"/>
      <c r="AR16" s="43"/>
      <c r="AS16" s="43"/>
      <c r="AT16" s="43"/>
      <c r="AU16" s="43"/>
      <c r="AV16" s="43"/>
      <c r="AW16" s="248"/>
    </row>
    <row r="17" spans="2:49" ht="17.25" customHeight="1">
      <c r="B17" s="1482" t="s">
        <v>527</v>
      </c>
      <c r="C17" s="1550">
        <v>46.960053853097321</v>
      </c>
      <c r="D17" s="1550">
        <v>46.960053853097321</v>
      </c>
      <c r="E17" s="1550">
        <v>50.916575266356539</v>
      </c>
      <c r="F17" s="1497">
        <v>49.689984268140876</v>
      </c>
      <c r="G17" s="1498">
        <v>53.957879448075531</v>
      </c>
      <c r="H17" s="1496">
        <v>54.174261757200142</v>
      </c>
      <c r="I17" s="1484">
        <v>72</v>
      </c>
      <c r="J17" s="1501">
        <v>83</v>
      </c>
      <c r="K17" s="1527">
        <v>70</v>
      </c>
      <c r="L17" s="1528">
        <v>74</v>
      </c>
      <c r="M17" s="1528">
        <v>77</v>
      </c>
      <c r="N17" s="1497">
        <v>76</v>
      </c>
      <c r="O17" s="1498">
        <v>72</v>
      </c>
      <c r="P17" s="1496"/>
      <c r="Q17" s="1496"/>
      <c r="R17" s="1485"/>
      <c r="S17" s="1483"/>
      <c r="T17" s="1484"/>
      <c r="U17" s="1484"/>
      <c r="V17" s="1485"/>
      <c r="W17" s="1483"/>
      <c r="X17" s="1484"/>
      <c r="Y17" s="1484"/>
      <c r="Z17" s="1501"/>
      <c r="AA17" s="1498"/>
      <c r="AB17" s="1484"/>
      <c r="AC17" s="1484"/>
      <c r="AD17" s="1485"/>
      <c r="AE17" s="1484"/>
      <c r="AF17" s="1484"/>
      <c r="AG17" s="1484"/>
      <c r="AH17" s="1488" t="e">
        <f t="shared" si="0"/>
        <v>#DIV/0!</v>
      </c>
      <c r="AI17" s="1489">
        <f t="shared" si="1"/>
        <v>0</v>
      </c>
      <c r="AJ17" s="1544" t="e">
        <f t="shared" si="2"/>
        <v>#DIV/0!</v>
      </c>
      <c r="AK17" s="224"/>
      <c r="AL17" s="15"/>
      <c r="AN17" s="1747"/>
      <c r="AP17" s="43"/>
      <c r="AQ17" s="43"/>
      <c r="AR17" s="43"/>
      <c r="AS17" s="43"/>
      <c r="AT17" s="43"/>
      <c r="AU17" s="43"/>
      <c r="AV17" s="43"/>
      <c r="AW17" s="248"/>
    </row>
    <row r="18" spans="2:49" ht="17.25" customHeight="1">
      <c r="B18" s="1482" t="s">
        <v>128</v>
      </c>
      <c r="C18" s="1528">
        <v>55</v>
      </c>
      <c r="D18" s="1528">
        <v>60</v>
      </c>
      <c r="E18" s="1580">
        <v>88</v>
      </c>
      <c r="F18" s="1497">
        <v>93.5</v>
      </c>
      <c r="G18" s="1483">
        <v>98</v>
      </c>
      <c r="H18" s="1496">
        <v>153</v>
      </c>
      <c r="I18" s="1484">
        <v>171</v>
      </c>
      <c r="J18" s="1501">
        <v>184</v>
      </c>
      <c r="K18" s="1527">
        <v>220.0931344786357</v>
      </c>
      <c r="L18" s="1528">
        <v>223.7097886749859</v>
      </c>
      <c r="M18" s="1528">
        <v>202.42855462777845</v>
      </c>
      <c r="N18" s="1497">
        <v>138</v>
      </c>
      <c r="O18" s="1498">
        <v>129.86050372830098</v>
      </c>
      <c r="P18" s="1496"/>
      <c r="Q18" s="1496"/>
      <c r="R18" s="1485"/>
      <c r="S18" s="1483"/>
      <c r="T18" s="1484"/>
      <c r="U18" s="1484"/>
      <c r="V18" s="1485"/>
      <c r="W18" s="1483"/>
      <c r="X18" s="1484"/>
      <c r="Y18" s="1484"/>
      <c r="Z18" s="1501"/>
      <c r="AA18" s="1483"/>
      <c r="AB18" s="1484"/>
      <c r="AC18" s="1484"/>
      <c r="AD18" s="1485"/>
      <c r="AE18" s="1484"/>
      <c r="AF18" s="1484"/>
      <c r="AG18" s="1484"/>
      <c r="AH18" s="1488" t="e">
        <f t="shared" si="0"/>
        <v>#DIV/0!</v>
      </c>
      <c r="AI18" s="1489">
        <f t="shared" si="1"/>
        <v>0</v>
      </c>
      <c r="AJ18" s="1544" t="e">
        <f t="shared" si="2"/>
        <v>#DIV/0!</v>
      </c>
      <c r="AK18" s="224"/>
      <c r="AL18" s="15"/>
      <c r="AM18" s="1747"/>
      <c r="AN18" s="1373"/>
      <c r="AP18" s="43"/>
      <c r="AQ18" s="43"/>
      <c r="AR18" s="43"/>
      <c r="AS18" s="43"/>
      <c r="AT18" s="43"/>
      <c r="AU18" s="43"/>
      <c r="AV18" s="43"/>
      <c r="AW18" s="248"/>
    </row>
    <row r="19" spans="2:49" ht="17.25" customHeight="1">
      <c r="B19" s="1482" t="s">
        <v>492</v>
      </c>
      <c r="C19" s="1496">
        <v>18.890315641268113</v>
      </c>
      <c r="D19" s="1496">
        <v>19.885760322007123</v>
      </c>
      <c r="E19" s="1484">
        <v>15.463249211356466</v>
      </c>
      <c r="F19" s="1497">
        <v>11.025577290361555</v>
      </c>
      <c r="G19" s="1483">
        <v>12.119863024730931</v>
      </c>
      <c r="H19" s="1496">
        <v>15.827690924892355</v>
      </c>
      <c r="I19" s="1484">
        <v>18.3626583135906</v>
      </c>
      <c r="J19" s="1501">
        <v>20.843284275961004</v>
      </c>
      <c r="K19" s="1527">
        <v>19.717576220969132</v>
      </c>
      <c r="L19" s="1496">
        <v>16.868862472395808</v>
      </c>
      <c r="M19" s="1496">
        <v>19.742547779009847</v>
      </c>
      <c r="N19" s="1497">
        <v>21.93921922778846</v>
      </c>
      <c r="O19" s="1498">
        <v>14.463577361819722</v>
      </c>
      <c r="P19" s="1496"/>
      <c r="Q19" s="1496"/>
      <c r="R19" s="1485"/>
      <c r="S19" s="1483"/>
      <c r="T19" s="1484"/>
      <c r="U19" s="1484"/>
      <c r="V19" s="1485"/>
      <c r="W19" s="1483"/>
      <c r="X19" s="1484"/>
      <c r="Y19" s="1484"/>
      <c r="Z19" s="1501"/>
      <c r="AA19" s="1483"/>
      <c r="AB19" s="1484"/>
      <c r="AC19" s="1484"/>
      <c r="AD19" s="1485"/>
      <c r="AE19" s="1484"/>
      <c r="AF19" s="1484"/>
      <c r="AG19" s="1484"/>
      <c r="AH19" s="1488" t="e">
        <f t="shared" si="0"/>
        <v>#DIV/0!</v>
      </c>
      <c r="AI19" s="1489">
        <f t="shared" si="1"/>
        <v>0</v>
      </c>
      <c r="AJ19" s="1544" t="e">
        <f t="shared" si="2"/>
        <v>#DIV/0!</v>
      </c>
      <c r="AK19" s="224"/>
      <c r="AL19" s="15"/>
      <c r="AM19" s="1747"/>
      <c r="AO19" s="1747"/>
      <c r="AP19" s="43"/>
      <c r="AQ19" s="43"/>
      <c r="AR19" s="43"/>
      <c r="AS19" s="43"/>
      <c r="AT19" s="43"/>
      <c r="AU19" s="43"/>
      <c r="AV19" s="43"/>
      <c r="AW19" s="248"/>
    </row>
    <row r="20" spans="2:49" ht="17.25" customHeight="1">
      <c r="B20" s="1851" t="s">
        <v>605</v>
      </c>
      <c r="C20" s="1496"/>
      <c r="D20" s="1496"/>
      <c r="E20" s="1484"/>
      <c r="F20" s="1497"/>
      <c r="G20" s="1698"/>
      <c r="H20" s="1496"/>
      <c r="I20" s="1484"/>
      <c r="J20" s="1852"/>
      <c r="K20" s="1527"/>
      <c r="L20" s="1496"/>
      <c r="M20" s="1496"/>
      <c r="N20" s="1497"/>
      <c r="O20" s="1699"/>
      <c r="P20" s="1496"/>
      <c r="Q20" s="1496"/>
      <c r="R20" s="1853"/>
      <c r="S20" s="1698"/>
      <c r="T20" s="1484"/>
      <c r="U20" s="1484"/>
      <c r="V20" s="1853"/>
      <c r="W20" s="1698"/>
      <c r="X20" s="1484"/>
      <c r="Y20" s="1484"/>
      <c r="Z20" s="1852"/>
      <c r="AA20" s="1698"/>
      <c r="AB20" s="1484"/>
      <c r="AC20" s="1484"/>
      <c r="AD20" s="1853"/>
      <c r="AE20" s="1484"/>
      <c r="AF20" s="1484"/>
      <c r="AG20" s="1484"/>
      <c r="AH20" s="1488" t="e">
        <f t="shared" si="0"/>
        <v>#DIV/0!</v>
      </c>
      <c r="AI20" s="1489">
        <f t="shared" si="1"/>
        <v>0</v>
      </c>
      <c r="AJ20" s="1544" t="e">
        <f t="shared" si="2"/>
        <v>#DIV/0!</v>
      </c>
      <c r="AK20" s="224"/>
      <c r="AL20" s="15"/>
      <c r="AM20" s="1747"/>
      <c r="AO20" s="1747"/>
      <c r="AP20" s="43"/>
      <c r="AQ20" s="43"/>
      <c r="AR20" s="43"/>
      <c r="AS20" s="43"/>
      <c r="AT20" s="43"/>
      <c r="AU20" s="43"/>
      <c r="AV20" s="43"/>
      <c r="AW20" s="248"/>
    </row>
    <row r="21" spans="2:49" ht="17.25" customHeight="1">
      <c r="B21" s="1482" t="s">
        <v>606</v>
      </c>
      <c r="C21" s="1528">
        <v>197.2</v>
      </c>
      <c r="D21" s="1580">
        <v>201.2</v>
      </c>
      <c r="E21" s="1580">
        <v>218.3</v>
      </c>
      <c r="F21" s="1497">
        <v>237</v>
      </c>
      <c r="G21" s="1498">
        <v>216.1</v>
      </c>
      <c r="H21" s="1496">
        <v>186.8</v>
      </c>
      <c r="I21" s="1484">
        <v>207.9</v>
      </c>
      <c r="J21" s="1501">
        <v>360.1</v>
      </c>
      <c r="K21" s="1527">
        <v>246.3</v>
      </c>
      <c r="L21" s="1528">
        <v>244.9</v>
      </c>
      <c r="M21" s="1528">
        <v>310.10000000000002</v>
      </c>
      <c r="N21" s="1497">
        <v>325.39999999999998</v>
      </c>
      <c r="O21" s="1498">
        <v>377.9</v>
      </c>
      <c r="P21" s="1496"/>
      <c r="Q21" s="1496"/>
      <c r="R21" s="1485"/>
      <c r="S21" s="1483"/>
      <c r="T21" s="1484"/>
      <c r="U21" s="1484"/>
      <c r="V21" s="1485"/>
      <c r="W21" s="1483"/>
      <c r="X21" s="1484"/>
      <c r="Y21" s="1484"/>
      <c r="Z21" s="1501"/>
      <c r="AA21" s="1498"/>
      <c r="AB21" s="1484"/>
      <c r="AC21" s="1484"/>
      <c r="AD21" s="1485"/>
      <c r="AE21" s="1484"/>
      <c r="AF21" s="1484"/>
      <c r="AG21" s="1484"/>
      <c r="AH21" s="1488" t="e">
        <f t="shared" si="0"/>
        <v>#DIV/0!</v>
      </c>
      <c r="AI21" s="1489">
        <f t="shared" si="1"/>
        <v>0</v>
      </c>
      <c r="AJ21" s="1544" t="e">
        <f t="shared" si="2"/>
        <v>#DIV/0!</v>
      </c>
      <c r="AK21" s="224"/>
      <c r="AL21" s="15"/>
      <c r="AM21" s="1747"/>
      <c r="AO21" s="1373"/>
      <c r="AP21" s="43"/>
      <c r="AQ21" s="43"/>
      <c r="AR21" s="43"/>
      <c r="AS21" s="43"/>
      <c r="AT21" s="43"/>
      <c r="AU21" s="43"/>
      <c r="AV21" s="43"/>
      <c r="AW21" s="248"/>
    </row>
    <row r="22" spans="2:49" ht="17.25" customHeight="1">
      <c r="B22" s="1482" t="s">
        <v>35</v>
      </c>
      <c r="C22" s="1528">
        <v>99.1</v>
      </c>
      <c r="D22" s="1580">
        <v>99.1</v>
      </c>
      <c r="E22" s="1580">
        <v>103.3</v>
      </c>
      <c r="F22" s="1497">
        <v>109.8</v>
      </c>
      <c r="G22" s="1498">
        <v>71.7</v>
      </c>
      <c r="H22" s="1496">
        <v>73</v>
      </c>
      <c r="I22" s="1484">
        <v>71.120999999999995</v>
      </c>
      <c r="J22" s="1501">
        <v>76.900000000000006</v>
      </c>
      <c r="K22" s="1527">
        <v>68.599999999999994</v>
      </c>
      <c r="L22" s="1528">
        <v>81.099999999999994</v>
      </c>
      <c r="M22" s="1528">
        <v>81.7</v>
      </c>
      <c r="N22" s="1497">
        <v>91.1</v>
      </c>
      <c r="O22" s="1498">
        <v>79.366</v>
      </c>
      <c r="P22" s="1496"/>
      <c r="Q22" s="1496"/>
      <c r="R22" s="1485"/>
      <c r="S22" s="1527"/>
      <c r="T22" s="1580"/>
      <c r="U22" s="1580"/>
      <c r="V22" s="1497"/>
      <c r="W22" s="1498"/>
      <c r="X22" s="1484"/>
      <c r="Y22" s="1484"/>
      <c r="Z22" s="1501"/>
      <c r="AA22" s="1498"/>
      <c r="AB22" s="1585"/>
      <c r="AC22" s="1645"/>
      <c r="AD22" s="1637"/>
      <c r="AE22" s="1534"/>
      <c r="AF22" s="1534"/>
      <c r="AG22" s="1534"/>
      <c r="AH22" s="1638"/>
      <c r="AI22" s="1639"/>
      <c r="AJ22" s="1495"/>
      <c r="AK22" s="1542" t="s">
        <v>547</v>
      </c>
      <c r="AL22" s="1543"/>
      <c r="AN22" s="1747"/>
      <c r="AP22" s="43"/>
      <c r="AQ22" s="43"/>
      <c r="AR22" s="43"/>
      <c r="AS22" s="43"/>
      <c r="AT22" s="43"/>
      <c r="AU22" s="43"/>
      <c r="AV22" s="43"/>
      <c r="AW22" s="248"/>
    </row>
    <row r="23" spans="2:49" ht="17.25" customHeight="1">
      <c r="B23" s="1482" t="s">
        <v>130</v>
      </c>
      <c r="C23" s="1550">
        <v>13.607873746222266</v>
      </c>
      <c r="D23" s="1588">
        <v>13.354742881217851</v>
      </c>
      <c r="E23" s="1588">
        <v>16.949070840635351</v>
      </c>
      <c r="F23" s="1497">
        <v>24.856084539520594</v>
      </c>
      <c r="G23" s="1498">
        <v>20.245789248394285</v>
      </c>
      <c r="H23" s="1496">
        <v>17.374198050997453</v>
      </c>
      <c r="I23" s="1496">
        <v>14.760861766622105</v>
      </c>
      <c r="J23" s="1501">
        <v>15.234050035451244</v>
      </c>
      <c r="K23" s="1527">
        <v>16.096724757294414</v>
      </c>
      <c r="L23" s="1550">
        <v>17.254161954910519</v>
      </c>
      <c r="M23" s="1550">
        <v>18.67040401687871</v>
      </c>
      <c r="N23" s="1497">
        <v>21.86983399787519</v>
      </c>
      <c r="O23" s="1498">
        <v>38.565291894723302</v>
      </c>
      <c r="P23" s="1496"/>
      <c r="Q23" s="1496"/>
      <c r="R23" s="1485"/>
      <c r="S23" s="1527"/>
      <c r="T23" s="1580"/>
      <c r="U23" s="1580"/>
      <c r="V23" s="1497"/>
      <c r="W23" s="1498"/>
      <c r="X23" s="1484"/>
      <c r="Y23" s="1484"/>
      <c r="Z23" s="1501"/>
      <c r="AA23" s="1498"/>
      <c r="AB23" s="1484"/>
      <c r="AC23" s="1484"/>
      <c r="AD23" s="1485"/>
      <c r="AE23" s="1484"/>
      <c r="AF23" s="1484"/>
      <c r="AG23" s="1484"/>
      <c r="AH23" s="1488" t="e">
        <f>AG23/AC23-1</f>
        <v>#DIV/0!</v>
      </c>
      <c r="AI23" s="1489">
        <f>AG23-AC23</f>
        <v>0</v>
      </c>
      <c r="AJ23" s="1544" t="e">
        <f>AG23/AF23-1</f>
        <v>#DIV/0!</v>
      </c>
      <c r="AK23" s="224"/>
      <c r="AL23" s="15"/>
      <c r="AM23" s="1747"/>
      <c r="AN23" s="1747"/>
      <c r="AP23" s="43"/>
      <c r="AQ23" s="43"/>
      <c r="AR23" s="43"/>
      <c r="AS23" s="43"/>
      <c r="AT23" s="43"/>
      <c r="AU23" s="43"/>
      <c r="AV23" s="43"/>
      <c r="AW23" s="248"/>
    </row>
    <row r="24" spans="2:49" ht="17.25" customHeight="1">
      <c r="B24" s="1482" t="s">
        <v>36</v>
      </c>
      <c r="C24" s="1528">
        <v>48</v>
      </c>
      <c r="D24" s="1580">
        <v>48</v>
      </c>
      <c r="E24" s="1580">
        <v>52</v>
      </c>
      <c r="F24" s="1497">
        <v>57.889229896322277</v>
      </c>
      <c r="G24" s="1498">
        <v>55</v>
      </c>
      <c r="H24" s="1496">
        <v>41</v>
      </c>
      <c r="I24" s="1484">
        <v>68.5</v>
      </c>
      <c r="J24" s="1501">
        <v>79.26127045901157</v>
      </c>
      <c r="K24" s="1527">
        <v>77.140594059405942</v>
      </c>
      <c r="L24" s="1528">
        <v>76.937132081241558</v>
      </c>
      <c r="M24" s="1528">
        <v>83.414233088169681</v>
      </c>
      <c r="N24" s="1497">
        <v>83.582568045674591</v>
      </c>
      <c r="O24" s="1498">
        <v>89.430608837511627</v>
      </c>
      <c r="P24" s="1496"/>
      <c r="Q24" s="1496"/>
      <c r="R24" s="1485"/>
      <c r="S24" s="1483"/>
      <c r="T24" s="1484"/>
      <c r="U24" s="1484"/>
      <c r="V24" s="1485"/>
      <c r="W24" s="1532"/>
      <c r="X24" s="1585"/>
      <c r="Y24" s="1645"/>
      <c r="Z24" s="1637"/>
      <c r="AA24" s="1532"/>
      <c r="AB24" s="1585"/>
      <c r="AC24" s="1645"/>
      <c r="AD24" s="1637"/>
      <c r="AE24" s="1534"/>
      <c r="AF24" s="1534"/>
      <c r="AG24" s="1534"/>
      <c r="AH24" s="1638"/>
      <c r="AI24" s="1639"/>
      <c r="AJ24" s="1495"/>
      <c r="AK24" s="1542" t="s">
        <v>579</v>
      </c>
      <c r="AL24" s="1543"/>
      <c r="AN24" s="1747"/>
      <c r="AP24" s="43"/>
      <c r="AQ24" s="43"/>
      <c r="AR24" s="43"/>
      <c r="AS24" s="43"/>
      <c r="AT24" s="43"/>
      <c r="AU24" s="43"/>
      <c r="AV24" s="43"/>
      <c r="AW24" s="248"/>
    </row>
    <row r="25" spans="2:49" ht="17.25" customHeight="1">
      <c r="B25" s="1482" t="s">
        <v>623</v>
      </c>
      <c r="C25" s="1528">
        <v>144.02238700372541</v>
      </c>
      <c r="D25" s="1528">
        <v>148.30991581558402</v>
      </c>
      <c r="E25" s="1528">
        <v>173.78761738591282</v>
      </c>
      <c r="F25" s="1497">
        <v>176</v>
      </c>
      <c r="G25" s="1498">
        <v>172.7</v>
      </c>
      <c r="H25" s="1496">
        <v>164</v>
      </c>
      <c r="I25" s="1496">
        <v>139.83747154431131</v>
      </c>
      <c r="J25" s="1501">
        <v>143.31200704388237</v>
      </c>
      <c r="K25" s="1527">
        <v>162.1910481758533</v>
      </c>
      <c r="L25" s="1528">
        <v>156.51825944905485</v>
      </c>
      <c r="M25" s="1528">
        <v>156.8727898213329</v>
      </c>
      <c r="N25" s="1486">
        <v>159.69999999999999</v>
      </c>
      <c r="O25" s="1498">
        <v>157</v>
      </c>
      <c r="P25" s="1496"/>
      <c r="Q25" s="1496"/>
      <c r="R25" s="1485"/>
      <c r="S25" s="1527"/>
      <c r="T25" s="1528"/>
      <c r="U25" s="1528"/>
      <c r="V25" s="1497"/>
      <c r="W25" s="1498"/>
      <c r="X25" s="1496"/>
      <c r="Y25" s="1496"/>
      <c r="Z25" s="1501"/>
      <c r="AA25" s="1498"/>
      <c r="AB25" s="1496"/>
      <c r="AC25" s="1496"/>
      <c r="AD25" s="1485"/>
      <c r="AE25" s="1484"/>
      <c r="AF25" s="1484"/>
      <c r="AG25" s="1484"/>
      <c r="AH25" s="1696" t="e">
        <f>AG25/AC25-1</f>
        <v>#DIV/0!</v>
      </c>
      <c r="AI25" s="1848">
        <f>AG25-AC25</f>
        <v>0</v>
      </c>
      <c r="AJ25" s="1849" t="e">
        <f>AG25/AF25-1</f>
        <v>#DIV/0!</v>
      </c>
      <c r="AK25" s="224"/>
      <c r="AL25" s="22"/>
      <c r="AM25" s="1747"/>
      <c r="AN25" s="1373"/>
      <c r="AP25" s="43"/>
      <c r="AQ25" s="43"/>
      <c r="AR25" s="43"/>
      <c r="AS25" s="43"/>
      <c r="AT25" s="43"/>
      <c r="AU25" s="43"/>
      <c r="AV25" s="43"/>
      <c r="AW25" s="248"/>
    </row>
    <row r="26" spans="2:49" ht="17.25" customHeight="1">
      <c r="B26" s="1505" t="s">
        <v>14</v>
      </c>
      <c r="C26" s="1593">
        <f t="shared" ref="C26:AF26" si="3">SUM(C8:C25)</f>
        <v>1484.5379349351579</v>
      </c>
      <c r="D26" s="1593">
        <f t="shared" si="3"/>
        <v>1621.4611300110178</v>
      </c>
      <c r="E26" s="1593">
        <f t="shared" si="3"/>
        <v>1752.4622912780389</v>
      </c>
      <c r="F26" s="1509">
        <f t="shared" si="3"/>
        <v>1964.2302030793569</v>
      </c>
      <c r="G26" s="1506">
        <f t="shared" si="3"/>
        <v>1865.5964285984701</v>
      </c>
      <c r="H26" s="1646">
        <f t="shared" si="3"/>
        <v>1807.9064390305743</v>
      </c>
      <c r="I26" s="1646">
        <f t="shared" si="3"/>
        <v>1865.0594839845837</v>
      </c>
      <c r="J26" s="1508">
        <f t="shared" si="3"/>
        <v>2045.0786884687266</v>
      </c>
      <c r="K26" s="1555">
        <f t="shared" si="3"/>
        <v>1926.8232499280148</v>
      </c>
      <c r="L26" s="1647">
        <f t="shared" si="3"/>
        <v>1981.6375933890947</v>
      </c>
      <c r="M26" s="1647">
        <f t="shared" si="3"/>
        <v>2059.1143555268659</v>
      </c>
      <c r="N26" s="1509">
        <f t="shared" si="3"/>
        <v>2070.7367065244948</v>
      </c>
      <c r="O26" s="1506">
        <f t="shared" si="3"/>
        <v>2059.5153648367204</v>
      </c>
      <c r="P26" s="1646">
        <f t="shared" si="3"/>
        <v>0</v>
      </c>
      <c r="Q26" s="1646">
        <f t="shared" si="3"/>
        <v>0</v>
      </c>
      <c r="R26" s="1648">
        <f t="shared" si="3"/>
        <v>0</v>
      </c>
      <c r="S26" s="1555">
        <f t="shared" si="3"/>
        <v>0</v>
      </c>
      <c r="T26" s="1593">
        <f t="shared" si="3"/>
        <v>0</v>
      </c>
      <c r="U26" s="1593">
        <f t="shared" si="3"/>
        <v>0</v>
      </c>
      <c r="V26" s="1649">
        <f t="shared" si="3"/>
        <v>0</v>
      </c>
      <c r="W26" s="1506">
        <f t="shared" si="3"/>
        <v>0</v>
      </c>
      <c r="X26" s="1507">
        <f t="shared" si="3"/>
        <v>0</v>
      </c>
      <c r="Y26" s="1507">
        <f t="shared" si="3"/>
        <v>0</v>
      </c>
      <c r="Z26" s="1508">
        <f t="shared" si="3"/>
        <v>0</v>
      </c>
      <c r="AA26" s="1506">
        <f t="shared" si="3"/>
        <v>0</v>
      </c>
      <c r="AB26" s="1507">
        <f t="shared" si="3"/>
        <v>0</v>
      </c>
      <c r="AC26" s="1507">
        <f t="shared" si="3"/>
        <v>0</v>
      </c>
      <c r="AD26" s="1508">
        <f t="shared" si="3"/>
        <v>0</v>
      </c>
      <c r="AE26" s="1507">
        <f t="shared" si="3"/>
        <v>0</v>
      </c>
      <c r="AF26" s="1507">
        <f t="shared" si="3"/>
        <v>0</v>
      </c>
      <c r="AG26" s="1507">
        <f>SUM(AG8:AG25)</f>
        <v>0</v>
      </c>
      <c r="AH26" s="1488" t="e">
        <f>AG26/AC26-1</f>
        <v>#DIV/0!</v>
      </c>
      <c r="AI26" s="1489">
        <f>AG26-AC26</f>
        <v>0</v>
      </c>
      <c r="AJ26" s="1544" t="e">
        <f>AG26/AF26-1</f>
        <v>#DIV/0!</v>
      </c>
      <c r="AK26" s="1650" t="str">
        <f>B26</f>
        <v>Total</v>
      </c>
      <c r="AL26" s="15"/>
      <c r="AP26" s="43"/>
      <c r="AQ26" s="43"/>
      <c r="AR26" s="43"/>
      <c r="AS26" s="43"/>
      <c r="AT26" s="43"/>
      <c r="AU26" s="43"/>
      <c r="AV26" s="43"/>
      <c r="AW26" s="248"/>
    </row>
    <row r="27" spans="2:49" ht="16.5" customHeight="1">
      <c r="B27" s="1655" t="s">
        <v>498</v>
      </c>
      <c r="C27" s="26">
        <v>0.21145030751046678</v>
      </c>
      <c r="D27" s="26">
        <v>0.29964158234486171</v>
      </c>
      <c r="E27" s="26">
        <v>0.33384625904639553</v>
      </c>
      <c r="F27" s="26">
        <v>0.37113188417119014</v>
      </c>
      <c r="G27" s="26">
        <f t="shared" ref="G27:Q27" si="4">G26/(C26)-1</f>
        <v>0.25668491501361079</v>
      </c>
      <c r="H27" s="26">
        <f t="shared" si="4"/>
        <v>0.1149859873719512</v>
      </c>
      <c r="I27" s="26">
        <f t="shared" si="4"/>
        <v>6.4250850512982849E-2</v>
      </c>
      <c r="J27" s="16">
        <f t="shared" si="4"/>
        <v>4.1160392128489987E-2</v>
      </c>
      <c r="K27" s="26">
        <f t="shared" si="4"/>
        <v>3.2818899302643478E-2</v>
      </c>
      <c r="L27" s="26">
        <f t="shared" si="4"/>
        <v>9.6095213008742686E-2</v>
      </c>
      <c r="M27" s="26">
        <f>M26/(I26)-1</f>
        <v>0.10404755087365691</v>
      </c>
      <c r="N27" s="16">
        <f t="shared" si="4"/>
        <v>1.2546225336189876E-2</v>
      </c>
      <c r="O27" s="5">
        <f t="shared" si="4"/>
        <v>6.8865743089649323E-2</v>
      </c>
      <c r="P27" s="5">
        <f t="shared" si="4"/>
        <v>-1</v>
      </c>
      <c r="Q27" s="5">
        <f t="shared" si="4"/>
        <v>-1</v>
      </c>
      <c r="R27" s="5">
        <f t="shared" ref="R27:X27" si="5">R26/(N26)-1</f>
        <v>-1</v>
      </c>
      <c r="S27" s="5">
        <f t="shared" si="5"/>
        <v>-1</v>
      </c>
      <c r="T27" s="5" t="e">
        <f t="shared" si="5"/>
        <v>#DIV/0!</v>
      </c>
      <c r="U27" s="5" t="e">
        <f t="shared" si="5"/>
        <v>#DIV/0!</v>
      </c>
      <c r="V27" s="5" t="e">
        <f t="shared" si="5"/>
        <v>#DIV/0!</v>
      </c>
      <c r="W27" s="5" t="e">
        <f t="shared" si="5"/>
        <v>#DIV/0!</v>
      </c>
      <c r="X27" s="5" t="e">
        <f t="shared" si="5"/>
        <v>#DIV/0!</v>
      </c>
      <c r="Y27" s="5" t="e">
        <f t="shared" ref="Y27:AC27" si="6">Y26/(U26)-1</f>
        <v>#DIV/0!</v>
      </c>
      <c r="Z27" s="5" t="e">
        <f t="shared" si="6"/>
        <v>#DIV/0!</v>
      </c>
      <c r="AA27" s="5" t="e">
        <f t="shared" si="6"/>
        <v>#DIV/0!</v>
      </c>
      <c r="AB27" s="5" t="e">
        <f t="shared" si="6"/>
        <v>#DIV/0!</v>
      </c>
      <c r="AC27" s="5" t="e">
        <f t="shared" si="6"/>
        <v>#DIV/0!</v>
      </c>
      <c r="AD27" s="5" t="e">
        <f>AD26/(Z26)-1</f>
        <v>#DIV/0!</v>
      </c>
      <c r="AE27" s="5" t="e">
        <f>AE26/(AA26)-1</f>
        <v>#DIV/0!</v>
      </c>
      <c r="AF27" s="5" t="e">
        <f>AF26/(AB26)-1</f>
        <v>#DIV/0!</v>
      </c>
      <c r="AG27" s="5" t="e">
        <f>AG26/(AC26)-1</f>
        <v>#DIV/0!</v>
      </c>
      <c r="AH27" s="1651" t="s">
        <v>396</v>
      </c>
    </row>
    <row r="28" spans="2:49">
      <c r="F28" s="26">
        <v>0.30637453624552036</v>
      </c>
      <c r="G28" s="5">
        <f>G26/F26-1</f>
        <v>-5.0214977005371919E-2</v>
      </c>
      <c r="H28" s="5">
        <f t="shared" ref="H28:Q28" si="7">H26/G26-1</f>
        <v>-3.0923081049868517E-2</v>
      </c>
      <c r="I28" s="5">
        <f t="shared" si="7"/>
        <v>3.161283334145093E-2</v>
      </c>
      <c r="J28" s="5">
        <f t="shared" si="7"/>
        <v>9.6521964060654497E-2</v>
      </c>
      <c r="K28" s="5">
        <f t="shared" si="7"/>
        <v>-5.782439531911443E-2</v>
      </c>
      <c r="L28" s="5">
        <f t="shared" si="7"/>
        <v>2.8448039260024371E-2</v>
      </c>
      <c r="M28" s="5">
        <f t="shared" si="7"/>
        <v>3.9097341711844757E-2</v>
      </c>
      <c r="N28" s="5">
        <f t="shared" si="7"/>
        <v>5.6443446020535415E-3</v>
      </c>
      <c r="O28" s="5">
        <f t="shared" si="7"/>
        <v>-5.4190094049224591E-3</v>
      </c>
      <c r="P28" s="5">
        <f t="shared" si="7"/>
        <v>-1</v>
      </c>
      <c r="Q28" s="5" t="e">
        <f t="shared" si="7"/>
        <v>#DIV/0!</v>
      </c>
      <c r="R28" s="5" t="e">
        <f t="shared" ref="R28:Z28" si="8">R26/Q26-1</f>
        <v>#DIV/0!</v>
      </c>
      <c r="S28" s="5" t="e">
        <f t="shared" si="8"/>
        <v>#DIV/0!</v>
      </c>
      <c r="T28" s="5" t="e">
        <f t="shared" si="8"/>
        <v>#DIV/0!</v>
      </c>
      <c r="U28" s="5" t="e">
        <f t="shared" si="8"/>
        <v>#DIV/0!</v>
      </c>
      <c r="V28" s="5" t="e">
        <f t="shared" si="8"/>
        <v>#DIV/0!</v>
      </c>
      <c r="W28" s="5" t="e">
        <f t="shared" si="8"/>
        <v>#DIV/0!</v>
      </c>
      <c r="X28" s="5" t="e">
        <f t="shared" si="8"/>
        <v>#DIV/0!</v>
      </c>
      <c r="Y28" s="5" t="e">
        <f>Y26/X26-1</f>
        <v>#DIV/0!</v>
      </c>
      <c r="Z28" s="5" t="e">
        <f t="shared" si="8"/>
        <v>#DIV/0!</v>
      </c>
      <c r="AA28" s="5" t="e">
        <f t="shared" ref="AA28:AF28" si="9">AA26/Z26-1</f>
        <v>#DIV/0!</v>
      </c>
      <c r="AB28" s="5" t="e">
        <f t="shared" si="9"/>
        <v>#DIV/0!</v>
      </c>
      <c r="AC28" s="5" t="e">
        <f t="shared" si="9"/>
        <v>#DIV/0!</v>
      </c>
      <c r="AD28" s="5" t="e">
        <f t="shared" si="9"/>
        <v>#DIV/0!</v>
      </c>
      <c r="AE28" s="5" t="e">
        <f t="shared" si="9"/>
        <v>#DIV/0!</v>
      </c>
      <c r="AF28" s="5" t="e">
        <f t="shared" si="9"/>
        <v>#DIV/0!</v>
      </c>
      <c r="AG28" s="5" t="e">
        <f>AG26/AF26-1</f>
        <v>#DIV/0!</v>
      </c>
      <c r="AH28" s="19" t="s">
        <v>549</v>
      </c>
    </row>
    <row r="29" spans="2:49">
      <c r="C29" s="43">
        <v>6139.9470135078491</v>
      </c>
      <c r="D29" s="43">
        <v>6568.0276285603068</v>
      </c>
      <c r="E29" s="43">
        <v>7063.9604779583224</v>
      </c>
      <c r="F29" s="43">
        <v>7638.5500617741618</v>
      </c>
      <c r="G29" s="43">
        <f t="shared" ref="G29:N29" si="10">SUM(D26:G26)</f>
        <v>7203.7500529668841</v>
      </c>
      <c r="H29" s="43">
        <f t="shared" si="10"/>
        <v>7390.1953619864398</v>
      </c>
      <c r="I29" s="43">
        <f t="shared" si="10"/>
        <v>7502.7925546929855</v>
      </c>
      <c r="J29" s="43">
        <f t="shared" si="10"/>
        <v>7583.6410400823552</v>
      </c>
      <c r="K29" s="43">
        <f t="shared" si="10"/>
        <v>7644.8678614118999</v>
      </c>
      <c r="L29" s="43">
        <f t="shared" si="10"/>
        <v>7818.59901577042</v>
      </c>
      <c r="M29" s="43">
        <f t="shared" si="10"/>
        <v>8012.6538873127029</v>
      </c>
      <c r="N29" s="43">
        <f t="shared" si="10"/>
        <v>8038.3119053684695</v>
      </c>
      <c r="O29" s="43">
        <f t="shared" ref="O29:W29" si="11">SUM(L26:O26)</f>
        <v>8171.0040202771752</v>
      </c>
      <c r="P29" s="43">
        <f t="shared" si="11"/>
        <v>6189.3664268880812</v>
      </c>
      <c r="Q29" s="43">
        <f t="shared" si="11"/>
        <v>4130.2520713612157</v>
      </c>
      <c r="R29" s="43">
        <f t="shared" si="11"/>
        <v>2059.5153648367204</v>
      </c>
      <c r="S29" s="43">
        <f t="shared" si="11"/>
        <v>0</v>
      </c>
      <c r="T29" s="43">
        <f t="shared" si="11"/>
        <v>0</v>
      </c>
      <c r="U29" s="43">
        <f t="shared" si="11"/>
        <v>0</v>
      </c>
      <c r="V29" s="43">
        <f t="shared" si="11"/>
        <v>0</v>
      </c>
      <c r="W29" s="43">
        <f t="shared" si="11"/>
        <v>0</v>
      </c>
      <c r="X29" s="43">
        <f t="shared" ref="X29:AB29" si="12">SUM(U26:X26)</f>
        <v>0</v>
      </c>
      <c r="Y29" s="43">
        <f t="shared" si="12"/>
        <v>0</v>
      </c>
      <c r="Z29" s="43">
        <f t="shared" si="12"/>
        <v>0</v>
      </c>
      <c r="AA29" s="43">
        <f t="shared" si="12"/>
        <v>0</v>
      </c>
      <c r="AB29" s="43">
        <f t="shared" si="12"/>
        <v>0</v>
      </c>
      <c r="AC29" s="43">
        <f>SUM(Z26:AC26)</f>
        <v>0</v>
      </c>
      <c r="AD29" s="43">
        <f>SUM(AA26:AD26)</f>
        <v>0</v>
      </c>
      <c r="AE29" s="43">
        <f>SUM(AB26:AE26)</f>
        <v>0</v>
      </c>
      <c r="AF29" s="43">
        <f>SUM(AC26:AF26)</f>
        <v>0</v>
      </c>
      <c r="AG29" s="43">
        <f>SUM(AD26:AG26)</f>
        <v>0</v>
      </c>
      <c r="AH29" s="1652" t="s">
        <v>395</v>
      </c>
      <c r="AI29" s="43"/>
      <c r="AJ29" s="43"/>
      <c r="AK29" s="43"/>
      <c r="AM29" s="1365"/>
      <c r="AN29" s="2"/>
    </row>
    <row r="30" spans="2:49">
      <c r="C30" s="26">
        <v>0.18307321569776835</v>
      </c>
      <c r="D30" s="26">
        <v>0.23098173442543501</v>
      </c>
      <c r="E30" s="26">
        <v>0.27327498274313822</v>
      </c>
      <c r="F30" s="26">
        <v>0.30637453624552036</v>
      </c>
      <c r="G30" s="26">
        <f t="shared" ref="G30:M30" si="13">G29/C29-1</f>
        <v>0.17325931919586179</v>
      </c>
      <c r="H30" s="26">
        <f t="shared" si="13"/>
        <v>0.12517726476226021</v>
      </c>
      <c r="I30" s="26">
        <f t="shared" si="13"/>
        <v>6.2122668735753894E-2</v>
      </c>
      <c r="J30" s="26">
        <f t="shared" si="13"/>
        <v>-7.1884089582118227E-3</v>
      </c>
      <c r="K30" s="26">
        <f t="shared" si="13"/>
        <v>6.123446888101558E-2</v>
      </c>
      <c r="L30" s="26">
        <f t="shared" si="13"/>
        <v>5.7969191990186797E-2</v>
      </c>
      <c r="M30" s="26">
        <f t="shared" si="13"/>
        <v>6.7956208158894027E-2</v>
      </c>
      <c r="N30" s="26">
        <f t="shared" ref="N30:W30" si="14">N29/J29-1</f>
        <v>5.9954164877136229E-2</v>
      </c>
      <c r="O30" s="26">
        <f t="shared" si="14"/>
        <v>6.8822139035390029E-2</v>
      </c>
      <c r="P30" s="26">
        <f t="shared" si="14"/>
        <v>-0.20837909523127007</v>
      </c>
      <c r="Q30" s="26">
        <f t="shared" si="14"/>
        <v>-0.48453382244538379</v>
      </c>
      <c r="R30" s="26">
        <f t="shared" si="14"/>
        <v>-0.74378757765529702</v>
      </c>
      <c r="S30" s="26">
        <f t="shared" si="14"/>
        <v>-1</v>
      </c>
      <c r="T30" s="26">
        <f t="shared" si="14"/>
        <v>-1</v>
      </c>
      <c r="U30" s="26">
        <f t="shared" si="14"/>
        <v>-1</v>
      </c>
      <c r="V30" s="26">
        <f t="shared" si="14"/>
        <v>-1</v>
      </c>
      <c r="W30" s="26" t="e">
        <f t="shared" si="14"/>
        <v>#DIV/0!</v>
      </c>
      <c r="X30" s="26" t="e">
        <f t="shared" ref="X30:AC30" si="15">X29/T29-1</f>
        <v>#DIV/0!</v>
      </c>
      <c r="Y30" s="26" t="e">
        <f t="shared" si="15"/>
        <v>#DIV/0!</v>
      </c>
      <c r="Z30" s="26" t="e">
        <f t="shared" si="15"/>
        <v>#DIV/0!</v>
      </c>
      <c r="AA30" s="26" t="e">
        <f t="shared" si="15"/>
        <v>#DIV/0!</v>
      </c>
      <c r="AB30" s="26" t="e">
        <f t="shared" si="15"/>
        <v>#DIV/0!</v>
      </c>
      <c r="AC30" s="26" t="e">
        <f t="shared" si="15"/>
        <v>#DIV/0!</v>
      </c>
      <c r="AD30" s="26" t="e">
        <f>AD29/Z29-1</f>
        <v>#DIV/0!</v>
      </c>
      <c r="AE30" s="26" t="e">
        <f>AE29/AA29-1</f>
        <v>#DIV/0!</v>
      </c>
      <c r="AF30" s="26" t="e">
        <f>AF29/AB29-1</f>
        <v>#DIV/0!</v>
      </c>
      <c r="AG30" s="26" t="e">
        <f>AG29/AC29-1</f>
        <v>#DIV/0!</v>
      </c>
      <c r="AH30" s="1653" t="s">
        <v>394</v>
      </c>
      <c r="AI30" s="26"/>
      <c r="AJ30" s="26"/>
      <c r="AK30" s="26"/>
      <c r="AM30" s="1365"/>
      <c r="AN30" s="2"/>
    </row>
    <row r="31" spans="2:49" ht="13.8">
      <c r="B31" s="1654"/>
      <c r="C31" s="1365"/>
      <c r="D31" s="1365"/>
      <c r="E31" s="1365"/>
      <c r="F31" s="1365"/>
      <c r="G31" s="1365"/>
      <c r="H31" s="1365"/>
      <c r="I31" s="1365"/>
      <c r="J31" s="1365"/>
      <c r="K31" s="1365"/>
      <c r="L31" s="1365"/>
      <c r="M31" s="1365"/>
      <c r="N31" s="1365"/>
      <c r="O31" s="1365"/>
      <c r="P31" s="1365"/>
      <c r="Q31" s="1365"/>
      <c r="R31" s="1365"/>
      <c r="S31" s="1365"/>
      <c r="T31" s="1365"/>
      <c r="U31" s="1365"/>
      <c r="V31" s="1365"/>
      <c r="W31" s="1365"/>
      <c r="X31" s="1365"/>
      <c r="Y31" s="1365"/>
      <c r="Z31" s="1365"/>
      <c r="AA31" s="1365"/>
      <c r="AB31" s="1365"/>
      <c r="AC31" s="1365"/>
      <c r="AD31" s="45"/>
      <c r="AE31" s="45"/>
      <c r="AF31" s="45"/>
      <c r="AG31" s="45"/>
      <c r="AH31" s="13"/>
      <c r="AM31" s="1747"/>
      <c r="AN31" s="2"/>
    </row>
    <row r="32" spans="2:49" ht="13.8">
      <c r="B32" s="1654"/>
      <c r="C32" s="223"/>
      <c r="D32" s="223"/>
      <c r="E32" s="223"/>
      <c r="F32" s="223"/>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13"/>
      <c r="AM32" s="1365"/>
      <c r="AN32" s="2"/>
    </row>
    <row r="33" spans="2:40">
      <c r="F33" s="1365"/>
      <c r="J33" s="1365"/>
      <c r="N33" s="1365"/>
      <c r="R33" s="1365"/>
      <c r="V33" s="1365"/>
      <c r="Z33" s="1365"/>
      <c r="AD33" s="1365"/>
      <c r="AE33" s="1365"/>
      <c r="AF33" s="1365"/>
      <c r="AG33" s="1365"/>
      <c r="AH33" s="13"/>
      <c r="AM33" s="1747"/>
      <c r="AN33" s="2"/>
    </row>
    <row r="34" spans="2:40">
      <c r="J34" s="219"/>
      <c r="N34" s="219"/>
      <c r="R34" s="219"/>
      <c r="V34" s="219"/>
      <c r="Z34" s="219"/>
      <c r="AD34" s="219"/>
      <c r="AE34" s="1695"/>
      <c r="AF34" s="1695"/>
      <c r="AG34" s="1695"/>
      <c r="AH34" s="13"/>
      <c r="AN34" s="2"/>
    </row>
    <row r="35" spans="2:40">
      <c r="J35" s="219"/>
      <c r="N35" s="219"/>
      <c r="R35" s="219"/>
      <c r="V35" s="219"/>
      <c r="Z35" s="1662"/>
      <c r="AA35" s="1662"/>
      <c r="AB35" s="1662"/>
      <c r="AC35" s="1662"/>
      <c r="AD35" s="1662"/>
      <c r="AE35" s="1662"/>
      <c r="AF35" s="1662"/>
      <c r="AG35" s="1662"/>
      <c r="AH35" s="1512"/>
    </row>
    <row r="36" spans="2:40">
      <c r="B36" s="1" t="s">
        <v>134</v>
      </c>
      <c r="J36" s="219"/>
      <c r="N36" s="219"/>
      <c r="R36" s="219"/>
      <c r="V36" s="219"/>
      <c r="Z36" s="219"/>
      <c r="AD36" s="219"/>
      <c r="AE36" s="219"/>
      <c r="AF36" s="219"/>
      <c r="AG36" s="219"/>
      <c r="AH36" s="1512"/>
      <c r="AN36" s="31"/>
    </row>
    <row r="37" spans="2:40">
      <c r="B37" s="1689" t="s">
        <v>132</v>
      </c>
      <c r="C37" s="1524" t="s">
        <v>96</v>
      </c>
      <c r="D37" s="1525" t="s">
        <v>97</v>
      </c>
      <c r="E37" s="1525" t="s">
        <v>98</v>
      </c>
      <c r="F37" s="1480" t="s">
        <v>99</v>
      </c>
      <c r="G37" s="1478" t="s">
        <v>100</v>
      </c>
      <c r="H37" s="1525" t="s">
        <v>101</v>
      </c>
      <c r="I37" s="1525" t="s">
        <v>102</v>
      </c>
      <c r="J37" s="1480" t="s">
        <v>103</v>
      </c>
      <c r="K37" s="1478" t="s">
        <v>104</v>
      </c>
      <c r="L37" s="1525" t="s">
        <v>105</v>
      </c>
      <c r="M37" s="1525" t="s">
        <v>106</v>
      </c>
      <c r="N37" s="1480" t="s">
        <v>107</v>
      </c>
      <c r="O37" s="1478" t="str">
        <f t="shared" ref="O37:AD37" si="16">O7</f>
        <v>1Q 19</v>
      </c>
      <c r="P37" s="1525" t="str">
        <f t="shared" si="16"/>
        <v>2Q 19</v>
      </c>
      <c r="Q37" s="1525" t="str">
        <f t="shared" si="16"/>
        <v>3Q 19</v>
      </c>
      <c r="R37" s="1480" t="str">
        <f t="shared" si="16"/>
        <v>4Q 19</v>
      </c>
      <c r="S37" s="1478" t="str">
        <f t="shared" si="16"/>
        <v>1Q 20</v>
      </c>
      <c r="T37" s="1525" t="str">
        <f t="shared" si="16"/>
        <v>2Q 20</v>
      </c>
      <c r="U37" s="1525" t="str">
        <f t="shared" si="16"/>
        <v>3Q 20</v>
      </c>
      <c r="V37" s="1480" t="str">
        <f t="shared" si="16"/>
        <v>4Q 20</v>
      </c>
      <c r="W37" s="1478" t="str">
        <f t="shared" si="16"/>
        <v>1Q 21</v>
      </c>
      <c r="X37" s="1525" t="str">
        <f t="shared" si="16"/>
        <v>2Q 21</v>
      </c>
      <c r="Y37" s="1525" t="str">
        <f t="shared" si="16"/>
        <v>3Q 21</v>
      </c>
      <c r="Z37" s="1480" t="str">
        <f t="shared" si="16"/>
        <v>4Q 21</v>
      </c>
      <c r="AA37" s="1478" t="str">
        <f t="shared" si="16"/>
        <v>1Q 22</v>
      </c>
      <c r="AB37" s="1525" t="str">
        <f t="shared" si="16"/>
        <v>2Q 22</v>
      </c>
      <c r="AC37" s="1525" t="str">
        <f t="shared" si="16"/>
        <v>3Q 22</v>
      </c>
      <c r="AD37" s="1480" t="str">
        <f t="shared" si="16"/>
        <v>4Q 22</v>
      </c>
      <c r="AE37" s="1524" t="s">
        <v>578</v>
      </c>
      <c r="AF37" s="1524" t="s">
        <v>601</v>
      </c>
      <c r="AG37" s="1935" t="s">
        <v>619</v>
      </c>
      <c r="AN37" s="40"/>
    </row>
    <row r="38" spans="2:40">
      <c r="B38" s="341" t="str">
        <f t="shared" ref="B38:B56" si="17">B8</f>
        <v>Coherent (Networking solutions)</v>
      </c>
      <c r="C38" s="5">
        <f t="shared" ref="C38:AF38" si="18">C8/C$26</f>
        <v>5.4292987806687787E-2</v>
      </c>
      <c r="D38" s="5">
        <f t="shared" si="18"/>
        <v>6.1117715476365825E-2</v>
      </c>
      <c r="E38" s="5">
        <f t="shared" si="18"/>
        <v>5.4665940874616362E-2</v>
      </c>
      <c r="F38" s="256">
        <f t="shared" si="18"/>
        <v>5.1368724420293187E-2</v>
      </c>
      <c r="G38" s="5">
        <f t="shared" si="18"/>
        <v>5.8479957576870689E-2</v>
      </c>
      <c r="H38" s="5">
        <f t="shared" si="18"/>
        <v>6.2337296647071723E-2</v>
      </c>
      <c r="I38" s="5">
        <f t="shared" si="18"/>
        <v>6.2196407672839051E-2</v>
      </c>
      <c r="J38" s="256">
        <f t="shared" si="18"/>
        <v>5.4032150754423046E-2</v>
      </c>
      <c r="K38" s="5">
        <f t="shared" si="18"/>
        <v>6.0617910856309E-2</v>
      </c>
      <c r="L38" s="5">
        <f t="shared" si="18"/>
        <v>6.7217134174465648E-2</v>
      </c>
      <c r="M38" s="5">
        <f t="shared" si="18"/>
        <v>6.5610731933065436E-2</v>
      </c>
      <c r="N38" s="256">
        <f t="shared" si="18"/>
        <v>7.7122310864928351E-2</v>
      </c>
      <c r="O38" s="5">
        <f t="shared" si="18"/>
        <v>8.0844262122414523E-2</v>
      </c>
      <c r="P38" s="5" t="e">
        <f t="shared" si="18"/>
        <v>#DIV/0!</v>
      </c>
      <c r="Q38" s="5" t="e">
        <f t="shared" si="18"/>
        <v>#DIV/0!</v>
      </c>
      <c r="R38" s="256" t="e">
        <f t="shared" si="18"/>
        <v>#DIV/0!</v>
      </c>
      <c r="S38" s="5" t="e">
        <f t="shared" si="18"/>
        <v>#DIV/0!</v>
      </c>
      <c r="T38" s="5" t="e">
        <f t="shared" si="18"/>
        <v>#DIV/0!</v>
      </c>
      <c r="U38" s="5" t="e">
        <f t="shared" si="18"/>
        <v>#DIV/0!</v>
      </c>
      <c r="V38" s="256" t="e">
        <f t="shared" si="18"/>
        <v>#DIV/0!</v>
      </c>
      <c r="W38" s="5" t="e">
        <f t="shared" si="18"/>
        <v>#DIV/0!</v>
      </c>
      <c r="X38" s="5" t="e">
        <f t="shared" si="18"/>
        <v>#DIV/0!</v>
      </c>
      <c r="Y38" s="5" t="e">
        <f t="shared" si="18"/>
        <v>#DIV/0!</v>
      </c>
      <c r="Z38" s="256" t="e">
        <f t="shared" si="18"/>
        <v>#DIV/0!</v>
      </c>
      <c r="AA38" s="5" t="e">
        <f>AA8/AA$26</f>
        <v>#DIV/0!</v>
      </c>
      <c r="AB38" s="5" t="e">
        <f t="shared" si="18"/>
        <v>#DIV/0!</v>
      </c>
      <c r="AC38" s="5" t="e">
        <f t="shared" si="18"/>
        <v>#DIV/0!</v>
      </c>
      <c r="AD38" s="256" t="e">
        <f t="shared" si="18"/>
        <v>#DIV/0!</v>
      </c>
      <c r="AE38" s="1616" t="e">
        <f t="shared" si="18"/>
        <v>#DIV/0!</v>
      </c>
      <c r="AF38" s="1616" t="e">
        <f t="shared" si="18"/>
        <v>#DIV/0!</v>
      </c>
      <c r="AG38" s="256" t="e">
        <f t="shared" ref="AG38" si="19">AG8/AG$26</f>
        <v>#DIV/0!</v>
      </c>
      <c r="AH38" s="248"/>
    </row>
    <row r="39" spans="2:40">
      <c r="B39" s="39" t="str">
        <f t="shared" si="17"/>
        <v>Acacia</v>
      </c>
      <c r="C39" s="5">
        <f t="shared" ref="C39:V39" si="20">C9/C$26</f>
        <v>5.6912658148874008E-2</v>
      </c>
      <c r="D39" s="5">
        <f t="shared" si="20"/>
        <v>7.1663759216485462E-2</v>
      </c>
      <c r="E39" s="5">
        <f t="shared" si="20"/>
        <v>7.7207938038612658E-2</v>
      </c>
      <c r="F39" s="255">
        <f t="shared" si="20"/>
        <v>7.2292952107845712E-2</v>
      </c>
      <c r="G39" s="5">
        <f t="shared" si="20"/>
        <v>6.1481678589065704E-2</v>
      </c>
      <c r="H39" s="5">
        <f t="shared" si="20"/>
        <v>4.364163891263495E-2</v>
      </c>
      <c r="I39" s="5">
        <f t="shared" si="20"/>
        <v>5.6297400110627199E-2</v>
      </c>
      <c r="J39" s="255">
        <f t="shared" si="20"/>
        <v>4.2345558871792179E-2</v>
      </c>
      <c r="K39" s="5">
        <f t="shared" si="20"/>
        <v>3.7855573936387284E-2</v>
      </c>
      <c r="L39" s="5">
        <f t="shared" si="20"/>
        <v>3.2801154064116121E-2</v>
      </c>
      <c r="M39" s="5">
        <f t="shared" si="20"/>
        <v>4.6046009900086352E-2</v>
      </c>
      <c r="N39" s="255">
        <f t="shared" si="20"/>
        <v>5.1735210788727455E-2</v>
      </c>
      <c r="O39" s="5">
        <f t="shared" si="20"/>
        <v>5.1087747047879675E-2</v>
      </c>
      <c r="P39" s="5" t="e">
        <f t="shared" si="20"/>
        <v>#DIV/0!</v>
      </c>
      <c r="Q39" s="5" t="e">
        <f t="shared" si="20"/>
        <v>#DIV/0!</v>
      </c>
      <c r="R39" s="255" t="e">
        <f t="shared" si="20"/>
        <v>#DIV/0!</v>
      </c>
      <c r="S39" s="5" t="e">
        <f t="shared" si="20"/>
        <v>#DIV/0!</v>
      </c>
      <c r="T39" s="5" t="e">
        <f t="shared" si="20"/>
        <v>#DIV/0!</v>
      </c>
      <c r="U39" s="5" t="e">
        <f t="shared" si="20"/>
        <v>#DIV/0!</v>
      </c>
      <c r="V39" s="255" t="e">
        <f t="shared" si="20"/>
        <v>#DIV/0!</v>
      </c>
      <c r="W39" s="359"/>
      <c r="X39" s="359"/>
      <c r="Y39" s="359"/>
      <c r="Z39" s="406"/>
      <c r="AA39" s="359"/>
      <c r="AB39" s="359"/>
      <c r="AC39" s="359"/>
      <c r="AD39" s="406"/>
      <c r="AE39" s="1548"/>
      <c r="AF39" s="1548"/>
      <c r="AG39" s="406"/>
      <c r="AH39" s="5"/>
    </row>
    <row r="40" spans="2:40">
      <c r="B40" s="39" t="str">
        <f t="shared" si="17"/>
        <v>Accelink</v>
      </c>
      <c r="C40" s="5">
        <f t="shared" ref="C40:V40" si="21">C10/C$26</f>
        <v>0.1013443376896777</v>
      </c>
      <c r="D40" s="5">
        <f t="shared" si="21"/>
        <v>9.4319061938774498E-2</v>
      </c>
      <c r="E40" s="5">
        <f t="shared" si="21"/>
        <v>9.1870735707862583E-2</v>
      </c>
      <c r="F40" s="255">
        <f t="shared" si="21"/>
        <v>7.483847859051633E-2</v>
      </c>
      <c r="G40" s="5">
        <f t="shared" si="21"/>
        <v>9.8627976114978977E-2</v>
      </c>
      <c r="H40" s="5">
        <f t="shared" si="21"/>
        <v>9.0660423412066884E-2</v>
      </c>
      <c r="I40" s="5">
        <f t="shared" si="21"/>
        <v>8.1258788913862956E-2</v>
      </c>
      <c r="J40" s="255">
        <f t="shared" si="21"/>
        <v>8.5571279475330622E-2</v>
      </c>
      <c r="K40" s="5">
        <f t="shared" si="21"/>
        <v>9.854944278407804E-2</v>
      </c>
      <c r="L40" s="5">
        <f t="shared" si="21"/>
        <v>9.7148287333365335E-2</v>
      </c>
      <c r="M40" s="5">
        <f t="shared" si="21"/>
        <v>8.7385381253596933E-2</v>
      </c>
      <c r="N40" s="255">
        <f t="shared" si="21"/>
        <v>8.8857264866291905E-2</v>
      </c>
      <c r="O40" s="5">
        <f t="shared" si="21"/>
        <v>8.7742831727370491E-2</v>
      </c>
      <c r="P40" s="5" t="e">
        <f t="shared" si="21"/>
        <v>#DIV/0!</v>
      </c>
      <c r="Q40" s="5" t="e">
        <f t="shared" si="21"/>
        <v>#DIV/0!</v>
      </c>
      <c r="R40" s="255" t="e">
        <f t="shared" si="21"/>
        <v>#DIV/0!</v>
      </c>
      <c r="S40" s="5" t="e">
        <f t="shared" si="21"/>
        <v>#DIV/0!</v>
      </c>
      <c r="T40" s="5" t="e">
        <f t="shared" si="21"/>
        <v>#DIV/0!</v>
      </c>
      <c r="U40" s="5" t="e">
        <f t="shared" si="21"/>
        <v>#DIV/0!</v>
      </c>
      <c r="V40" s="255" t="e">
        <f t="shared" si="21"/>
        <v>#DIV/0!</v>
      </c>
      <c r="W40" s="5" t="e">
        <f t="shared" ref="W40:AF40" si="22">W10/W$26</f>
        <v>#DIV/0!</v>
      </c>
      <c r="X40" s="5" t="e">
        <f t="shared" si="22"/>
        <v>#DIV/0!</v>
      </c>
      <c r="Y40" s="5" t="e">
        <f t="shared" si="22"/>
        <v>#DIV/0!</v>
      </c>
      <c r="Z40" s="255" t="e">
        <f t="shared" si="22"/>
        <v>#DIV/0!</v>
      </c>
      <c r="AA40" s="5" t="e">
        <f>AA10/AA$26</f>
        <v>#DIV/0!</v>
      </c>
      <c r="AB40" s="5" t="e">
        <f t="shared" ref="AB40:AD40" si="23">AB10/AB$26</f>
        <v>#DIV/0!</v>
      </c>
      <c r="AC40" s="5" t="e">
        <f t="shared" si="23"/>
        <v>#DIV/0!</v>
      </c>
      <c r="AD40" s="255" t="e">
        <f t="shared" si="23"/>
        <v>#DIV/0!</v>
      </c>
      <c r="AE40" s="1562" t="e">
        <f t="shared" si="22"/>
        <v>#DIV/0!</v>
      </c>
      <c r="AF40" s="1562" t="e">
        <f t="shared" si="22"/>
        <v>#DIV/0!</v>
      </c>
      <c r="AG40" s="255" t="e">
        <f t="shared" ref="AG40" si="24">AG10/AG$26</f>
        <v>#DIV/0!</v>
      </c>
      <c r="AH40" s="248"/>
    </row>
    <row r="41" spans="2:40">
      <c r="B41" s="39" t="str">
        <f t="shared" si="17"/>
        <v>Applied Optoelectronics</v>
      </c>
      <c r="C41" s="5">
        <f t="shared" ref="C41:V41" si="25">C11/C$26</f>
        <v>3.3949957635943731E-2</v>
      </c>
      <c r="D41" s="5">
        <f t="shared" si="25"/>
        <v>3.4105042036761152E-2</v>
      </c>
      <c r="E41" s="26">
        <f t="shared" si="25"/>
        <v>4.0000860702615937E-2</v>
      </c>
      <c r="F41" s="343">
        <f t="shared" si="25"/>
        <v>4.3273950205400598E-2</v>
      </c>
      <c r="G41" s="5">
        <f t="shared" si="25"/>
        <v>5.1565278816635751E-2</v>
      </c>
      <c r="H41" s="5">
        <f t="shared" si="25"/>
        <v>6.4936988698901688E-2</v>
      </c>
      <c r="I41" s="5">
        <f t="shared" si="25"/>
        <v>4.7654780323743637E-2</v>
      </c>
      <c r="J41" s="343">
        <f t="shared" si="25"/>
        <v>3.9047397271443011E-2</v>
      </c>
      <c r="K41" s="5">
        <f t="shared" si="25"/>
        <v>3.3838080375268385E-2</v>
      </c>
      <c r="L41" s="5">
        <f t="shared" si="25"/>
        <v>4.4306789643529167E-2</v>
      </c>
      <c r="M41" s="5">
        <f t="shared" si="25"/>
        <v>2.738361754831849E-2</v>
      </c>
      <c r="N41" s="343">
        <f t="shared" si="25"/>
        <v>2.8009355229592012E-2</v>
      </c>
      <c r="O41" s="5">
        <f t="shared" si="25"/>
        <v>2.5597769698688114E-2</v>
      </c>
      <c r="P41" s="5" t="e">
        <f t="shared" si="25"/>
        <v>#DIV/0!</v>
      </c>
      <c r="Q41" s="5" t="e">
        <f t="shared" si="25"/>
        <v>#DIV/0!</v>
      </c>
      <c r="R41" s="343" t="e">
        <f t="shared" si="25"/>
        <v>#DIV/0!</v>
      </c>
      <c r="S41" s="5" t="e">
        <f t="shared" si="25"/>
        <v>#DIV/0!</v>
      </c>
      <c r="T41" s="5" t="e">
        <f t="shared" si="25"/>
        <v>#DIV/0!</v>
      </c>
      <c r="U41" s="5" t="e">
        <f t="shared" si="25"/>
        <v>#DIV/0!</v>
      </c>
      <c r="V41" s="343" t="e">
        <f t="shared" si="25"/>
        <v>#DIV/0!</v>
      </c>
      <c r="W41" s="5" t="e">
        <f t="shared" ref="W41:AF41" si="26">W11/W$26</f>
        <v>#DIV/0!</v>
      </c>
      <c r="X41" s="5" t="e">
        <f t="shared" si="26"/>
        <v>#DIV/0!</v>
      </c>
      <c r="Y41" s="5" t="e">
        <f t="shared" si="26"/>
        <v>#DIV/0!</v>
      </c>
      <c r="Z41" s="343" t="e">
        <f t="shared" si="26"/>
        <v>#DIV/0!</v>
      </c>
      <c r="AA41" s="5" t="e">
        <f t="shared" si="26"/>
        <v>#DIV/0!</v>
      </c>
      <c r="AB41" s="5" t="e">
        <f t="shared" si="26"/>
        <v>#DIV/0!</v>
      </c>
      <c r="AC41" s="5" t="e">
        <f t="shared" si="26"/>
        <v>#DIV/0!</v>
      </c>
      <c r="AD41" s="255" t="e">
        <f t="shared" si="26"/>
        <v>#DIV/0!</v>
      </c>
      <c r="AE41" s="1562" t="e">
        <f t="shared" si="26"/>
        <v>#DIV/0!</v>
      </c>
      <c r="AF41" s="1562" t="e">
        <f t="shared" si="26"/>
        <v>#DIV/0!</v>
      </c>
      <c r="AG41" s="255" t="e">
        <f t="shared" ref="AG41" si="27">AG11/AG$26</f>
        <v>#DIV/0!</v>
      </c>
      <c r="AH41" s="248"/>
    </row>
    <row r="42" spans="2:40">
      <c r="B42" s="39" t="str">
        <f t="shared" si="17"/>
        <v>Broadex</v>
      </c>
      <c r="C42" s="5"/>
      <c r="D42" s="5"/>
      <c r="E42" s="26"/>
      <c r="F42" s="343"/>
      <c r="G42" s="5"/>
      <c r="H42" s="5"/>
      <c r="I42" s="5"/>
      <c r="J42" s="343"/>
      <c r="K42" s="5"/>
      <c r="L42" s="5"/>
      <c r="M42" s="5"/>
      <c r="N42" s="343"/>
      <c r="O42" s="5">
        <f t="shared" ref="O42:V44" si="28">O12/O$26</f>
        <v>6.0489721046530515E-3</v>
      </c>
      <c r="P42" s="5" t="e">
        <f t="shared" si="28"/>
        <v>#DIV/0!</v>
      </c>
      <c r="Q42" s="5" t="e">
        <f t="shared" si="28"/>
        <v>#DIV/0!</v>
      </c>
      <c r="R42" s="343" t="e">
        <f t="shared" si="28"/>
        <v>#DIV/0!</v>
      </c>
      <c r="S42" s="5" t="e">
        <f t="shared" si="28"/>
        <v>#DIV/0!</v>
      </c>
      <c r="T42" s="5" t="e">
        <f t="shared" si="28"/>
        <v>#DIV/0!</v>
      </c>
      <c r="U42" s="5" t="e">
        <f t="shared" si="28"/>
        <v>#DIV/0!</v>
      </c>
      <c r="V42" s="343" t="e">
        <f t="shared" si="28"/>
        <v>#DIV/0!</v>
      </c>
      <c r="W42" s="5" t="e">
        <f t="shared" ref="W42:AF42" si="29">W12/W$26</f>
        <v>#DIV/0!</v>
      </c>
      <c r="X42" s="5" t="e">
        <f t="shared" si="29"/>
        <v>#DIV/0!</v>
      </c>
      <c r="Y42" s="5" t="e">
        <f t="shared" si="29"/>
        <v>#DIV/0!</v>
      </c>
      <c r="Z42" s="343" t="e">
        <f t="shared" si="29"/>
        <v>#DIV/0!</v>
      </c>
      <c r="AA42" s="5" t="e">
        <f t="shared" si="29"/>
        <v>#DIV/0!</v>
      </c>
      <c r="AB42" s="5" t="e">
        <f t="shared" si="29"/>
        <v>#DIV/0!</v>
      </c>
      <c r="AC42" s="5" t="e">
        <f t="shared" si="29"/>
        <v>#DIV/0!</v>
      </c>
      <c r="AD42" s="255" t="e">
        <f t="shared" si="29"/>
        <v>#DIV/0!</v>
      </c>
      <c r="AE42" s="1562" t="e">
        <f t="shared" si="29"/>
        <v>#DIV/0!</v>
      </c>
      <c r="AF42" s="1562" t="e">
        <f t="shared" si="29"/>
        <v>#DIV/0!</v>
      </c>
      <c r="AG42" s="255" t="e">
        <f t="shared" ref="AG42" si="30">AG12/AG$26</f>
        <v>#DIV/0!</v>
      </c>
      <c r="AH42" s="248"/>
    </row>
    <row r="43" spans="2:40">
      <c r="B43" s="39" t="str">
        <f t="shared" si="17"/>
        <v>CIG</v>
      </c>
      <c r="C43" s="5"/>
      <c r="D43" s="5"/>
      <c r="E43" s="26"/>
      <c r="F43" s="343"/>
      <c r="G43" s="5"/>
      <c r="H43" s="5"/>
      <c r="I43" s="5"/>
      <c r="J43" s="343"/>
      <c r="K43" s="5"/>
      <c r="L43" s="5"/>
      <c r="M43" s="5"/>
      <c r="N43" s="343"/>
      <c r="O43" s="5">
        <f t="shared" si="28"/>
        <v>4.9665753807945558E-2</v>
      </c>
      <c r="P43" s="5" t="e">
        <f t="shared" si="28"/>
        <v>#DIV/0!</v>
      </c>
      <c r="Q43" s="5" t="e">
        <f t="shared" si="28"/>
        <v>#DIV/0!</v>
      </c>
      <c r="R43" s="343" t="e">
        <f t="shared" si="28"/>
        <v>#DIV/0!</v>
      </c>
      <c r="S43" s="5" t="e">
        <f t="shared" si="28"/>
        <v>#DIV/0!</v>
      </c>
      <c r="T43" s="5" t="e">
        <f t="shared" si="28"/>
        <v>#DIV/0!</v>
      </c>
      <c r="U43" s="5" t="e">
        <f t="shared" si="28"/>
        <v>#DIV/0!</v>
      </c>
      <c r="V43" s="343" t="e">
        <f t="shared" si="28"/>
        <v>#DIV/0!</v>
      </c>
      <c r="W43" s="5" t="e">
        <f t="shared" ref="W43:AF43" si="31">W13/W$26</f>
        <v>#DIV/0!</v>
      </c>
      <c r="X43" s="5" t="e">
        <f t="shared" si="31"/>
        <v>#DIV/0!</v>
      </c>
      <c r="Y43" s="5" t="e">
        <f t="shared" si="31"/>
        <v>#DIV/0!</v>
      </c>
      <c r="Z43" s="343" t="e">
        <f t="shared" si="31"/>
        <v>#DIV/0!</v>
      </c>
      <c r="AA43" s="5" t="e">
        <f t="shared" si="31"/>
        <v>#DIV/0!</v>
      </c>
      <c r="AB43" s="5" t="e">
        <f t="shared" si="31"/>
        <v>#DIV/0!</v>
      </c>
      <c r="AC43" s="5" t="e">
        <f t="shared" si="31"/>
        <v>#DIV/0!</v>
      </c>
      <c r="AD43" s="255" t="e">
        <f t="shared" si="31"/>
        <v>#DIV/0!</v>
      </c>
      <c r="AE43" s="1562" t="e">
        <f t="shared" si="31"/>
        <v>#DIV/0!</v>
      </c>
      <c r="AF43" s="1562" t="e">
        <f t="shared" si="31"/>
        <v>#DIV/0!</v>
      </c>
      <c r="AG43" s="255" t="e">
        <f t="shared" ref="AG43" si="32">AG13/AG$26</f>
        <v>#DIV/0!</v>
      </c>
      <c r="AH43" s="248"/>
    </row>
    <row r="44" spans="2:40">
      <c r="B44" s="39" t="str">
        <f t="shared" si="17"/>
        <v>Eoptolink</v>
      </c>
      <c r="C44" s="5">
        <f t="shared" ref="C44:N44" si="33">C14/C$26</f>
        <v>1.5069923612897683E-2</v>
      </c>
      <c r="D44" s="5">
        <f t="shared" si="33"/>
        <v>1.8202124986662155E-2</v>
      </c>
      <c r="E44" s="5">
        <f t="shared" si="33"/>
        <v>1.4601064601161645E-2</v>
      </c>
      <c r="F44" s="255">
        <f t="shared" si="33"/>
        <v>1.5231918272932616E-2</v>
      </c>
      <c r="G44" s="5">
        <f t="shared" si="33"/>
        <v>1.4947879301313468E-2</v>
      </c>
      <c r="H44" s="5">
        <f t="shared" si="33"/>
        <v>1.9292005526674871E-2</v>
      </c>
      <c r="I44" s="5">
        <f t="shared" si="33"/>
        <v>1.8589285841134107E-2</v>
      </c>
      <c r="J44" s="255">
        <f t="shared" si="33"/>
        <v>1.5932015294764665E-2</v>
      </c>
      <c r="K44" s="5">
        <f t="shared" si="33"/>
        <v>1.4533389242390986E-2</v>
      </c>
      <c r="L44" s="5">
        <f t="shared" si="33"/>
        <v>1.2499535340937885E-2</v>
      </c>
      <c r="M44" s="5">
        <f t="shared" si="33"/>
        <v>1.4135870496905387E-2</v>
      </c>
      <c r="N44" s="255">
        <f t="shared" si="33"/>
        <v>1.578375076458249E-2</v>
      </c>
      <c r="O44" s="5">
        <f t="shared" si="28"/>
        <v>1.6123375149246093E-2</v>
      </c>
      <c r="P44" s="5" t="e">
        <f t="shared" si="28"/>
        <v>#DIV/0!</v>
      </c>
      <c r="Q44" s="5" t="e">
        <f t="shared" si="28"/>
        <v>#DIV/0!</v>
      </c>
      <c r="R44" s="255" t="e">
        <f t="shared" si="28"/>
        <v>#DIV/0!</v>
      </c>
      <c r="S44" s="5" t="e">
        <f t="shared" si="28"/>
        <v>#DIV/0!</v>
      </c>
      <c r="T44" s="5" t="e">
        <f t="shared" si="28"/>
        <v>#DIV/0!</v>
      </c>
      <c r="U44" s="5" t="e">
        <f t="shared" si="28"/>
        <v>#DIV/0!</v>
      </c>
      <c r="V44" s="255" t="e">
        <f t="shared" si="28"/>
        <v>#DIV/0!</v>
      </c>
      <c r="W44" s="5" t="e">
        <f t="shared" ref="W44:AD44" si="34">W14/W$26</f>
        <v>#DIV/0!</v>
      </c>
      <c r="X44" s="5" t="e">
        <f t="shared" si="34"/>
        <v>#DIV/0!</v>
      </c>
      <c r="Y44" s="5" t="e">
        <f t="shared" si="34"/>
        <v>#DIV/0!</v>
      </c>
      <c r="Z44" s="255" t="e">
        <f t="shared" si="34"/>
        <v>#DIV/0!</v>
      </c>
      <c r="AA44" s="5" t="e">
        <f t="shared" si="34"/>
        <v>#DIV/0!</v>
      </c>
      <c r="AB44" s="5" t="e">
        <f t="shared" si="34"/>
        <v>#DIV/0!</v>
      </c>
      <c r="AC44" s="5" t="e">
        <f t="shared" si="34"/>
        <v>#DIV/0!</v>
      </c>
      <c r="AD44" s="255" t="e">
        <f t="shared" si="34"/>
        <v>#DIV/0!</v>
      </c>
      <c r="AE44" s="1562" t="e">
        <f>AE14/AE26</f>
        <v>#DIV/0!</v>
      </c>
      <c r="AF44" s="1562" t="e">
        <f>AF14/AF26</f>
        <v>#DIV/0!</v>
      </c>
      <c r="AG44" s="255" t="e">
        <f>AG14/AG26</f>
        <v>#DIV/0!</v>
      </c>
      <c r="AH44" s="248"/>
    </row>
    <row r="45" spans="2:40">
      <c r="B45" s="39" t="str">
        <f t="shared" si="17"/>
        <v>Fabrinet</v>
      </c>
      <c r="C45" s="5">
        <f t="shared" ref="C45:N45" si="35">C15/C$26</f>
        <v>0.2147469542527552</v>
      </c>
      <c r="D45" s="5">
        <f t="shared" si="35"/>
        <v>0.21030414709829209</v>
      </c>
      <c r="E45" s="5">
        <f t="shared" si="35"/>
        <v>0.21107444185303331</v>
      </c>
      <c r="F45" s="255">
        <f t="shared" si="35"/>
        <v>0.1939691179795015</v>
      </c>
      <c r="G45" s="5">
        <f t="shared" si="35"/>
        <v>0.19164219791554396</v>
      </c>
      <c r="H45" s="5">
        <f t="shared" si="35"/>
        <v>0.18905845602457069</v>
      </c>
      <c r="I45" s="5">
        <f t="shared" si="35"/>
        <v>0.17812032423237495</v>
      </c>
      <c r="J45" s="255">
        <f t="shared" si="35"/>
        <v>0.16253800006536187</v>
      </c>
      <c r="K45" s="5">
        <f t="shared" si="35"/>
        <v>0.16088657847136806</v>
      </c>
      <c r="L45" s="5">
        <f t="shared" si="35"/>
        <v>0.16012009514683148</v>
      </c>
      <c r="M45" s="5">
        <f t="shared" si="35"/>
        <v>0.15804027548374502</v>
      </c>
      <c r="N45" s="255">
        <f t="shared" si="35"/>
        <v>0.15820456505541972</v>
      </c>
      <c r="O45" s="5">
        <f t="shared" ref="O45:P49" si="36">O15/O$26</f>
        <v>0.15056212024161506</v>
      </c>
      <c r="P45" s="5" t="e">
        <f t="shared" si="36"/>
        <v>#DIV/0!</v>
      </c>
      <c r="Q45" s="359"/>
      <c r="R45" s="406"/>
      <c r="S45" s="5" t="e">
        <f t="shared" ref="S45:AE45" si="37">S15/S$26</f>
        <v>#DIV/0!</v>
      </c>
      <c r="T45" s="5" t="e">
        <f t="shared" si="37"/>
        <v>#DIV/0!</v>
      </c>
      <c r="U45" s="5" t="e">
        <f t="shared" si="37"/>
        <v>#DIV/0!</v>
      </c>
      <c r="V45" s="255" t="e">
        <f t="shared" si="37"/>
        <v>#DIV/0!</v>
      </c>
      <c r="W45" s="5" t="e">
        <f t="shared" si="37"/>
        <v>#DIV/0!</v>
      </c>
      <c r="X45" s="5" t="e">
        <f t="shared" si="37"/>
        <v>#DIV/0!</v>
      </c>
      <c r="Y45" s="5" t="e">
        <f t="shared" si="37"/>
        <v>#DIV/0!</v>
      </c>
      <c r="Z45" s="255" t="e">
        <f t="shared" si="37"/>
        <v>#DIV/0!</v>
      </c>
      <c r="AA45" s="5" t="e">
        <f t="shared" si="37"/>
        <v>#DIV/0!</v>
      </c>
      <c r="AB45" s="5" t="e">
        <f t="shared" si="37"/>
        <v>#DIV/0!</v>
      </c>
      <c r="AC45" s="5" t="e">
        <f t="shared" si="37"/>
        <v>#DIV/0!</v>
      </c>
      <c r="AD45" s="255" t="e">
        <f t="shared" si="37"/>
        <v>#DIV/0!</v>
      </c>
      <c r="AE45" s="1562" t="e">
        <f t="shared" si="37"/>
        <v>#DIV/0!</v>
      </c>
      <c r="AF45" s="1562" t="e">
        <f t="shared" ref="AF45:AG51" si="38">AF15/AF$26</f>
        <v>#DIV/0!</v>
      </c>
      <c r="AG45" s="255" t="e">
        <f t="shared" si="38"/>
        <v>#DIV/0!</v>
      </c>
      <c r="AH45" s="5"/>
    </row>
    <row r="46" spans="2:40">
      <c r="B46" s="39" t="str">
        <f t="shared" si="17"/>
        <v>Hisense</v>
      </c>
      <c r="C46" s="5">
        <f t="shared" ref="C46:N46" si="39">C16/C$26</f>
        <v>9.6050537936375441E-2</v>
      </c>
      <c r="D46" s="5">
        <f t="shared" si="39"/>
        <v>0.11077609569470429</v>
      </c>
      <c r="E46" s="5">
        <f t="shared" si="39"/>
        <v>9.3718145997492702E-2</v>
      </c>
      <c r="F46" s="255">
        <f t="shared" si="39"/>
        <v>0.11098495464443919</v>
      </c>
      <c r="G46" s="5">
        <f t="shared" si="39"/>
        <v>0.10559625703614597</v>
      </c>
      <c r="H46" s="5">
        <f t="shared" si="39"/>
        <v>7.4203129148391653E-2</v>
      </c>
      <c r="I46" s="5">
        <f t="shared" si="39"/>
        <v>8.6860500370689014E-2</v>
      </c>
      <c r="J46" s="255">
        <f t="shared" si="39"/>
        <v>7.5791704678149982E-2</v>
      </c>
      <c r="K46" s="5">
        <f t="shared" si="39"/>
        <v>7.5253399607575391E-2</v>
      </c>
      <c r="L46" s="5">
        <f t="shared" si="39"/>
        <v>7.3427906538221191E-2</v>
      </c>
      <c r="M46" s="5">
        <f t="shared" si="39"/>
        <v>7.4198343860755342E-2</v>
      </c>
      <c r="N46" s="255">
        <f t="shared" si="39"/>
        <v>7.0023388073980036E-2</v>
      </c>
      <c r="O46" s="5">
        <f t="shared" si="36"/>
        <v>6.6884667311487095E-2</v>
      </c>
      <c r="P46" s="5" t="e">
        <f t="shared" si="36"/>
        <v>#DIV/0!</v>
      </c>
      <c r="Q46" s="5" t="e">
        <f t="shared" ref="Q46:AE46" si="40">Q16/Q$26</f>
        <v>#DIV/0!</v>
      </c>
      <c r="R46" s="255" t="e">
        <f t="shared" si="40"/>
        <v>#DIV/0!</v>
      </c>
      <c r="S46" s="5" t="e">
        <f t="shared" si="40"/>
        <v>#DIV/0!</v>
      </c>
      <c r="T46" s="5" t="e">
        <f t="shared" si="40"/>
        <v>#DIV/0!</v>
      </c>
      <c r="U46" s="5" t="e">
        <f t="shared" si="40"/>
        <v>#DIV/0!</v>
      </c>
      <c r="V46" s="255" t="e">
        <f t="shared" si="40"/>
        <v>#DIV/0!</v>
      </c>
      <c r="W46" s="5" t="e">
        <f t="shared" si="40"/>
        <v>#DIV/0!</v>
      </c>
      <c r="X46" s="5" t="e">
        <f t="shared" si="40"/>
        <v>#DIV/0!</v>
      </c>
      <c r="Y46" s="5" t="e">
        <f t="shared" si="40"/>
        <v>#DIV/0!</v>
      </c>
      <c r="Z46" s="255" t="e">
        <f t="shared" si="40"/>
        <v>#DIV/0!</v>
      </c>
      <c r="AA46" s="5" t="e">
        <f t="shared" si="40"/>
        <v>#DIV/0!</v>
      </c>
      <c r="AB46" s="5" t="e">
        <f t="shared" si="40"/>
        <v>#DIV/0!</v>
      </c>
      <c r="AC46" s="5" t="e">
        <f t="shared" si="40"/>
        <v>#DIV/0!</v>
      </c>
      <c r="AD46" s="255" t="e">
        <f t="shared" si="40"/>
        <v>#DIV/0!</v>
      </c>
      <c r="AE46" s="1562" t="e">
        <f t="shared" si="40"/>
        <v>#DIV/0!</v>
      </c>
      <c r="AF46" s="1562" t="e">
        <f t="shared" si="38"/>
        <v>#DIV/0!</v>
      </c>
      <c r="AG46" s="255" t="e">
        <f t="shared" si="38"/>
        <v>#DIV/0!</v>
      </c>
      <c r="AH46" s="248"/>
    </row>
    <row r="47" spans="2:40">
      <c r="B47" s="39" t="str">
        <f t="shared" si="17"/>
        <v>HGG (optical)</v>
      </c>
      <c r="C47" s="5">
        <f t="shared" ref="C47:N47" si="41">C17/C$26</f>
        <v>3.1632774581235916E-2</v>
      </c>
      <c r="D47" s="5">
        <f t="shared" si="41"/>
        <v>2.8961566197259522E-2</v>
      </c>
      <c r="E47" s="5">
        <f t="shared" si="41"/>
        <v>2.9054305772949901E-2</v>
      </c>
      <c r="F47" s="255">
        <f t="shared" si="41"/>
        <v>2.5297434175607852E-2</v>
      </c>
      <c r="G47" s="5">
        <f t="shared" si="41"/>
        <v>2.8922589377281024E-2</v>
      </c>
      <c r="H47" s="5">
        <f t="shared" si="41"/>
        <v>2.9965191000840267E-2</v>
      </c>
      <c r="I47" s="5">
        <f t="shared" si="41"/>
        <v>3.8604666831417341E-2</v>
      </c>
      <c r="J47" s="255">
        <f t="shared" si="41"/>
        <v>4.0585235408299662E-2</v>
      </c>
      <c r="K47" s="5">
        <f t="shared" si="41"/>
        <v>3.6329227396760533E-2</v>
      </c>
      <c r="L47" s="5">
        <f t="shared" si="41"/>
        <v>3.7342852319147586E-2</v>
      </c>
      <c r="M47" s="5">
        <f t="shared" si="41"/>
        <v>3.7394717682058022E-2</v>
      </c>
      <c r="N47" s="255">
        <f t="shared" si="41"/>
        <v>3.6701913749120567E-2</v>
      </c>
      <c r="O47" s="5">
        <f t="shared" si="36"/>
        <v>3.4959680917800877E-2</v>
      </c>
      <c r="P47" s="5" t="e">
        <f t="shared" si="36"/>
        <v>#DIV/0!</v>
      </c>
      <c r="Q47" s="5" t="e">
        <f t="shared" ref="Q47:AE47" si="42">Q17/Q$26</f>
        <v>#DIV/0!</v>
      </c>
      <c r="R47" s="255" t="e">
        <f t="shared" si="42"/>
        <v>#DIV/0!</v>
      </c>
      <c r="S47" s="5" t="e">
        <f t="shared" si="42"/>
        <v>#DIV/0!</v>
      </c>
      <c r="T47" s="5" t="e">
        <f t="shared" si="42"/>
        <v>#DIV/0!</v>
      </c>
      <c r="U47" s="5" t="e">
        <f t="shared" si="42"/>
        <v>#DIV/0!</v>
      </c>
      <c r="V47" s="255" t="e">
        <f t="shared" si="42"/>
        <v>#DIV/0!</v>
      </c>
      <c r="W47" s="5" t="e">
        <f t="shared" si="42"/>
        <v>#DIV/0!</v>
      </c>
      <c r="X47" s="5" t="e">
        <f t="shared" si="42"/>
        <v>#DIV/0!</v>
      </c>
      <c r="Y47" s="5" t="e">
        <f t="shared" si="42"/>
        <v>#DIV/0!</v>
      </c>
      <c r="Z47" s="255" t="e">
        <f t="shared" si="42"/>
        <v>#DIV/0!</v>
      </c>
      <c r="AA47" s="5" t="e">
        <f t="shared" si="42"/>
        <v>#DIV/0!</v>
      </c>
      <c r="AB47" s="5" t="e">
        <f t="shared" si="42"/>
        <v>#DIV/0!</v>
      </c>
      <c r="AC47" s="5" t="e">
        <f t="shared" si="42"/>
        <v>#DIV/0!</v>
      </c>
      <c r="AD47" s="255" t="e">
        <f t="shared" si="42"/>
        <v>#DIV/0!</v>
      </c>
      <c r="AE47" s="1562" t="e">
        <f t="shared" si="42"/>
        <v>#DIV/0!</v>
      </c>
      <c r="AF47" s="1562" t="e">
        <f t="shared" si="38"/>
        <v>#DIV/0!</v>
      </c>
      <c r="AG47" s="255" t="e">
        <f t="shared" si="38"/>
        <v>#DIV/0!</v>
      </c>
    </row>
    <row r="48" spans="2:40">
      <c r="B48" s="39" t="str">
        <f t="shared" si="17"/>
        <v>Innolight</v>
      </c>
      <c r="C48" s="5">
        <f t="shared" ref="C48:N48" si="43">C18/C$26</f>
        <v>3.7048564880494149E-2</v>
      </c>
      <c r="D48" s="5">
        <f t="shared" si="43"/>
        <v>3.7003662246033797E-2</v>
      </c>
      <c r="E48" s="26">
        <f t="shared" si="43"/>
        <v>5.0215060511129853E-2</v>
      </c>
      <c r="F48" s="343">
        <f t="shared" si="43"/>
        <v>4.7601345225940658E-2</v>
      </c>
      <c r="G48" s="5">
        <f t="shared" si="43"/>
        <v>5.2530117713412719E-2</v>
      </c>
      <c r="H48" s="5">
        <f t="shared" si="43"/>
        <v>8.4628273176592494E-2</v>
      </c>
      <c r="I48" s="5">
        <f t="shared" si="43"/>
        <v>9.1686083724616188E-2</v>
      </c>
      <c r="J48" s="343">
        <f t="shared" si="43"/>
        <v>8.9972088134061906E-2</v>
      </c>
      <c r="K48" s="5">
        <f t="shared" si="43"/>
        <v>0.11422590758485932</v>
      </c>
      <c r="L48" s="5">
        <f t="shared" si="43"/>
        <v>0.11289137298429343</v>
      </c>
      <c r="M48" s="5">
        <f t="shared" si="43"/>
        <v>9.8308553910296553E-2</v>
      </c>
      <c r="N48" s="343">
        <f t="shared" si="43"/>
        <v>6.6642948649718925E-2</v>
      </c>
      <c r="O48" s="5">
        <f t="shared" si="36"/>
        <v>6.3053913530087408E-2</v>
      </c>
      <c r="P48" s="5" t="e">
        <f t="shared" si="36"/>
        <v>#DIV/0!</v>
      </c>
      <c r="Q48" s="5" t="e">
        <f t="shared" ref="Q48:AE48" si="44">Q18/Q$26</f>
        <v>#DIV/0!</v>
      </c>
      <c r="R48" s="343" t="e">
        <f t="shared" si="44"/>
        <v>#DIV/0!</v>
      </c>
      <c r="S48" s="5" t="e">
        <f t="shared" si="44"/>
        <v>#DIV/0!</v>
      </c>
      <c r="T48" s="5" t="e">
        <f t="shared" si="44"/>
        <v>#DIV/0!</v>
      </c>
      <c r="U48" s="5" t="e">
        <f t="shared" si="44"/>
        <v>#DIV/0!</v>
      </c>
      <c r="V48" s="343" t="e">
        <f t="shared" si="44"/>
        <v>#DIV/0!</v>
      </c>
      <c r="W48" s="5" t="e">
        <f t="shared" si="44"/>
        <v>#DIV/0!</v>
      </c>
      <c r="X48" s="5" t="e">
        <f t="shared" si="44"/>
        <v>#DIV/0!</v>
      </c>
      <c r="Y48" s="5" t="e">
        <f t="shared" si="44"/>
        <v>#DIV/0!</v>
      </c>
      <c r="Z48" s="343" t="e">
        <f t="shared" si="44"/>
        <v>#DIV/0!</v>
      </c>
      <c r="AA48" s="5" t="e">
        <f t="shared" si="44"/>
        <v>#DIV/0!</v>
      </c>
      <c r="AB48" s="5" t="e">
        <f t="shared" si="44"/>
        <v>#DIV/0!</v>
      </c>
      <c r="AC48" s="5" t="e">
        <f t="shared" si="44"/>
        <v>#DIV/0!</v>
      </c>
      <c r="AD48" s="255" t="e">
        <f t="shared" si="44"/>
        <v>#DIV/0!</v>
      </c>
      <c r="AE48" s="1562" t="e">
        <f t="shared" si="44"/>
        <v>#DIV/0!</v>
      </c>
      <c r="AF48" s="1562" t="e">
        <f t="shared" si="38"/>
        <v>#DIV/0!</v>
      </c>
      <c r="AG48" s="255" t="e">
        <f t="shared" si="38"/>
        <v>#DIV/0!</v>
      </c>
    </row>
    <row r="49" spans="2:33">
      <c r="B49" s="39" t="str">
        <f t="shared" si="17"/>
        <v>LandMark</v>
      </c>
      <c r="C49" s="5"/>
      <c r="D49" s="5"/>
      <c r="E49" s="26"/>
      <c r="F49" s="343"/>
      <c r="G49" s="5"/>
      <c r="H49" s="5"/>
      <c r="I49" s="5"/>
      <c r="J49" s="343"/>
      <c r="K49" s="5"/>
      <c r="L49" s="5"/>
      <c r="M49" s="5"/>
      <c r="N49" s="343"/>
      <c r="O49" s="5">
        <f t="shared" si="36"/>
        <v>7.0228062430436888E-3</v>
      </c>
      <c r="P49" s="5" t="e">
        <f t="shared" si="36"/>
        <v>#DIV/0!</v>
      </c>
      <c r="Q49" s="5" t="e">
        <f t="shared" ref="Q49:AE49" si="45">Q19/Q$26</f>
        <v>#DIV/0!</v>
      </c>
      <c r="R49" s="343" t="e">
        <f t="shared" si="45"/>
        <v>#DIV/0!</v>
      </c>
      <c r="S49" s="5" t="e">
        <f t="shared" si="45"/>
        <v>#DIV/0!</v>
      </c>
      <c r="T49" s="5" t="e">
        <f t="shared" si="45"/>
        <v>#DIV/0!</v>
      </c>
      <c r="U49" s="5" t="e">
        <f t="shared" si="45"/>
        <v>#DIV/0!</v>
      </c>
      <c r="V49" s="343" t="e">
        <f t="shared" si="45"/>
        <v>#DIV/0!</v>
      </c>
      <c r="W49" s="5" t="e">
        <f t="shared" si="45"/>
        <v>#DIV/0!</v>
      </c>
      <c r="X49" s="5" t="e">
        <f t="shared" si="45"/>
        <v>#DIV/0!</v>
      </c>
      <c r="Y49" s="5" t="e">
        <f t="shared" si="45"/>
        <v>#DIV/0!</v>
      </c>
      <c r="Z49" s="343" t="e">
        <f t="shared" si="45"/>
        <v>#DIV/0!</v>
      </c>
      <c r="AA49" s="5" t="e">
        <f t="shared" si="45"/>
        <v>#DIV/0!</v>
      </c>
      <c r="AB49" s="5" t="e">
        <f t="shared" si="45"/>
        <v>#DIV/0!</v>
      </c>
      <c r="AC49" s="5" t="e">
        <f t="shared" si="45"/>
        <v>#DIV/0!</v>
      </c>
      <c r="AD49" s="255" t="e">
        <f t="shared" si="45"/>
        <v>#DIV/0!</v>
      </c>
      <c r="AE49" s="1562" t="e">
        <f t="shared" si="45"/>
        <v>#DIV/0!</v>
      </c>
      <c r="AF49" s="1562" t="e">
        <f t="shared" si="38"/>
        <v>#DIV/0!</v>
      </c>
      <c r="AG49" s="255" t="e">
        <f t="shared" si="38"/>
        <v>#DIV/0!</v>
      </c>
    </row>
    <row r="50" spans="2:33">
      <c r="B50" s="39" t="str">
        <f t="shared" si="17"/>
        <v>Linktel Technologies</v>
      </c>
      <c r="C50" s="5"/>
      <c r="D50" s="5"/>
      <c r="E50" s="26"/>
      <c r="F50" s="343"/>
      <c r="G50" s="5"/>
      <c r="H50" s="5"/>
      <c r="I50" s="5"/>
      <c r="J50" s="343"/>
      <c r="K50" s="5"/>
      <c r="L50" s="5"/>
      <c r="M50" s="5"/>
      <c r="N50" s="343"/>
      <c r="O50" s="5"/>
      <c r="P50" s="5"/>
      <c r="Q50" s="5"/>
      <c r="R50" s="343"/>
      <c r="S50" s="5"/>
      <c r="T50" s="5"/>
      <c r="U50" s="5"/>
      <c r="V50" s="343"/>
      <c r="W50" s="5"/>
      <c r="X50" s="5"/>
      <c r="Y50" s="5"/>
      <c r="Z50" s="343"/>
      <c r="AA50" s="5" t="e">
        <f t="shared" ref="AA50:AD50" si="46">AA20/AA$26</f>
        <v>#DIV/0!</v>
      </c>
      <c r="AB50" s="5" t="e">
        <f t="shared" si="46"/>
        <v>#DIV/0!</v>
      </c>
      <c r="AC50" s="5" t="e">
        <f t="shared" si="46"/>
        <v>#DIV/0!</v>
      </c>
      <c r="AD50" s="255" t="e">
        <f t="shared" si="46"/>
        <v>#DIV/0!</v>
      </c>
      <c r="AE50" s="1562" t="e">
        <f>AE20/AE$26</f>
        <v>#DIV/0!</v>
      </c>
      <c r="AF50" s="1562" t="e">
        <f t="shared" si="38"/>
        <v>#DIV/0!</v>
      </c>
      <c r="AG50" s="255" t="e">
        <f t="shared" si="38"/>
        <v>#DIV/0!</v>
      </c>
    </row>
    <row r="51" spans="2:33">
      <c r="B51" s="39" t="str">
        <f t="shared" si="17"/>
        <v>Lumentum (optical)</v>
      </c>
      <c r="C51" s="5">
        <f t="shared" ref="C51:AD51" si="47">C21/C$26</f>
        <v>0.13283594535333537</v>
      </c>
      <c r="D51" s="5">
        <f t="shared" si="47"/>
        <v>0.12408561406503334</v>
      </c>
      <c r="E51" s="5">
        <f t="shared" si="47"/>
        <v>0.12456758760885964</v>
      </c>
      <c r="F51" s="255">
        <f t="shared" si="47"/>
        <v>0.12065795527858755</v>
      </c>
      <c r="G51" s="5">
        <f t="shared" si="47"/>
        <v>0.11583426977416825</v>
      </c>
      <c r="H51" s="5">
        <f t="shared" si="47"/>
        <v>0.10332393091102927</v>
      </c>
      <c r="I51" s="5">
        <f t="shared" si="47"/>
        <v>0.11147097547571758</v>
      </c>
      <c r="J51" s="255">
        <f t="shared" si="47"/>
        <v>0.17608124422323748</v>
      </c>
      <c r="K51" s="5">
        <f t="shared" si="47"/>
        <v>0.12782698154031599</v>
      </c>
      <c r="L51" s="5">
        <f t="shared" si="47"/>
        <v>0.1235846558508006</v>
      </c>
      <c r="M51" s="5">
        <f t="shared" si="47"/>
        <v>0.1505987266650155</v>
      </c>
      <c r="N51" s="255">
        <f t="shared" si="47"/>
        <v>0.15714214123636622</v>
      </c>
      <c r="O51" s="5">
        <f t="shared" si="47"/>
        <v>0.18348976970606873</v>
      </c>
      <c r="P51" s="5" t="e">
        <f t="shared" si="47"/>
        <v>#DIV/0!</v>
      </c>
      <c r="Q51" s="5" t="e">
        <f t="shared" si="47"/>
        <v>#DIV/0!</v>
      </c>
      <c r="R51" s="255" t="e">
        <f t="shared" si="47"/>
        <v>#DIV/0!</v>
      </c>
      <c r="S51" s="5" t="e">
        <f t="shared" si="47"/>
        <v>#DIV/0!</v>
      </c>
      <c r="T51" s="5" t="e">
        <f t="shared" si="47"/>
        <v>#DIV/0!</v>
      </c>
      <c r="U51" s="5" t="e">
        <f t="shared" si="47"/>
        <v>#DIV/0!</v>
      </c>
      <c r="V51" s="255" t="e">
        <f t="shared" si="47"/>
        <v>#DIV/0!</v>
      </c>
      <c r="W51" s="5" t="e">
        <f t="shared" si="47"/>
        <v>#DIV/0!</v>
      </c>
      <c r="X51" s="5" t="e">
        <f t="shared" si="47"/>
        <v>#DIV/0!</v>
      </c>
      <c r="Y51" s="5" t="e">
        <f t="shared" si="47"/>
        <v>#DIV/0!</v>
      </c>
      <c r="Z51" s="255" t="e">
        <f t="shared" si="47"/>
        <v>#DIV/0!</v>
      </c>
      <c r="AA51" s="5" t="e">
        <f t="shared" si="47"/>
        <v>#DIV/0!</v>
      </c>
      <c r="AB51" s="5" t="e">
        <f t="shared" si="47"/>
        <v>#DIV/0!</v>
      </c>
      <c r="AC51" s="5" t="e">
        <f t="shared" si="47"/>
        <v>#DIV/0!</v>
      </c>
      <c r="AD51" s="255" t="e">
        <f t="shared" si="47"/>
        <v>#DIV/0!</v>
      </c>
      <c r="AE51" s="1562" t="e">
        <f>AE21/AE$26</f>
        <v>#DIV/0!</v>
      </c>
      <c r="AF51" s="1562" t="e">
        <f t="shared" si="38"/>
        <v>#DIV/0!</v>
      </c>
      <c r="AG51" s="255" t="e">
        <f t="shared" si="38"/>
        <v>#DIV/0!</v>
      </c>
    </row>
    <row r="52" spans="2:33">
      <c r="B52" s="39" t="str">
        <f t="shared" si="17"/>
        <v>NeoPhotonics</v>
      </c>
      <c r="C52" s="5">
        <f t="shared" ref="C52:Z52" si="48">C22/C$26</f>
        <v>6.6754777811944915E-2</v>
      </c>
      <c r="D52" s="5">
        <f t="shared" si="48"/>
        <v>6.1117715476365825E-2</v>
      </c>
      <c r="E52" s="5">
        <f t="shared" si="48"/>
        <v>5.894563353181493E-2</v>
      </c>
      <c r="F52" s="255">
        <f t="shared" si="48"/>
        <v>5.5899761559446891E-2</v>
      </c>
      <c r="G52" s="5">
        <f t="shared" si="48"/>
        <v>3.8432749388282575E-2</v>
      </c>
      <c r="H52" s="5">
        <f t="shared" si="48"/>
        <v>4.0378195698635634E-2</v>
      </c>
      <c r="I52" s="5">
        <f t="shared" si="48"/>
        <v>3.8133368190517117E-2</v>
      </c>
      <c r="J52" s="255">
        <f t="shared" si="48"/>
        <v>3.7602465095159569E-2</v>
      </c>
      <c r="K52" s="5">
        <f t="shared" si="48"/>
        <v>3.5602642848825319E-2</v>
      </c>
      <c r="L52" s="5">
        <f t="shared" si="48"/>
        <v>4.0925747609227958E-2</v>
      </c>
      <c r="M52" s="5">
        <f t="shared" si="48"/>
        <v>3.9677252397716113E-2</v>
      </c>
      <c r="N52" s="255">
        <f t="shared" si="48"/>
        <v>4.3994004507169518E-2</v>
      </c>
      <c r="O52" s="5">
        <f t="shared" si="48"/>
        <v>3.8536250496141448E-2</v>
      </c>
      <c r="P52" s="5" t="e">
        <f t="shared" si="48"/>
        <v>#DIV/0!</v>
      </c>
      <c r="Q52" s="5" t="e">
        <f t="shared" si="48"/>
        <v>#DIV/0!</v>
      </c>
      <c r="R52" s="255" t="e">
        <f t="shared" si="48"/>
        <v>#DIV/0!</v>
      </c>
      <c r="S52" s="5" t="e">
        <f t="shared" si="48"/>
        <v>#DIV/0!</v>
      </c>
      <c r="T52" s="5" t="e">
        <f t="shared" si="48"/>
        <v>#DIV/0!</v>
      </c>
      <c r="U52" s="5" t="e">
        <f t="shared" si="48"/>
        <v>#DIV/0!</v>
      </c>
      <c r="V52" s="255" t="e">
        <f t="shared" si="48"/>
        <v>#DIV/0!</v>
      </c>
      <c r="W52" s="5" t="e">
        <f t="shared" si="48"/>
        <v>#DIV/0!</v>
      </c>
      <c r="X52" s="5" t="e">
        <f t="shared" si="48"/>
        <v>#DIV/0!</v>
      </c>
      <c r="Y52" s="5" t="e">
        <f t="shared" si="48"/>
        <v>#DIV/0!</v>
      </c>
      <c r="Z52" s="255" t="e">
        <f t="shared" si="48"/>
        <v>#DIV/0!</v>
      </c>
      <c r="AA52" s="5" t="e">
        <f>AA22/AA$26</f>
        <v>#DIV/0!</v>
      </c>
      <c r="AB52" s="359"/>
      <c r="AC52" s="359"/>
      <c r="AD52" s="406"/>
      <c r="AE52" s="1548"/>
      <c r="AF52" s="1548"/>
      <c r="AG52" s="406"/>
    </row>
    <row r="53" spans="2:33">
      <c r="B53" s="39" t="str">
        <f t="shared" si="17"/>
        <v>OE Solutions</v>
      </c>
      <c r="C53" s="5">
        <f t="shared" ref="C53:Z53" si="49">C23/C$26</f>
        <v>9.1664035158634301E-3</v>
      </c>
      <c r="D53" s="5">
        <f t="shared" si="49"/>
        <v>8.2362399159868274E-3</v>
      </c>
      <c r="E53" s="5">
        <f t="shared" si="49"/>
        <v>9.6715752030673945E-3</v>
      </c>
      <c r="F53" s="255">
        <f t="shared" si="49"/>
        <v>1.2654364290169905E-2</v>
      </c>
      <c r="G53" s="5">
        <f t="shared" si="49"/>
        <v>1.0852180534888749E-2</v>
      </c>
      <c r="H53" s="5">
        <f t="shared" si="49"/>
        <v>9.6101201234250547E-3</v>
      </c>
      <c r="I53" s="5">
        <f t="shared" si="49"/>
        <v>7.9144187589590652E-3</v>
      </c>
      <c r="J53" s="255">
        <f t="shared" si="49"/>
        <v>7.4491265892843925E-3</v>
      </c>
      <c r="K53" s="5">
        <f t="shared" si="49"/>
        <v>8.3540224864401963E-3</v>
      </c>
      <c r="L53" s="5">
        <f t="shared" si="49"/>
        <v>8.7070219158497074E-3</v>
      </c>
      <c r="M53" s="5">
        <f t="shared" si="49"/>
        <v>9.0672011327420955E-3</v>
      </c>
      <c r="N53" s="255">
        <f t="shared" si="49"/>
        <v>1.0561378435494735E-2</v>
      </c>
      <c r="O53" s="5">
        <f t="shared" si="49"/>
        <v>1.8725420821408042E-2</v>
      </c>
      <c r="P53" s="5" t="e">
        <f t="shared" si="49"/>
        <v>#DIV/0!</v>
      </c>
      <c r="Q53" s="5" t="e">
        <f t="shared" si="49"/>
        <v>#DIV/0!</v>
      </c>
      <c r="R53" s="255" t="e">
        <f t="shared" si="49"/>
        <v>#DIV/0!</v>
      </c>
      <c r="S53" s="5" t="e">
        <f t="shared" si="49"/>
        <v>#DIV/0!</v>
      </c>
      <c r="T53" s="5" t="e">
        <f t="shared" si="49"/>
        <v>#DIV/0!</v>
      </c>
      <c r="U53" s="5" t="e">
        <f t="shared" si="49"/>
        <v>#DIV/0!</v>
      </c>
      <c r="V53" s="255" t="e">
        <f t="shared" si="49"/>
        <v>#DIV/0!</v>
      </c>
      <c r="W53" s="5" t="e">
        <f t="shared" si="49"/>
        <v>#DIV/0!</v>
      </c>
      <c r="X53" s="5" t="e">
        <f t="shared" si="49"/>
        <v>#DIV/0!</v>
      </c>
      <c r="Y53" s="5" t="e">
        <f t="shared" si="49"/>
        <v>#DIV/0!</v>
      </c>
      <c r="Z53" s="255" t="e">
        <f t="shared" si="49"/>
        <v>#DIV/0!</v>
      </c>
      <c r="AA53" s="5" t="e">
        <f>AA23/AA$26</f>
        <v>#DIV/0!</v>
      </c>
      <c r="AB53" s="5" t="e">
        <f t="shared" ref="AB53:AG53" si="50">AB23/AB$26</f>
        <v>#DIV/0!</v>
      </c>
      <c r="AC53" s="5" t="e">
        <f t="shared" si="50"/>
        <v>#DIV/0!</v>
      </c>
      <c r="AD53" s="255" t="e">
        <f t="shared" si="50"/>
        <v>#DIV/0!</v>
      </c>
      <c r="AE53" s="1562" t="e">
        <f t="shared" si="50"/>
        <v>#DIV/0!</v>
      </c>
      <c r="AF53" s="1562" t="e">
        <f t="shared" si="50"/>
        <v>#DIV/0!</v>
      </c>
      <c r="AG53" s="255" t="e">
        <f t="shared" si="50"/>
        <v>#DIV/0!</v>
      </c>
    </row>
    <row r="54" spans="2:33">
      <c r="B54" s="39" t="str">
        <f t="shared" si="17"/>
        <v>O-Net</v>
      </c>
      <c r="C54" s="5">
        <f t="shared" ref="C54:V54" si="51">C24/C$26</f>
        <v>3.2333292986613076E-2</v>
      </c>
      <c r="D54" s="5">
        <f t="shared" si="51"/>
        <v>2.9602929796827038E-2</v>
      </c>
      <c r="E54" s="5">
        <f t="shared" si="51"/>
        <v>2.9672535756576732E-2</v>
      </c>
      <c r="F54" s="255">
        <f t="shared" si="51"/>
        <v>2.9471713552499272E-2</v>
      </c>
      <c r="G54" s="5">
        <f t="shared" si="51"/>
        <v>2.9481188512629587E-2</v>
      </c>
      <c r="H54" s="5">
        <f t="shared" si="51"/>
        <v>2.2678164707452889E-2</v>
      </c>
      <c r="I54" s="5">
        <f t="shared" si="51"/>
        <v>3.6728051082667884E-2</v>
      </c>
      <c r="J54" s="255">
        <f t="shared" si="51"/>
        <v>3.8757076148673401E-2</v>
      </c>
      <c r="K54" s="5">
        <f t="shared" si="51"/>
        <v>4.0035116901505047E-2</v>
      </c>
      <c r="L54" s="5">
        <f t="shared" si="51"/>
        <v>3.882502650227778E-2</v>
      </c>
      <c r="M54" s="5">
        <f t="shared" si="51"/>
        <v>4.0509762298668678E-2</v>
      </c>
      <c r="N54" s="255">
        <f t="shared" si="51"/>
        <v>4.036368688608355E-2</v>
      </c>
      <c r="O54" s="5">
        <f t="shared" si="51"/>
        <v>4.342313262838985E-2</v>
      </c>
      <c r="P54" s="5" t="e">
        <f t="shared" si="51"/>
        <v>#DIV/0!</v>
      </c>
      <c r="Q54" s="5" t="e">
        <f t="shared" si="51"/>
        <v>#DIV/0!</v>
      </c>
      <c r="R54" s="255" t="e">
        <f t="shared" si="51"/>
        <v>#DIV/0!</v>
      </c>
      <c r="S54" s="5" t="e">
        <f t="shared" si="51"/>
        <v>#DIV/0!</v>
      </c>
      <c r="T54" s="5" t="e">
        <f t="shared" si="51"/>
        <v>#DIV/0!</v>
      </c>
      <c r="U54" s="5" t="e">
        <f t="shared" si="51"/>
        <v>#DIV/0!</v>
      </c>
      <c r="V54" s="255" t="e">
        <f t="shared" si="51"/>
        <v>#DIV/0!</v>
      </c>
      <c r="W54" s="359"/>
      <c r="X54" s="359"/>
      <c r="Y54" s="359"/>
      <c r="Z54" s="406"/>
      <c r="AA54" s="359"/>
      <c r="AB54" s="359"/>
      <c r="AC54" s="359"/>
      <c r="AD54" s="406"/>
      <c r="AE54" s="1548"/>
      <c r="AF54" s="1548"/>
      <c r="AG54" s="406"/>
    </row>
    <row r="55" spans="2:33">
      <c r="B55" s="39" t="str">
        <f t="shared" si="17"/>
        <v>Sumitomo (opitcal)</v>
      </c>
      <c r="C55" s="5">
        <f t="shared" ref="C55:V55" si="52">C25/C$26</f>
        <v>9.701495907547561E-2</v>
      </c>
      <c r="D55" s="5">
        <f t="shared" si="52"/>
        <v>9.1466833876292952E-2</v>
      </c>
      <c r="E55" s="5">
        <f t="shared" si="52"/>
        <v>9.9167678671803358E-2</v>
      </c>
      <c r="F55" s="255">
        <f t="shared" si="52"/>
        <v>8.9602532190005954E-2</v>
      </c>
      <c r="G55" s="5">
        <f t="shared" si="52"/>
        <v>9.2570931929656902E-2</v>
      </c>
      <c r="H55" s="5">
        <f t="shared" si="52"/>
        <v>9.0712658829811554E-2</v>
      </c>
      <c r="I55" s="5">
        <f t="shared" si="52"/>
        <v>7.4977486104388077E-2</v>
      </c>
      <c r="J55" s="255">
        <f t="shared" si="52"/>
        <v>7.0076524610986332E-2</v>
      </c>
      <c r="K55" s="5">
        <f t="shared" si="52"/>
        <v>8.4175363869993095E-2</v>
      </c>
      <c r="L55" s="5">
        <f t="shared" si="52"/>
        <v>7.8984300646703809E-2</v>
      </c>
      <c r="M55" s="5">
        <f t="shared" si="52"/>
        <v>7.6184593342409984E-2</v>
      </c>
      <c r="N55" s="255">
        <f t="shared" si="52"/>
        <v>7.7122310864928351E-2</v>
      </c>
      <c r="O55" s="5">
        <f t="shared" si="52"/>
        <v>7.6231526445760242E-2</v>
      </c>
      <c r="P55" s="5" t="e">
        <f t="shared" si="52"/>
        <v>#DIV/0!</v>
      </c>
      <c r="Q55" s="5" t="e">
        <f t="shared" si="52"/>
        <v>#DIV/0!</v>
      </c>
      <c r="R55" s="255" t="e">
        <f t="shared" si="52"/>
        <v>#DIV/0!</v>
      </c>
      <c r="S55" s="5" t="e">
        <f t="shared" si="52"/>
        <v>#DIV/0!</v>
      </c>
      <c r="T55" s="5" t="e">
        <f t="shared" si="52"/>
        <v>#DIV/0!</v>
      </c>
      <c r="U55" s="5" t="e">
        <f t="shared" si="52"/>
        <v>#DIV/0!</v>
      </c>
      <c r="V55" s="255" t="e">
        <f t="shared" si="52"/>
        <v>#DIV/0!</v>
      </c>
      <c r="W55" s="5" t="e">
        <f t="shared" ref="W55:AF55" si="53">W25/W$26</f>
        <v>#DIV/0!</v>
      </c>
      <c r="X55" s="5" t="e">
        <f t="shared" si="53"/>
        <v>#DIV/0!</v>
      </c>
      <c r="Y55" s="5" t="e">
        <f t="shared" si="53"/>
        <v>#DIV/0!</v>
      </c>
      <c r="Z55" s="255" t="e">
        <f t="shared" si="53"/>
        <v>#DIV/0!</v>
      </c>
      <c r="AA55" s="5" t="e">
        <f>AA25/AA$26</f>
        <v>#DIV/0!</v>
      </c>
      <c r="AB55" s="5" t="e">
        <f t="shared" si="53"/>
        <v>#DIV/0!</v>
      </c>
      <c r="AC55" s="5" t="e">
        <f t="shared" si="53"/>
        <v>#DIV/0!</v>
      </c>
      <c r="AD55" s="255" t="e">
        <f t="shared" si="53"/>
        <v>#DIV/0!</v>
      </c>
      <c r="AE55" s="1562" t="e">
        <f t="shared" si="53"/>
        <v>#DIV/0!</v>
      </c>
      <c r="AF55" s="1562" t="e">
        <f t="shared" si="53"/>
        <v>#DIV/0!</v>
      </c>
      <c r="AG55" s="255" t="e">
        <f t="shared" ref="AG55" si="54">AG25/AG$26</f>
        <v>#DIV/0!</v>
      </c>
    </row>
    <row r="56" spans="2:33">
      <c r="B56" s="1688" t="str">
        <f t="shared" si="17"/>
        <v>Total</v>
      </c>
      <c r="C56" s="1574">
        <f t="shared" ref="C56:H56" si="55">SUM(C38:C55)</f>
        <v>0.979154075288174</v>
      </c>
      <c r="D56" s="1574">
        <f t="shared" si="55"/>
        <v>0.98096250802184481</v>
      </c>
      <c r="E56" s="1574">
        <f t="shared" si="55"/>
        <v>0.98443350483159686</v>
      </c>
      <c r="F56" s="1575">
        <f t="shared" si="55"/>
        <v>0.94314520249318701</v>
      </c>
      <c r="G56" s="1574">
        <f t="shared" si="55"/>
        <v>0.95096525258087428</v>
      </c>
      <c r="H56" s="1574">
        <f t="shared" si="55"/>
        <v>0.92542647281809964</v>
      </c>
      <c r="I56" s="1574">
        <f>I26/I$26</f>
        <v>1</v>
      </c>
      <c r="J56" s="1575">
        <f>J26/J$26</f>
        <v>1</v>
      </c>
      <c r="K56" s="1574">
        <f>SUM(K38:K55)</f>
        <v>0.92808363790207671</v>
      </c>
      <c r="L56" s="1574">
        <f>SUM(L38:L55)</f>
        <v>0.9287818800697677</v>
      </c>
      <c r="M56" s="1574">
        <f>M26/M$26</f>
        <v>1</v>
      </c>
      <c r="N56" s="1575">
        <f>N26/N$26</f>
        <v>1</v>
      </c>
      <c r="O56" s="1574">
        <f t="shared" ref="O56:AF56" si="56">SUM(O38:O55)</f>
        <v>0.99999999999999989</v>
      </c>
      <c r="P56" s="1574" t="e">
        <f t="shared" si="56"/>
        <v>#DIV/0!</v>
      </c>
      <c r="Q56" s="1574" t="e">
        <f t="shared" si="56"/>
        <v>#DIV/0!</v>
      </c>
      <c r="R56" s="1575" t="e">
        <f t="shared" si="56"/>
        <v>#DIV/0!</v>
      </c>
      <c r="S56" s="1574" t="e">
        <f t="shared" si="56"/>
        <v>#DIV/0!</v>
      </c>
      <c r="T56" s="1574" t="e">
        <f t="shared" si="56"/>
        <v>#DIV/0!</v>
      </c>
      <c r="U56" s="1574" t="e">
        <f t="shared" si="56"/>
        <v>#DIV/0!</v>
      </c>
      <c r="V56" s="1575" t="e">
        <f t="shared" si="56"/>
        <v>#DIV/0!</v>
      </c>
      <c r="W56" s="1574" t="e">
        <f t="shared" si="56"/>
        <v>#DIV/0!</v>
      </c>
      <c r="X56" s="1574" t="e">
        <f t="shared" si="56"/>
        <v>#DIV/0!</v>
      </c>
      <c r="Y56" s="1574" t="e">
        <f t="shared" si="56"/>
        <v>#DIV/0!</v>
      </c>
      <c r="Z56" s="1575" t="e">
        <f t="shared" si="56"/>
        <v>#DIV/0!</v>
      </c>
      <c r="AA56" s="1574" t="e">
        <f>SUM(AA38:AA55)</f>
        <v>#DIV/0!</v>
      </c>
      <c r="AB56" s="1574" t="e">
        <f t="shared" si="56"/>
        <v>#DIV/0!</v>
      </c>
      <c r="AC56" s="1574" t="e">
        <f t="shared" si="56"/>
        <v>#DIV/0!</v>
      </c>
      <c r="AD56" s="1575" t="e">
        <f t="shared" si="56"/>
        <v>#DIV/0!</v>
      </c>
      <c r="AE56" s="1574" t="e">
        <f t="shared" si="56"/>
        <v>#DIV/0!</v>
      </c>
      <c r="AF56" s="1934" t="e">
        <f t="shared" si="56"/>
        <v>#DIV/0!</v>
      </c>
      <c r="AG56" s="1575" t="e">
        <f t="shared" ref="AG56" si="57">SUM(AG38:AG55)</f>
        <v>#DIV/0!</v>
      </c>
    </row>
    <row r="57" spans="2:33">
      <c r="C57" s="41"/>
      <c r="D57" s="41"/>
      <c r="E57" s="41"/>
      <c r="F57" s="1562"/>
      <c r="G57" s="41"/>
      <c r="H57" s="41"/>
      <c r="I57" s="41"/>
      <c r="J57" s="41"/>
      <c r="K57" s="41"/>
      <c r="L57" s="41"/>
      <c r="M57" s="41"/>
      <c r="N57" s="1562"/>
      <c r="O57" s="41"/>
      <c r="P57" s="41"/>
      <c r="Q57" s="41"/>
      <c r="R57" s="1562"/>
      <c r="S57" s="41"/>
      <c r="T57" s="41"/>
      <c r="U57" s="41"/>
      <c r="W57" s="41"/>
      <c r="X57" s="41"/>
      <c r="Y57" s="41"/>
      <c r="AA57" s="41"/>
      <c r="AB57" s="41"/>
      <c r="AC57" s="41"/>
    </row>
    <row r="58" spans="2:33">
      <c r="C58" s="41"/>
      <c r="D58" s="41"/>
      <c r="E58" s="41"/>
      <c r="F58" s="1562"/>
      <c r="G58" s="41"/>
      <c r="H58" s="41"/>
      <c r="I58" s="41"/>
      <c r="J58" s="41"/>
      <c r="K58" s="41"/>
      <c r="L58" s="41"/>
      <c r="M58" s="41"/>
      <c r="N58" s="1562"/>
      <c r="O58" s="41"/>
      <c r="P58" s="41"/>
      <c r="Q58" s="41"/>
      <c r="R58" s="1562"/>
      <c r="S58" s="41"/>
      <c r="T58" s="41"/>
      <c r="U58" s="41"/>
      <c r="W58" s="41"/>
      <c r="X58" s="41"/>
      <c r="Y58" s="41"/>
      <c r="AA58" s="41"/>
      <c r="AB58" s="41"/>
      <c r="AC58" s="41"/>
    </row>
    <row r="59" spans="2:33">
      <c r="B59" s="1689" t="s">
        <v>133</v>
      </c>
      <c r="C59" s="1524" t="s">
        <v>96</v>
      </c>
      <c r="D59" s="1479" t="s">
        <v>97</v>
      </c>
      <c r="E59" s="1479" t="s">
        <v>98</v>
      </c>
      <c r="F59" s="1561" t="s">
        <v>99</v>
      </c>
      <c r="G59" s="1524" t="s">
        <v>100</v>
      </c>
      <c r="H59" s="1479" t="s">
        <v>101</v>
      </c>
      <c r="I59" s="1479" t="s">
        <v>102</v>
      </c>
      <c r="J59" s="1561" t="s">
        <v>103</v>
      </c>
      <c r="K59" s="1524" t="s">
        <v>100</v>
      </c>
      <c r="L59" s="1479" t="s">
        <v>105</v>
      </c>
      <c r="M59" s="1479" t="s">
        <v>106</v>
      </c>
      <c r="N59" s="1561" t="s">
        <v>107</v>
      </c>
      <c r="O59" s="1524" t="str">
        <f t="shared" ref="O59:AF59" si="58">O37</f>
        <v>1Q 19</v>
      </c>
      <c r="P59" s="1524" t="str">
        <f t="shared" si="58"/>
        <v>2Q 19</v>
      </c>
      <c r="Q59" s="1479" t="str">
        <f t="shared" si="58"/>
        <v>3Q 19</v>
      </c>
      <c r="R59" s="1936" t="str">
        <f t="shared" si="58"/>
        <v>4Q 19</v>
      </c>
      <c r="S59" s="1937" t="str">
        <f t="shared" si="58"/>
        <v>1Q 20</v>
      </c>
      <c r="T59" s="1524" t="str">
        <f t="shared" si="58"/>
        <v>2Q 20</v>
      </c>
      <c r="U59" s="1479" t="str">
        <f t="shared" si="58"/>
        <v>3Q 20</v>
      </c>
      <c r="V59" s="1561" t="str">
        <f t="shared" si="58"/>
        <v>4Q 20</v>
      </c>
      <c r="W59" s="1524" t="str">
        <f t="shared" si="58"/>
        <v>1Q 21</v>
      </c>
      <c r="X59" s="1524" t="str">
        <f t="shared" si="58"/>
        <v>2Q 21</v>
      </c>
      <c r="Y59" s="1479" t="str">
        <f t="shared" si="58"/>
        <v>3Q 21</v>
      </c>
      <c r="Z59" s="1561" t="str">
        <f t="shared" si="58"/>
        <v>4Q 21</v>
      </c>
      <c r="AA59" s="1524" t="str">
        <f t="shared" si="58"/>
        <v>1Q 22</v>
      </c>
      <c r="AB59" s="1524" t="str">
        <f t="shared" si="58"/>
        <v>2Q 22</v>
      </c>
      <c r="AC59" s="1479" t="str">
        <f t="shared" si="58"/>
        <v>3Q 22</v>
      </c>
      <c r="AD59" s="1561" t="str">
        <f t="shared" si="58"/>
        <v>4Q 22</v>
      </c>
      <c r="AE59" s="1635" t="str">
        <f t="shared" si="58"/>
        <v>1Q23</v>
      </c>
      <c r="AF59" s="1479" t="str">
        <f t="shared" si="58"/>
        <v>2Q23</v>
      </c>
      <c r="AG59" s="1846" t="str">
        <f t="shared" ref="AG59" si="59">AG37</f>
        <v>3Q23</v>
      </c>
    </row>
    <row r="60" spans="2:33">
      <c r="B60" s="341" t="str">
        <f t="shared" ref="B60:B65" si="60">B8</f>
        <v>Coherent (Networking solutions)</v>
      </c>
      <c r="C60" s="5">
        <v>0.12743171859279429</v>
      </c>
      <c r="D60" s="5">
        <v>0.12593445807128964</v>
      </c>
      <c r="E60" s="5">
        <v>0.12166744175335557</v>
      </c>
      <c r="F60" s="255">
        <f t="shared" ref="F60:M63" si="61">SUM(C8:F8)/SUM(C$26:F$26)</f>
        <v>5.5168843077294423E-2</v>
      </c>
      <c r="G60" s="5">
        <f t="shared" si="61"/>
        <v>5.6206836303716673E-2</v>
      </c>
      <c r="H60" s="5">
        <f t="shared" si="61"/>
        <v>5.6629084821312445E-2</v>
      </c>
      <c r="I60" s="5">
        <f t="shared" si="61"/>
        <v>5.8471561995352493E-2</v>
      </c>
      <c r="J60" s="255">
        <f t="shared" si="61"/>
        <v>5.9114084861159467E-2</v>
      </c>
      <c r="K60" s="5">
        <f t="shared" si="61"/>
        <v>5.9647858964534568E-2</v>
      </c>
      <c r="L60" s="5">
        <f t="shared" si="61"/>
        <v>6.0944422272952083E-2</v>
      </c>
      <c r="M60" s="5">
        <f t="shared" si="61"/>
        <v>6.185216620734571E-2</v>
      </c>
      <c r="N60" s="255">
        <f>SUM(K8:P8)/SUM(K$26:P$26)</f>
        <v>7.0440895943900031E-2</v>
      </c>
      <c r="O60" s="5">
        <f t="shared" ref="O60:O65" si="62">SUM(L8:O8)/SUM(L$26:O$26)</f>
        <v>7.2757276648584182E-2</v>
      </c>
      <c r="P60" s="5">
        <f t="shared" ref="P60:P71" si="63">SUM(M8:P8)/SUM(M$26:P$26)</f>
        <v>7.4531053452580043E-2</v>
      </c>
      <c r="Q60" s="5">
        <f t="shared" ref="Q60:Q71" si="64">SUM(N8:Q8)/SUM(N$26:Q$26)</f>
        <v>7.897823047214006E-2</v>
      </c>
      <c r="R60" s="5">
        <f t="shared" ref="R60:R71" si="65">SUM(O8:R8)/SUM(O$26:R$26)</f>
        <v>8.0844262122414523E-2</v>
      </c>
      <c r="S60" s="1691" t="e">
        <f t="shared" ref="S60:AG60" si="66">SUM(P8:S8)/SUM(P$26:S$26)</f>
        <v>#DIV/0!</v>
      </c>
      <c r="T60" s="5" t="e">
        <f t="shared" si="66"/>
        <v>#DIV/0!</v>
      </c>
      <c r="U60" s="5" t="e">
        <f t="shared" si="66"/>
        <v>#DIV/0!</v>
      </c>
      <c r="V60" s="255" t="e">
        <f t="shared" si="66"/>
        <v>#DIV/0!</v>
      </c>
      <c r="W60" s="5" t="e">
        <f t="shared" si="66"/>
        <v>#DIV/0!</v>
      </c>
      <c r="X60" s="5" t="e">
        <f t="shared" si="66"/>
        <v>#DIV/0!</v>
      </c>
      <c r="Y60" s="5" t="e">
        <f t="shared" si="66"/>
        <v>#DIV/0!</v>
      </c>
      <c r="Z60" s="255" t="e">
        <f t="shared" si="66"/>
        <v>#DIV/0!</v>
      </c>
      <c r="AA60" s="5" t="e">
        <f>SUM(X8:AA8)/SUM(X$26:AA$26)</f>
        <v>#DIV/0!</v>
      </c>
      <c r="AB60" s="5" t="e">
        <f t="shared" si="66"/>
        <v>#DIV/0!</v>
      </c>
      <c r="AC60" s="5" t="e">
        <f t="shared" si="66"/>
        <v>#DIV/0!</v>
      </c>
      <c r="AD60" s="255" t="e">
        <f t="shared" si="66"/>
        <v>#DIV/0!</v>
      </c>
      <c r="AE60" s="1562" t="e">
        <f t="shared" si="66"/>
        <v>#DIV/0!</v>
      </c>
      <c r="AF60" s="1562" t="e">
        <f t="shared" si="66"/>
        <v>#DIV/0!</v>
      </c>
      <c r="AG60" s="255" t="e">
        <f t="shared" si="66"/>
        <v>#DIV/0!</v>
      </c>
    </row>
    <row r="61" spans="2:33">
      <c r="B61" s="39" t="str">
        <f t="shared" si="60"/>
        <v>Acacia</v>
      </c>
      <c r="C61" s="5">
        <v>4.5000551208689475E-2</v>
      </c>
      <c r="D61" s="5">
        <v>5.0952130369365613E-2</v>
      </c>
      <c r="E61" s="5">
        <v>5.7268157326514808E-2</v>
      </c>
      <c r="F61" s="255">
        <f t="shared" si="61"/>
        <v>7.0059300767920302E-2</v>
      </c>
      <c r="G61" s="5">
        <f t="shared" si="61"/>
        <v>7.0547145065186542E-2</v>
      </c>
      <c r="H61" s="5">
        <f t="shared" si="61"/>
        <v>6.3720101693417727E-2</v>
      </c>
      <c r="I61" s="5">
        <f t="shared" si="61"/>
        <v>5.8724534470089622E-2</v>
      </c>
      <c r="J61" s="255">
        <f t="shared" si="61"/>
        <v>5.0793279634951824E-2</v>
      </c>
      <c r="K61" s="5">
        <f t="shared" si="61"/>
        <v>4.4924125076580682E-2</v>
      </c>
      <c r="L61" s="5">
        <f t="shared" si="61"/>
        <v>4.214808808269959E-2</v>
      </c>
      <c r="M61" s="5">
        <f t="shared" si="61"/>
        <v>3.985633280699534E-2</v>
      </c>
      <c r="N61" s="255">
        <f>SUM(K9:P9)/SUM(K$26:P$26)</f>
        <v>4.4078888268699351E-2</v>
      </c>
      <c r="O61" s="5">
        <f t="shared" si="62"/>
        <v>4.5546422333956414E-2</v>
      </c>
      <c r="P61" s="5">
        <f t="shared" si="63"/>
        <v>4.9627050462810511E-2</v>
      </c>
      <c r="Q61" s="5">
        <f t="shared" si="64"/>
        <v>5.1412358454436098E-2</v>
      </c>
      <c r="R61" s="5">
        <f t="shared" si="65"/>
        <v>5.1087747047879675E-2</v>
      </c>
      <c r="S61" s="1691" t="e">
        <f t="shared" ref="S61:Y65" si="67">SUM(P9:S9)/SUM(P$26:S$26)</f>
        <v>#DIV/0!</v>
      </c>
      <c r="T61" s="5" t="e">
        <f t="shared" si="67"/>
        <v>#DIV/0!</v>
      </c>
      <c r="U61" s="5" t="e">
        <f t="shared" si="67"/>
        <v>#DIV/0!</v>
      </c>
      <c r="V61" s="255" t="e">
        <f t="shared" si="67"/>
        <v>#DIV/0!</v>
      </c>
      <c r="W61" s="5" t="e">
        <f t="shared" si="67"/>
        <v>#DIV/0!</v>
      </c>
      <c r="X61" s="5" t="e">
        <f t="shared" si="67"/>
        <v>#DIV/0!</v>
      </c>
      <c r="Y61" s="5" t="e">
        <f t="shared" si="67"/>
        <v>#DIV/0!</v>
      </c>
      <c r="Z61" s="406"/>
      <c r="AA61" s="359"/>
      <c r="AB61" s="359"/>
      <c r="AC61" s="359"/>
      <c r="AD61" s="406"/>
      <c r="AE61" s="1548"/>
      <c r="AF61" s="1548"/>
      <c r="AG61" s="406"/>
    </row>
    <row r="62" spans="2:33">
      <c r="B62" s="39" t="str">
        <f t="shared" si="60"/>
        <v>Accelink</v>
      </c>
      <c r="C62" s="5">
        <v>8.7215445452557383E-2</v>
      </c>
      <c r="D62" s="5">
        <v>8.6580007127827721E-2</v>
      </c>
      <c r="E62" s="5">
        <v>8.5324000110728521E-2</v>
      </c>
      <c r="F62" s="255">
        <f t="shared" si="61"/>
        <v>8.9610412727852681E-2</v>
      </c>
      <c r="G62" s="5">
        <f t="shared" si="61"/>
        <v>8.9527633248075611E-2</v>
      </c>
      <c r="H62" s="5">
        <f t="shared" si="61"/>
        <v>8.8753480946626898E-2</v>
      </c>
      <c r="I62" s="5">
        <f t="shared" si="61"/>
        <v>8.6162323356315754E-2</v>
      </c>
      <c r="J62" s="255">
        <f t="shared" si="61"/>
        <v>8.8935912790182772E-2</v>
      </c>
      <c r="K62" s="5">
        <f t="shared" si="61"/>
        <v>8.8993741700981788E-2</v>
      </c>
      <c r="L62" s="5">
        <f t="shared" si="61"/>
        <v>9.0675136226821593E-2</v>
      </c>
      <c r="M62" s="5">
        <f t="shared" si="61"/>
        <v>9.2021514882472163E-2</v>
      </c>
      <c r="N62" s="255">
        <f>SUM(K10:P10)/SUM(K$26:P$26)</f>
        <v>9.1806309835740438E-2</v>
      </c>
      <c r="O62" s="5">
        <f t="shared" si="62"/>
        <v>9.0216196147144823E-2</v>
      </c>
      <c r="P62" s="5">
        <f t="shared" si="63"/>
        <v>8.7996761790222672E-2</v>
      </c>
      <c r="Q62" s="5">
        <f t="shared" si="64"/>
        <v>8.8301562179618973E-2</v>
      </c>
      <c r="R62" s="5">
        <f t="shared" si="65"/>
        <v>8.7742831727370491E-2</v>
      </c>
      <c r="S62" s="1691" t="e">
        <f t="shared" si="67"/>
        <v>#DIV/0!</v>
      </c>
      <c r="T62" s="5" t="e">
        <f t="shared" si="67"/>
        <v>#DIV/0!</v>
      </c>
      <c r="U62" s="5" t="e">
        <f t="shared" si="67"/>
        <v>#DIV/0!</v>
      </c>
      <c r="V62" s="255" t="e">
        <f t="shared" si="67"/>
        <v>#DIV/0!</v>
      </c>
      <c r="W62" s="5" t="e">
        <f t="shared" si="67"/>
        <v>#DIV/0!</v>
      </c>
      <c r="X62" s="5" t="e">
        <f t="shared" si="67"/>
        <v>#DIV/0!</v>
      </c>
      <c r="Y62" s="5" t="e">
        <f t="shared" si="67"/>
        <v>#DIV/0!</v>
      </c>
      <c r="Z62" s="255" t="e">
        <f t="shared" ref="Z62:AG65" si="68">SUM(W10:Z10)/SUM(W$26:Z$26)</f>
        <v>#DIV/0!</v>
      </c>
      <c r="AA62" s="5" t="e">
        <f t="shared" si="68"/>
        <v>#DIV/0!</v>
      </c>
      <c r="AB62" s="5" t="e">
        <f t="shared" si="68"/>
        <v>#DIV/0!</v>
      </c>
      <c r="AC62" s="5" t="e">
        <f t="shared" si="68"/>
        <v>#DIV/0!</v>
      </c>
      <c r="AD62" s="255" t="e">
        <f t="shared" si="68"/>
        <v>#DIV/0!</v>
      </c>
      <c r="AE62" s="1562" t="e">
        <f t="shared" si="68"/>
        <v>#DIV/0!</v>
      </c>
      <c r="AF62" s="1562" t="e">
        <f t="shared" si="68"/>
        <v>#DIV/0!</v>
      </c>
      <c r="AG62" s="255" t="e">
        <f t="shared" si="68"/>
        <v>#DIV/0!</v>
      </c>
    </row>
    <row r="63" spans="2:33">
      <c r="B63" s="39" t="str">
        <f t="shared" si="60"/>
        <v>Applied Optoelectronics</v>
      </c>
      <c r="C63" s="5">
        <v>3.421853633879595E-2</v>
      </c>
      <c r="D63" s="5">
        <v>3.2856134627329933E-2</v>
      </c>
      <c r="E63" s="5">
        <v>3.2389762189910985E-2</v>
      </c>
      <c r="F63" s="255">
        <f t="shared" si="61"/>
        <v>3.8225383301164678E-2</v>
      </c>
      <c r="G63" s="5">
        <f t="shared" si="61"/>
        <v>4.2561165746405359E-2</v>
      </c>
      <c r="H63" s="5">
        <f t="shared" si="61"/>
        <v>4.9890426699206465E-2</v>
      </c>
      <c r="I63" s="5">
        <f t="shared" si="61"/>
        <v>5.1644637270109851E-2</v>
      </c>
      <c r="J63" s="255">
        <f t="shared" si="61"/>
        <v>5.0415624629280724E-2</v>
      </c>
      <c r="K63" s="5">
        <f t="shared" si="61"/>
        <v>4.595684403825831E-2</v>
      </c>
      <c r="L63" s="5">
        <f t="shared" si="61"/>
        <v>4.1149827398879256E-2</v>
      </c>
      <c r="M63" s="5">
        <f t="shared" si="61"/>
        <v>3.6098027453548995E-2</v>
      </c>
      <c r="N63" s="255">
        <f>SUM(K11:P11)/SUM(K$26:P$26)</f>
        <v>3.1700383798850158E-2</v>
      </c>
      <c r="O63" s="5">
        <f t="shared" si="62"/>
        <v>3.1196288652829859E-2</v>
      </c>
      <c r="P63" s="5">
        <f t="shared" si="63"/>
        <v>2.6998724663328397E-2</v>
      </c>
      <c r="Q63" s="5">
        <f t="shared" si="64"/>
        <v>2.6806838441584536E-2</v>
      </c>
      <c r="R63" s="5">
        <f t="shared" si="65"/>
        <v>2.5597769698688114E-2</v>
      </c>
      <c r="S63" s="1691" t="e">
        <f t="shared" si="67"/>
        <v>#DIV/0!</v>
      </c>
      <c r="T63" s="5" t="e">
        <f t="shared" si="67"/>
        <v>#DIV/0!</v>
      </c>
      <c r="U63" s="5" t="e">
        <f t="shared" si="67"/>
        <v>#DIV/0!</v>
      </c>
      <c r="V63" s="255" t="e">
        <f t="shared" si="67"/>
        <v>#DIV/0!</v>
      </c>
      <c r="W63" s="5" t="e">
        <f t="shared" si="67"/>
        <v>#DIV/0!</v>
      </c>
      <c r="X63" s="5" t="e">
        <f t="shared" si="67"/>
        <v>#DIV/0!</v>
      </c>
      <c r="Y63" s="5" t="e">
        <f t="shared" si="67"/>
        <v>#DIV/0!</v>
      </c>
      <c r="Z63" s="255" t="e">
        <f t="shared" si="68"/>
        <v>#DIV/0!</v>
      </c>
      <c r="AA63" s="5" t="e">
        <f t="shared" si="68"/>
        <v>#DIV/0!</v>
      </c>
      <c r="AB63" s="5" t="e">
        <f t="shared" si="68"/>
        <v>#DIV/0!</v>
      </c>
      <c r="AC63" s="5" t="e">
        <f t="shared" si="68"/>
        <v>#DIV/0!</v>
      </c>
      <c r="AD63" s="255" t="e">
        <f t="shared" si="68"/>
        <v>#DIV/0!</v>
      </c>
      <c r="AE63" s="1562" t="e">
        <f t="shared" si="68"/>
        <v>#DIV/0!</v>
      </c>
      <c r="AF63" s="1562" t="e">
        <f t="shared" si="68"/>
        <v>#DIV/0!</v>
      </c>
      <c r="AG63" s="255" t="e">
        <f t="shared" si="68"/>
        <v>#DIV/0!</v>
      </c>
    </row>
    <row r="64" spans="2:33">
      <c r="B64" s="39" t="str">
        <f t="shared" si="60"/>
        <v>Broadex</v>
      </c>
      <c r="C64" s="5"/>
      <c r="D64" s="5"/>
      <c r="E64" s="5"/>
      <c r="F64" s="255"/>
      <c r="G64" s="5"/>
      <c r="H64" s="5"/>
      <c r="I64" s="5"/>
      <c r="J64" s="255"/>
      <c r="K64" s="5"/>
      <c r="L64" s="5"/>
      <c r="M64" s="5"/>
      <c r="N64" s="255"/>
      <c r="O64" s="5">
        <f t="shared" si="62"/>
        <v>5.2013819093067347E-3</v>
      </c>
      <c r="P64" s="5">
        <f t="shared" si="63"/>
        <v>5.7110105578985337E-3</v>
      </c>
      <c r="Q64" s="5">
        <f t="shared" si="64"/>
        <v>5.829988687110892E-3</v>
      </c>
      <c r="R64" s="5">
        <f t="shared" si="65"/>
        <v>6.0489721046530515E-3</v>
      </c>
      <c r="S64" s="1691" t="e">
        <f t="shared" si="67"/>
        <v>#DIV/0!</v>
      </c>
      <c r="T64" s="5" t="e">
        <f t="shared" si="67"/>
        <v>#DIV/0!</v>
      </c>
      <c r="U64" s="5" t="e">
        <f t="shared" si="67"/>
        <v>#DIV/0!</v>
      </c>
      <c r="V64" s="255" t="e">
        <f t="shared" si="67"/>
        <v>#DIV/0!</v>
      </c>
      <c r="W64" s="5" t="e">
        <f t="shared" si="67"/>
        <v>#DIV/0!</v>
      </c>
      <c r="X64" s="5" t="e">
        <f t="shared" si="67"/>
        <v>#DIV/0!</v>
      </c>
      <c r="Y64" s="5" t="e">
        <f t="shared" si="67"/>
        <v>#DIV/0!</v>
      </c>
      <c r="Z64" s="255" t="e">
        <f t="shared" si="68"/>
        <v>#DIV/0!</v>
      </c>
      <c r="AA64" s="5" t="e">
        <f t="shared" si="68"/>
        <v>#DIV/0!</v>
      </c>
      <c r="AB64" s="5" t="e">
        <f t="shared" si="68"/>
        <v>#DIV/0!</v>
      </c>
      <c r="AC64" s="5" t="e">
        <f t="shared" si="68"/>
        <v>#DIV/0!</v>
      </c>
      <c r="AD64" s="255" t="e">
        <f t="shared" si="68"/>
        <v>#DIV/0!</v>
      </c>
      <c r="AE64" s="1562" t="e">
        <f t="shared" si="68"/>
        <v>#DIV/0!</v>
      </c>
      <c r="AF64" s="1562" t="e">
        <f t="shared" si="68"/>
        <v>#DIV/0!</v>
      </c>
      <c r="AG64" s="255" t="e">
        <f t="shared" si="68"/>
        <v>#DIV/0!</v>
      </c>
    </row>
    <row r="65" spans="2:47">
      <c r="B65" s="39" t="str">
        <f t="shared" si="60"/>
        <v>CIG</v>
      </c>
      <c r="C65" s="5"/>
      <c r="D65" s="5"/>
      <c r="E65" s="5"/>
      <c r="F65" s="255"/>
      <c r="G65" s="5"/>
      <c r="H65" s="5"/>
      <c r="I65" s="5"/>
      <c r="J65" s="255"/>
      <c r="K65" s="5"/>
      <c r="L65" s="5"/>
      <c r="M65" s="5"/>
      <c r="N65" s="255"/>
      <c r="O65" s="5">
        <f t="shared" si="62"/>
        <v>5.7663861040428782E-2</v>
      </c>
      <c r="P65" s="5">
        <f t="shared" si="63"/>
        <v>5.7205366451942755E-2</v>
      </c>
      <c r="Q65" s="5">
        <f t="shared" si="64"/>
        <v>5.5613337981163635E-2</v>
      </c>
      <c r="R65" s="5">
        <f t="shared" si="65"/>
        <v>4.9665753807945558E-2</v>
      </c>
      <c r="S65" s="1691" t="e">
        <f t="shared" si="67"/>
        <v>#DIV/0!</v>
      </c>
      <c r="T65" s="5" t="e">
        <f t="shared" si="67"/>
        <v>#DIV/0!</v>
      </c>
      <c r="U65" s="5" t="e">
        <f t="shared" si="67"/>
        <v>#DIV/0!</v>
      </c>
      <c r="V65" s="255" t="e">
        <f t="shared" si="67"/>
        <v>#DIV/0!</v>
      </c>
      <c r="W65" s="5" t="e">
        <f t="shared" si="67"/>
        <v>#DIV/0!</v>
      </c>
      <c r="X65" s="5" t="e">
        <f t="shared" si="67"/>
        <v>#DIV/0!</v>
      </c>
      <c r="Y65" s="5" t="e">
        <f t="shared" si="67"/>
        <v>#DIV/0!</v>
      </c>
      <c r="Z65" s="255" t="e">
        <f t="shared" si="68"/>
        <v>#DIV/0!</v>
      </c>
      <c r="AA65" s="5" t="e">
        <f t="shared" si="68"/>
        <v>#DIV/0!</v>
      </c>
      <c r="AB65" s="5" t="e">
        <f t="shared" si="68"/>
        <v>#DIV/0!</v>
      </c>
      <c r="AC65" s="5" t="e">
        <f t="shared" si="68"/>
        <v>#DIV/0!</v>
      </c>
      <c r="AD65" s="255" t="e">
        <f t="shared" si="68"/>
        <v>#DIV/0!</v>
      </c>
      <c r="AE65" s="1562" t="e">
        <f t="shared" si="68"/>
        <v>#DIV/0!</v>
      </c>
      <c r="AF65" s="1562" t="e">
        <f t="shared" si="68"/>
        <v>#DIV/0!</v>
      </c>
      <c r="AG65" s="255" t="e">
        <f t="shared" si="68"/>
        <v>#DIV/0!</v>
      </c>
    </row>
    <row r="66" spans="2:47">
      <c r="B66" s="39" t="str">
        <f t="shared" ref="B66:B78" si="69">B14</f>
        <v>Eoptolink</v>
      </c>
      <c r="C66" s="5">
        <v>1.5648607468646991E-2</v>
      </c>
      <c r="D66" s="5">
        <v>1.5360719241439082E-2</v>
      </c>
      <c r="E66" s="5">
        <v>1.4436035612756908E-2</v>
      </c>
      <c r="F66" s="255">
        <f t="shared" ref="F66:M70" si="70">SUM(C14:F14)/SUM(C$26:F$26)</f>
        <v>1.5740521104392391E-2</v>
      </c>
      <c r="G66" s="5">
        <f t="shared" si="70"/>
        <v>1.5673441833424815E-2</v>
      </c>
      <c r="H66" s="5">
        <f t="shared" si="70"/>
        <v>1.6003861130665781E-2</v>
      </c>
      <c r="I66" s="5">
        <f t="shared" si="70"/>
        <v>1.6974209016950459E-2</v>
      </c>
      <c r="J66" s="255">
        <f t="shared" si="70"/>
        <v>1.7144429617401421E-2</v>
      </c>
      <c r="K66" s="5">
        <f t="shared" si="70"/>
        <v>1.7022369054281627E-2</v>
      </c>
      <c r="L66" s="5">
        <f t="shared" si="70"/>
        <v>1.5351237476699316E-2</v>
      </c>
      <c r="M66" s="5">
        <f t="shared" si="70"/>
        <v>1.4285207104347662E-2</v>
      </c>
      <c r="N66" s="255">
        <f>SUM(K14:P14)/SUM(K$26:P$26)</f>
        <v>1.4633893239172873E-2</v>
      </c>
      <c r="O66" s="5">
        <f t="shared" ref="O66:O71" si="71">SUM(L14:O14)/SUM(L$26:O$26)</f>
        <v>1.4657593317795949E-2</v>
      </c>
      <c r="P66" s="5">
        <f t="shared" si="63"/>
        <v>1.5348534606564547E-2</v>
      </c>
      <c r="Q66" s="5">
        <f t="shared" si="64"/>
        <v>1.5953101599931716E-2</v>
      </c>
      <c r="R66" s="5">
        <f t="shared" si="65"/>
        <v>1.6123375149246093E-2</v>
      </c>
      <c r="S66" s="1691" t="e">
        <f t="shared" ref="S66:AG71" si="72">SUM(P14:S14)/SUM(P$26:S$26)</f>
        <v>#DIV/0!</v>
      </c>
      <c r="T66" s="5" t="e">
        <f t="shared" si="72"/>
        <v>#DIV/0!</v>
      </c>
      <c r="U66" s="5" t="e">
        <f t="shared" si="72"/>
        <v>#DIV/0!</v>
      </c>
      <c r="V66" s="255" t="e">
        <f t="shared" si="72"/>
        <v>#DIV/0!</v>
      </c>
      <c r="W66" s="5" t="e">
        <f t="shared" si="72"/>
        <v>#DIV/0!</v>
      </c>
      <c r="X66" s="5" t="e">
        <f t="shared" si="72"/>
        <v>#DIV/0!</v>
      </c>
      <c r="Y66" s="5" t="e">
        <f t="shared" si="72"/>
        <v>#DIV/0!</v>
      </c>
      <c r="Z66" s="255" t="e">
        <f t="shared" si="72"/>
        <v>#DIV/0!</v>
      </c>
      <c r="AA66" s="5" t="e">
        <f t="shared" si="72"/>
        <v>#DIV/0!</v>
      </c>
      <c r="AB66" s="5" t="e">
        <f t="shared" si="72"/>
        <v>#DIV/0!</v>
      </c>
      <c r="AC66" s="5" t="e">
        <f t="shared" si="72"/>
        <v>#DIV/0!</v>
      </c>
      <c r="AD66" s="255" t="e">
        <f t="shared" si="72"/>
        <v>#DIV/0!</v>
      </c>
      <c r="AE66" s="1562" t="e">
        <f t="shared" si="72"/>
        <v>#DIV/0!</v>
      </c>
      <c r="AF66" s="1562" t="e">
        <f t="shared" si="72"/>
        <v>#DIV/0!</v>
      </c>
      <c r="AG66" s="255" t="e">
        <f t="shared" si="72"/>
        <v>#DIV/0!</v>
      </c>
    </row>
    <row r="67" spans="2:47">
      <c r="B67" s="39" t="str">
        <f t="shared" si="69"/>
        <v>Fabrinet</v>
      </c>
      <c r="C67" s="5">
        <v>0.20573011415587605</v>
      </c>
      <c r="D67" s="5">
        <v>0.19642761464491518</v>
      </c>
      <c r="E67" s="5">
        <v>0.18954041492414753</v>
      </c>
      <c r="F67" s="255">
        <f t="shared" si="70"/>
        <v>0.20676590576285664</v>
      </c>
      <c r="G67" s="5">
        <f t="shared" si="70"/>
        <v>0.20120451005973614</v>
      </c>
      <c r="H67" s="5">
        <f t="shared" si="70"/>
        <v>0.1962366255511529</v>
      </c>
      <c r="I67" s="5">
        <f t="shared" si="70"/>
        <v>0.18826750036111065</v>
      </c>
      <c r="J67" s="255">
        <f t="shared" si="70"/>
        <v>0.17985226262570944</v>
      </c>
      <c r="K67" s="5">
        <f t="shared" si="70"/>
        <v>0.17219499720128292</v>
      </c>
      <c r="L67" s="5">
        <f t="shared" si="70"/>
        <v>0.16523522914964317</v>
      </c>
      <c r="M67" s="5">
        <f t="shared" si="70"/>
        <v>0.16038706002700032</v>
      </c>
      <c r="N67" s="255">
        <f>SUM(K15:P15)/SUM(K$26:P$26)</f>
        <v>0.15750002029572074</v>
      </c>
      <c r="O67" s="5">
        <f t="shared" si="71"/>
        <v>0.15670142822381897</v>
      </c>
      <c r="P67" s="5">
        <f t="shared" si="63"/>
        <v>0.15560688018341096</v>
      </c>
      <c r="Q67" s="5">
        <f t="shared" si="64"/>
        <v>0.15439372439799703</v>
      </c>
      <c r="R67" s="5">
        <f t="shared" si="65"/>
        <v>0.15056212024161506</v>
      </c>
      <c r="S67" s="1691" t="e">
        <f t="shared" si="72"/>
        <v>#DIV/0!</v>
      </c>
      <c r="T67" s="5" t="e">
        <f t="shared" si="72"/>
        <v>#DIV/0!</v>
      </c>
      <c r="U67" s="5" t="e">
        <f t="shared" si="72"/>
        <v>#DIV/0!</v>
      </c>
      <c r="V67" s="255" t="e">
        <f t="shared" si="72"/>
        <v>#DIV/0!</v>
      </c>
      <c r="W67" s="5" t="e">
        <f t="shared" si="72"/>
        <v>#DIV/0!</v>
      </c>
      <c r="X67" s="5" t="e">
        <f t="shared" si="72"/>
        <v>#DIV/0!</v>
      </c>
      <c r="Y67" s="5" t="e">
        <f t="shared" si="72"/>
        <v>#DIV/0!</v>
      </c>
      <c r="Z67" s="255" t="e">
        <f t="shared" si="72"/>
        <v>#DIV/0!</v>
      </c>
      <c r="AA67" s="5" t="e">
        <f t="shared" si="72"/>
        <v>#DIV/0!</v>
      </c>
      <c r="AB67" s="5" t="e">
        <f t="shared" si="72"/>
        <v>#DIV/0!</v>
      </c>
      <c r="AC67" s="5" t="e">
        <f t="shared" si="72"/>
        <v>#DIV/0!</v>
      </c>
      <c r="AD67" s="255" t="e">
        <f t="shared" si="72"/>
        <v>#DIV/0!</v>
      </c>
      <c r="AE67" s="1562" t="e">
        <f t="shared" si="72"/>
        <v>#DIV/0!</v>
      </c>
      <c r="AF67" s="1562" t="e">
        <f t="shared" si="72"/>
        <v>#DIV/0!</v>
      </c>
      <c r="AG67" s="255" t="e">
        <f t="shared" si="72"/>
        <v>#DIV/0!</v>
      </c>
    </row>
    <row r="68" spans="2:47">
      <c r="B68" s="39" t="str">
        <f t="shared" si="69"/>
        <v>Hisense</v>
      </c>
      <c r="C68" s="5">
        <v>7.5776806597375124E-2</v>
      </c>
      <c r="D68" s="5">
        <v>8.3098107427218015E-2</v>
      </c>
      <c r="E68" s="5">
        <v>8.646531942044397E-2</v>
      </c>
      <c r="F68" s="255">
        <f t="shared" si="70"/>
        <v>0.10325064694582561</v>
      </c>
      <c r="G68" s="5">
        <f t="shared" si="70"/>
        <v>0.10534189062541148</v>
      </c>
      <c r="H68" s="5">
        <f t="shared" si="70"/>
        <v>9.6531931418513336E-2</v>
      </c>
      <c r="I68" s="5">
        <f t="shared" si="70"/>
        <v>9.4785016352180743E-2</v>
      </c>
      <c r="J68" s="255">
        <f t="shared" si="70"/>
        <v>8.5467166966087818E-2</v>
      </c>
      <c r="K68" s="5">
        <f t="shared" si="70"/>
        <v>7.7980721941934728E-2</v>
      </c>
      <c r="L68" s="5">
        <f t="shared" si="70"/>
        <v>7.7700301393463664E-2</v>
      </c>
      <c r="M68" s="5">
        <f t="shared" si="70"/>
        <v>7.4668191514840984E-2</v>
      </c>
      <c r="N68" s="255">
        <f>SUM(K16:P16)/SUM(K$26:P$26)</f>
        <v>7.1900653038725101E-2</v>
      </c>
      <c r="O68" s="5">
        <f t="shared" si="71"/>
        <v>7.1110034159583016E-2</v>
      </c>
      <c r="P68" s="5">
        <f t="shared" si="63"/>
        <v>7.0367925399915168E-2</v>
      </c>
      <c r="Q68" s="5">
        <f t="shared" si="64"/>
        <v>6.8458291434695298E-2</v>
      </c>
      <c r="R68" s="5">
        <f t="shared" si="65"/>
        <v>6.6884667311487095E-2</v>
      </c>
      <c r="S68" s="1691" t="e">
        <f t="shared" si="72"/>
        <v>#DIV/0!</v>
      </c>
      <c r="T68" s="5" t="e">
        <f t="shared" si="72"/>
        <v>#DIV/0!</v>
      </c>
      <c r="U68" s="5" t="e">
        <f t="shared" si="72"/>
        <v>#DIV/0!</v>
      </c>
      <c r="V68" s="255" t="e">
        <f t="shared" si="72"/>
        <v>#DIV/0!</v>
      </c>
      <c r="W68" s="5" t="e">
        <f t="shared" si="72"/>
        <v>#DIV/0!</v>
      </c>
      <c r="X68" s="5" t="e">
        <f t="shared" si="72"/>
        <v>#DIV/0!</v>
      </c>
      <c r="Y68" s="5" t="e">
        <f t="shared" si="72"/>
        <v>#DIV/0!</v>
      </c>
      <c r="Z68" s="255" t="e">
        <f t="shared" si="72"/>
        <v>#DIV/0!</v>
      </c>
      <c r="AA68" s="5" t="e">
        <f t="shared" si="72"/>
        <v>#DIV/0!</v>
      </c>
      <c r="AB68" s="5" t="e">
        <f t="shared" si="72"/>
        <v>#DIV/0!</v>
      </c>
      <c r="AC68" s="5" t="e">
        <f t="shared" si="72"/>
        <v>#DIV/0!</v>
      </c>
      <c r="AD68" s="255" t="e">
        <f t="shared" si="72"/>
        <v>#DIV/0!</v>
      </c>
      <c r="AE68" s="1562" t="e">
        <f t="shared" si="72"/>
        <v>#DIV/0!</v>
      </c>
      <c r="AF68" s="1562" t="e">
        <f t="shared" si="72"/>
        <v>#DIV/0!</v>
      </c>
      <c r="AG68" s="255" t="e">
        <f t="shared" si="72"/>
        <v>#DIV/0!</v>
      </c>
    </row>
    <row r="69" spans="2:47">
      <c r="B69" s="39" t="str">
        <f t="shared" si="69"/>
        <v>HGG (optical)</v>
      </c>
      <c r="C69" s="5">
        <v>2.7922100746110477E-2</v>
      </c>
      <c r="D69" s="5">
        <v>2.7422525767023941E-2</v>
      </c>
      <c r="E69" s="5">
        <v>2.6673918643494686E-2</v>
      </c>
      <c r="F69" s="255">
        <f t="shared" si="70"/>
        <v>2.8511719392536692E-2</v>
      </c>
      <c r="G69" s="5">
        <f t="shared" si="70"/>
        <v>2.7974942405542217E-2</v>
      </c>
      <c r="H69" s="5">
        <f t="shared" si="70"/>
        <v>2.8245356247749504E-2</v>
      </c>
      <c r="I69" s="5">
        <f t="shared" si="70"/>
        <v>3.06315446946035E-2</v>
      </c>
      <c r="J69" s="255">
        <f t="shared" si="70"/>
        <v>3.469733599131667E-2</v>
      </c>
      <c r="K69" s="5">
        <f t="shared" si="70"/>
        <v>3.651786621013494E-2</v>
      </c>
      <c r="L69" s="5">
        <f t="shared" si="70"/>
        <v>3.8242145350708648E-2</v>
      </c>
      <c r="M69" s="5">
        <f t="shared" si="70"/>
        <v>3.7939988956886793E-2</v>
      </c>
      <c r="N69" s="255">
        <f>SUM(K17:P17)/SUM(K$26:P$26)</f>
        <v>3.6542514555460585E-2</v>
      </c>
      <c r="O69" s="5">
        <f t="shared" si="71"/>
        <v>3.6592810290877492E-2</v>
      </c>
      <c r="P69" s="5">
        <f t="shared" si="63"/>
        <v>3.6352670771364649E-2</v>
      </c>
      <c r="Q69" s="5">
        <f t="shared" si="64"/>
        <v>3.5833164040088072E-2</v>
      </c>
      <c r="R69" s="5">
        <f t="shared" si="65"/>
        <v>3.4959680917800877E-2</v>
      </c>
      <c r="S69" s="1691" t="e">
        <f t="shared" si="72"/>
        <v>#DIV/0!</v>
      </c>
      <c r="T69" s="5" t="e">
        <f t="shared" si="72"/>
        <v>#DIV/0!</v>
      </c>
      <c r="U69" s="5" t="e">
        <f t="shared" si="72"/>
        <v>#DIV/0!</v>
      </c>
      <c r="V69" s="255" t="e">
        <f t="shared" si="72"/>
        <v>#DIV/0!</v>
      </c>
      <c r="W69" s="5" t="e">
        <f t="shared" si="72"/>
        <v>#DIV/0!</v>
      </c>
      <c r="X69" s="5" t="e">
        <f t="shared" si="72"/>
        <v>#DIV/0!</v>
      </c>
      <c r="Y69" s="5" t="e">
        <f t="shared" si="72"/>
        <v>#DIV/0!</v>
      </c>
      <c r="Z69" s="255" t="e">
        <f t="shared" si="72"/>
        <v>#DIV/0!</v>
      </c>
      <c r="AA69" s="5" t="e">
        <f t="shared" si="72"/>
        <v>#DIV/0!</v>
      </c>
      <c r="AB69" s="5" t="e">
        <f t="shared" si="72"/>
        <v>#DIV/0!</v>
      </c>
      <c r="AC69" s="5" t="e">
        <f t="shared" si="72"/>
        <v>#DIV/0!</v>
      </c>
      <c r="AD69" s="255" t="e">
        <f t="shared" si="72"/>
        <v>#DIV/0!</v>
      </c>
      <c r="AE69" s="1562" t="e">
        <f t="shared" si="72"/>
        <v>#DIV/0!</v>
      </c>
      <c r="AF69" s="1562" t="e">
        <f t="shared" si="72"/>
        <v>#DIV/0!</v>
      </c>
      <c r="AG69" s="255" t="e">
        <f t="shared" si="72"/>
        <v>#DIV/0!</v>
      </c>
    </row>
    <row r="70" spans="2:47">
      <c r="B70" s="39" t="str">
        <f t="shared" si="69"/>
        <v>Innolight</v>
      </c>
      <c r="C70" s="5">
        <v>3.1107760307996318E-2</v>
      </c>
      <c r="D70" s="5">
        <v>3.1820816205338075E-2</v>
      </c>
      <c r="E70" s="5">
        <v>3.5674038775601262E-2</v>
      </c>
      <c r="F70" s="255">
        <f t="shared" si="70"/>
        <v>4.345792234967534E-2</v>
      </c>
      <c r="G70" s="5">
        <f t="shared" si="70"/>
        <v>4.7128231477184028E-2</v>
      </c>
      <c r="H70" s="5">
        <f t="shared" si="70"/>
        <v>5.8523486703029003E-2</v>
      </c>
      <c r="I70" s="5">
        <f t="shared" si="70"/>
        <v>6.8707750646465032E-2</v>
      </c>
      <c r="J70" s="255">
        <f t="shared" si="70"/>
        <v>7.9908845473706525E-2</v>
      </c>
      <c r="K70" s="5">
        <f t="shared" si="70"/>
        <v>9.5239466224621844E-2</v>
      </c>
      <c r="L70" s="5">
        <f t="shared" si="70"/>
        <v>0.10216701502947073</v>
      </c>
      <c r="M70" s="5">
        <f t="shared" si="70"/>
        <v>0.1036150430877833</v>
      </c>
      <c r="N70" s="255">
        <f>SUM(K18:P18)/SUM(K$26:P$26)</f>
        <v>9.0523630187935106E-2</v>
      </c>
      <c r="O70" s="5">
        <f t="shared" si="71"/>
        <v>8.4934341643797609E-2</v>
      </c>
      <c r="P70" s="5">
        <f t="shared" si="63"/>
        <v>7.5983392470194006E-2</v>
      </c>
      <c r="Q70" s="5">
        <f t="shared" si="64"/>
        <v>6.4853306553762369E-2</v>
      </c>
      <c r="R70" s="5">
        <f t="shared" si="65"/>
        <v>6.3053913530087408E-2</v>
      </c>
      <c r="S70" s="1691" t="e">
        <f t="shared" si="72"/>
        <v>#DIV/0!</v>
      </c>
      <c r="T70" s="5" t="e">
        <f t="shared" si="72"/>
        <v>#DIV/0!</v>
      </c>
      <c r="U70" s="5" t="e">
        <f t="shared" si="72"/>
        <v>#DIV/0!</v>
      </c>
      <c r="V70" s="255" t="e">
        <f t="shared" si="72"/>
        <v>#DIV/0!</v>
      </c>
      <c r="W70" s="5" t="e">
        <f t="shared" si="72"/>
        <v>#DIV/0!</v>
      </c>
      <c r="X70" s="5" t="e">
        <f t="shared" si="72"/>
        <v>#DIV/0!</v>
      </c>
      <c r="Y70" s="5" t="e">
        <f t="shared" si="72"/>
        <v>#DIV/0!</v>
      </c>
      <c r="Z70" s="255" t="e">
        <f t="shared" si="72"/>
        <v>#DIV/0!</v>
      </c>
      <c r="AA70" s="5" t="e">
        <f t="shared" si="72"/>
        <v>#DIV/0!</v>
      </c>
      <c r="AB70" s="5" t="e">
        <f t="shared" si="72"/>
        <v>#DIV/0!</v>
      </c>
      <c r="AC70" s="5" t="e">
        <f t="shared" si="72"/>
        <v>#DIV/0!</v>
      </c>
      <c r="AD70" s="255" t="e">
        <f t="shared" si="72"/>
        <v>#DIV/0!</v>
      </c>
      <c r="AE70" s="1562" t="e">
        <f t="shared" si="72"/>
        <v>#DIV/0!</v>
      </c>
      <c r="AF70" s="1562" t="e">
        <f t="shared" si="72"/>
        <v>#DIV/0!</v>
      </c>
      <c r="AG70" s="255" t="e">
        <f t="shared" si="72"/>
        <v>#DIV/0!</v>
      </c>
    </row>
    <row r="71" spans="2:47">
      <c r="B71" s="39" t="str">
        <f t="shared" si="69"/>
        <v>LandMark</v>
      </c>
      <c r="C71" s="5"/>
      <c r="D71" s="5"/>
      <c r="E71" s="5"/>
      <c r="F71" s="255"/>
      <c r="G71" s="5"/>
      <c r="H71" s="5"/>
      <c r="I71" s="5"/>
      <c r="J71" s="255"/>
      <c r="K71" s="5"/>
      <c r="L71" s="5"/>
      <c r="M71" s="5"/>
      <c r="N71" s="255"/>
      <c r="O71" s="5">
        <f t="shared" si="71"/>
        <v>8.9357692958933407E-3</v>
      </c>
      <c r="P71" s="5">
        <f t="shared" si="63"/>
        <v>9.0712587518989498E-3</v>
      </c>
      <c r="Q71" s="5">
        <f t="shared" si="64"/>
        <v>8.8136985250904642E-3</v>
      </c>
      <c r="R71" s="5">
        <f t="shared" si="65"/>
        <v>7.0228062430436888E-3</v>
      </c>
      <c r="S71" s="1691" t="e">
        <f t="shared" si="72"/>
        <v>#DIV/0!</v>
      </c>
      <c r="T71" s="5" t="e">
        <f t="shared" si="72"/>
        <v>#DIV/0!</v>
      </c>
      <c r="U71" s="5" t="e">
        <f t="shared" si="72"/>
        <v>#DIV/0!</v>
      </c>
      <c r="V71" s="255" t="e">
        <f t="shared" si="72"/>
        <v>#DIV/0!</v>
      </c>
      <c r="W71" s="5" t="e">
        <f t="shared" si="72"/>
        <v>#DIV/0!</v>
      </c>
      <c r="X71" s="5" t="e">
        <f t="shared" si="72"/>
        <v>#DIV/0!</v>
      </c>
      <c r="Y71" s="5" t="e">
        <f t="shared" si="72"/>
        <v>#DIV/0!</v>
      </c>
      <c r="Z71" s="255" t="e">
        <f t="shared" si="72"/>
        <v>#DIV/0!</v>
      </c>
      <c r="AA71" s="5" t="e">
        <f t="shared" si="72"/>
        <v>#DIV/0!</v>
      </c>
      <c r="AB71" s="5" t="e">
        <f t="shared" si="72"/>
        <v>#DIV/0!</v>
      </c>
      <c r="AC71" s="5" t="e">
        <f t="shared" si="72"/>
        <v>#DIV/0!</v>
      </c>
      <c r="AD71" s="255" t="e">
        <f t="shared" si="72"/>
        <v>#DIV/0!</v>
      </c>
      <c r="AE71" s="1562" t="e">
        <f t="shared" si="72"/>
        <v>#DIV/0!</v>
      </c>
      <c r="AF71" s="1562" t="e">
        <f t="shared" si="72"/>
        <v>#DIV/0!</v>
      </c>
      <c r="AG71" s="255" t="e">
        <f t="shared" si="72"/>
        <v>#DIV/0!</v>
      </c>
    </row>
    <row r="72" spans="2:47">
      <c r="B72" s="39" t="str">
        <f t="shared" si="69"/>
        <v>Linktel Technologies</v>
      </c>
      <c r="C72" s="5"/>
      <c r="D72" s="5"/>
      <c r="E72" s="5"/>
      <c r="F72" s="255"/>
      <c r="G72" s="5"/>
      <c r="H72" s="5"/>
      <c r="I72" s="5"/>
      <c r="J72" s="255"/>
      <c r="K72" s="5"/>
      <c r="L72" s="5"/>
      <c r="M72" s="5"/>
      <c r="N72" s="255"/>
      <c r="O72" s="5"/>
      <c r="P72" s="5"/>
      <c r="Q72" s="5"/>
      <c r="R72" s="5"/>
      <c r="S72" s="1691"/>
      <c r="T72" s="5"/>
      <c r="U72" s="5"/>
      <c r="V72" s="255"/>
      <c r="W72" s="5"/>
      <c r="X72" s="5"/>
      <c r="Y72" s="5"/>
      <c r="Z72" s="255"/>
      <c r="AA72" s="5" t="e">
        <f t="shared" ref="AA72:AG73" si="73">SUM(X20:AA20)/SUM(X$26:AA$26)</f>
        <v>#DIV/0!</v>
      </c>
      <c r="AB72" s="5" t="e">
        <f t="shared" si="73"/>
        <v>#DIV/0!</v>
      </c>
      <c r="AC72" s="5" t="e">
        <f t="shared" si="73"/>
        <v>#DIV/0!</v>
      </c>
      <c r="AD72" s="255" t="e">
        <f t="shared" si="73"/>
        <v>#DIV/0!</v>
      </c>
      <c r="AE72" s="1562" t="e">
        <f t="shared" si="73"/>
        <v>#DIV/0!</v>
      </c>
      <c r="AF72" s="1562" t="e">
        <f t="shared" si="73"/>
        <v>#DIV/0!</v>
      </c>
      <c r="AG72" s="255" t="e">
        <f t="shared" si="73"/>
        <v>#DIV/0!</v>
      </c>
    </row>
    <row r="73" spans="2:47">
      <c r="B73" s="39" t="str">
        <f t="shared" si="69"/>
        <v>Lumentum (optical)</v>
      </c>
      <c r="C73" s="5">
        <v>0.12034305807109152</v>
      </c>
      <c r="D73" s="5">
        <v>0.11589476217944183</v>
      </c>
      <c r="E73" s="5">
        <v>0.11360482586277783</v>
      </c>
      <c r="F73" s="255">
        <f t="shared" ref="F73:M77" si="74">SUM(C21:F21)/SUM(C$26:F$26)</f>
        <v>0.1251265710283907</v>
      </c>
      <c r="G73" s="5">
        <f t="shared" si="74"/>
        <v>0.12113135430630569</v>
      </c>
      <c r="H73" s="5">
        <f t="shared" si="74"/>
        <v>0.11612683534922426</v>
      </c>
      <c r="I73" s="5">
        <f t="shared" si="74"/>
        <v>0.11299792628142204</v>
      </c>
      <c r="J73" s="255">
        <f t="shared" si="74"/>
        <v>0.12802557437363313</v>
      </c>
      <c r="K73" s="5">
        <f t="shared" si="74"/>
        <v>0.1309505956346394</v>
      </c>
      <c r="L73" s="5">
        <f t="shared" si="74"/>
        <v>0.13547184065374784</v>
      </c>
      <c r="M73" s="5">
        <f t="shared" si="74"/>
        <v>0.14494573412673792</v>
      </c>
      <c r="N73" s="255">
        <f>SUM(K21:P21)/SUM(K$26:P$26)</f>
        <v>0.14900235067790241</v>
      </c>
      <c r="O73" s="5">
        <f>SUM(L21:O21)/SUM(L$26:O$26)</f>
        <v>0.15399576317395033</v>
      </c>
      <c r="P73" s="5">
        <f t="shared" ref="P73:R73" si="75">SUM(M21:P21)/SUM(M$26:P$26)</f>
        <v>0.16373242915422637</v>
      </c>
      <c r="Q73" s="5">
        <f t="shared" si="75"/>
        <v>0.17028016398239149</v>
      </c>
      <c r="R73" s="5">
        <f t="shared" si="75"/>
        <v>0.18348976970606873</v>
      </c>
      <c r="S73" s="1691" t="e">
        <f t="shared" ref="S73:Z75" si="76">SUM(P21:S21)/SUM(P$26:S$26)</f>
        <v>#DIV/0!</v>
      </c>
      <c r="T73" s="5" t="e">
        <f t="shared" si="76"/>
        <v>#DIV/0!</v>
      </c>
      <c r="U73" s="5" t="e">
        <f t="shared" si="76"/>
        <v>#DIV/0!</v>
      </c>
      <c r="V73" s="255" t="e">
        <f t="shared" si="76"/>
        <v>#DIV/0!</v>
      </c>
      <c r="W73" s="5" t="e">
        <f t="shared" si="76"/>
        <v>#DIV/0!</v>
      </c>
      <c r="X73" s="5" t="e">
        <f t="shared" si="76"/>
        <v>#DIV/0!</v>
      </c>
      <c r="Y73" s="5" t="e">
        <f t="shared" si="76"/>
        <v>#DIV/0!</v>
      </c>
      <c r="Z73" s="255" t="e">
        <f t="shared" si="76"/>
        <v>#DIV/0!</v>
      </c>
      <c r="AA73" s="5" t="e">
        <f t="shared" si="73"/>
        <v>#DIV/0!</v>
      </c>
      <c r="AB73" s="5" t="e">
        <f t="shared" si="73"/>
        <v>#DIV/0!</v>
      </c>
      <c r="AC73" s="5" t="e">
        <f t="shared" si="73"/>
        <v>#DIV/0!</v>
      </c>
      <c r="AD73" s="255" t="e">
        <f t="shared" si="73"/>
        <v>#DIV/0!</v>
      </c>
      <c r="AE73" s="1562" t="e">
        <f t="shared" si="73"/>
        <v>#DIV/0!</v>
      </c>
      <c r="AF73" s="1562" t="e">
        <f t="shared" si="73"/>
        <v>#DIV/0!</v>
      </c>
      <c r="AG73" s="255" t="e">
        <f t="shared" si="73"/>
        <v>#DIV/0!</v>
      </c>
    </row>
    <row r="74" spans="2:47">
      <c r="B74" s="39" t="str">
        <f t="shared" si="69"/>
        <v>NeoPhotonics</v>
      </c>
      <c r="C74" s="5">
        <v>5.8176397811603595E-2</v>
      </c>
      <c r="D74" s="5">
        <v>5.6470529811291338E-2</v>
      </c>
      <c r="E74" s="5">
        <v>5.5294760102181949E-2</v>
      </c>
      <c r="F74" s="255">
        <f t="shared" si="74"/>
        <v>6.028412634880765E-2</v>
      </c>
      <c r="G74" s="5">
        <f t="shared" si="74"/>
        <v>5.3291687964921786E-2</v>
      </c>
      <c r="H74" s="5">
        <f t="shared" si="74"/>
        <v>4.8415499519870002E-2</v>
      </c>
      <c r="I74" s="5">
        <f t="shared" si="74"/>
        <v>4.3399973759946829E-2</v>
      </c>
      <c r="J74" s="255">
        <f t="shared" si="74"/>
        <v>3.8599005207770376E-2</v>
      </c>
      <c r="K74" s="5">
        <f t="shared" si="74"/>
        <v>3.7884369651683035E-2</v>
      </c>
      <c r="L74" s="5">
        <f t="shared" si="74"/>
        <v>3.8078561056716823E-2</v>
      </c>
      <c r="M74" s="5">
        <f t="shared" si="74"/>
        <v>3.8476640116474344E-2</v>
      </c>
      <c r="N74" s="255">
        <f>SUM(K22:P22)/SUM(K$26:P$26)</f>
        <v>3.9797274131015505E-2</v>
      </c>
      <c r="O74" s="5">
        <f>SUM(L22:O22)/SUM(L$26:O$26)</f>
        <v>4.0786419780600602E-2</v>
      </c>
      <c r="P74" s="5">
        <f t="shared" ref="P74:R74" si="77">SUM(M22:P22)/SUM(M$26:P$26)</f>
        <v>4.074181145658639E-2</v>
      </c>
      <c r="Q74" s="5">
        <f t="shared" si="77"/>
        <v>4.1272541494984147E-2</v>
      </c>
      <c r="R74" s="5">
        <f t="shared" si="77"/>
        <v>3.8536250496141448E-2</v>
      </c>
      <c r="S74" s="1691" t="e">
        <f t="shared" si="76"/>
        <v>#DIV/0!</v>
      </c>
      <c r="T74" s="5" t="e">
        <f t="shared" si="76"/>
        <v>#DIV/0!</v>
      </c>
      <c r="U74" s="5" t="e">
        <f t="shared" si="76"/>
        <v>#DIV/0!</v>
      </c>
      <c r="V74" s="255" t="e">
        <f t="shared" si="76"/>
        <v>#DIV/0!</v>
      </c>
      <c r="W74" s="5" t="e">
        <f t="shared" si="76"/>
        <v>#DIV/0!</v>
      </c>
      <c r="X74" s="5" t="e">
        <f t="shared" si="76"/>
        <v>#DIV/0!</v>
      </c>
      <c r="Y74" s="5" t="e">
        <f t="shared" si="76"/>
        <v>#DIV/0!</v>
      </c>
      <c r="Z74" s="255" t="e">
        <f t="shared" si="76"/>
        <v>#DIV/0!</v>
      </c>
      <c r="AA74" s="5" t="e">
        <f t="shared" ref="AA74:AD75" si="78">SUM(X22:AA22)/SUM(X$26:AA$26)</f>
        <v>#DIV/0!</v>
      </c>
      <c r="AB74" s="5" t="e">
        <f t="shared" si="78"/>
        <v>#DIV/0!</v>
      </c>
      <c r="AC74" s="5" t="e">
        <f t="shared" si="78"/>
        <v>#DIV/0!</v>
      </c>
      <c r="AD74" s="255" t="e">
        <f t="shared" si="78"/>
        <v>#DIV/0!</v>
      </c>
      <c r="AE74" s="1548"/>
      <c r="AF74" s="1548"/>
      <c r="AG74" s="406"/>
      <c r="AU74" s="26"/>
    </row>
    <row r="75" spans="2:47">
      <c r="B75" s="39" t="str">
        <f t="shared" si="69"/>
        <v>OE Solutions</v>
      </c>
      <c r="C75" s="5">
        <v>2.620659736490763E-2</v>
      </c>
      <c r="D75" s="5">
        <v>2.6696493087790086E-2</v>
      </c>
      <c r="E75" s="5">
        <v>2.6567483308935429E-2</v>
      </c>
      <c r="F75" s="255">
        <f t="shared" si="74"/>
        <v>1.0079273173916652E-2</v>
      </c>
      <c r="G75" s="5">
        <f t="shared" si="74"/>
        <v>1.0467560222846995E-2</v>
      </c>
      <c r="H75" s="5">
        <f t="shared" si="74"/>
        <v>1.0747367124838588E-2</v>
      </c>
      <c r="I75" s="5">
        <f t="shared" si="74"/>
        <v>1.0294424781506566E-2</v>
      </c>
      <c r="J75" s="255">
        <f t="shared" si="74"/>
        <v>8.9158886534970831E-3</v>
      </c>
      <c r="K75" s="5">
        <f t="shared" si="74"/>
        <v>8.3017569120735542E-3</v>
      </c>
      <c r="L75" s="5">
        <f t="shared" si="74"/>
        <v>8.1019372379255317E-3</v>
      </c>
      <c r="M75" s="5">
        <f t="shared" si="74"/>
        <v>8.3936410720332616E-3</v>
      </c>
      <c r="N75" s="255">
        <f>SUM(K23:P23)/SUM(K$26:P$26)</f>
        <v>1.1136694420739184E-2</v>
      </c>
      <c r="O75" s="5">
        <f>SUM(L23:O23)/SUM(L$26:O$26)</f>
        <v>1.179288268923395E-2</v>
      </c>
      <c r="P75" s="5">
        <f t="shared" ref="P75:R75" si="79">SUM(M23:P23)/SUM(M$26:P$26)</f>
        <v>1.2780876822193617E-2</v>
      </c>
      <c r="Q75" s="5">
        <f t="shared" si="79"/>
        <v>1.4632309323600379E-2</v>
      </c>
      <c r="R75" s="5">
        <f t="shared" si="79"/>
        <v>1.8725420821408042E-2</v>
      </c>
      <c r="S75" s="1691" t="e">
        <f t="shared" si="76"/>
        <v>#DIV/0!</v>
      </c>
      <c r="T75" s="5" t="e">
        <f t="shared" si="76"/>
        <v>#DIV/0!</v>
      </c>
      <c r="U75" s="5" t="e">
        <f t="shared" si="76"/>
        <v>#DIV/0!</v>
      </c>
      <c r="V75" s="255" t="e">
        <f t="shared" si="76"/>
        <v>#DIV/0!</v>
      </c>
      <c r="W75" s="5" t="e">
        <f t="shared" si="76"/>
        <v>#DIV/0!</v>
      </c>
      <c r="X75" s="5" t="e">
        <f t="shared" si="76"/>
        <v>#DIV/0!</v>
      </c>
      <c r="Y75" s="5" t="e">
        <f t="shared" si="76"/>
        <v>#DIV/0!</v>
      </c>
      <c r="Z75" s="255" t="e">
        <f t="shared" si="76"/>
        <v>#DIV/0!</v>
      </c>
      <c r="AA75" s="5" t="e">
        <f t="shared" si="78"/>
        <v>#DIV/0!</v>
      </c>
      <c r="AB75" s="5" t="e">
        <f t="shared" si="78"/>
        <v>#DIV/0!</v>
      </c>
      <c r="AC75" s="5" t="e">
        <f t="shared" si="78"/>
        <v>#DIV/0!</v>
      </c>
      <c r="AD75" s="255" t="e">
        <f t="shared" si="78"/>
        <v>#DIV/0!</v>
      </c>
      <c r="AE75" s="1562" t="e">
        <f>SUM(AB23:AE23)/SUM(AB$26:AE$26)</f>
        <v>#DIV/0!</v>
      </c>
      <c r="AF75" s="1562" t="e">
        <f>SUM(AC23:AF23)/SUM(AC$26:AF$26)</f>
        <v>#DIV/0!</v>
      </c>
      <c r="AG75" s="255" t="e">
        <f>SUM(AD23:AG23)/SUM(AD$26:AG$26)</f>
        <v>#DIV/0!</v>
      </c>
    </row>
    <row r="76" spans="2:47">
      <c r="B76" s="39" t="str">
        <f t="shared" si="69"/>
        <v>O-Net</v>
      </c>
      <c r="C76" s="5">
        <v>2.620659736490763E-2</v>
      </c>
      <c r="D76" s="5">
        <v>2.6696493087790086E-2</v>
      </c>
      <c r="E76" s="5">
        <v>2.6567483308935429E-2</v>
      </c>
      <c r="F76" s="255">
        <f t="shared" si="74"/>
        <v>3.017712703362168E-2</v>
      </c>
      <c r="G76" s="5">
        <f t="shared" si="74"/>
        <v>2.9552556422837471E-2</v>
      </c>
      <c r="H76" s="5">
        <f t="shared" si="74"/>
        <v>2.7859781752911671E-2</v>
      </c>
      <c r="I76" s="5">
        <f t="shared" si="74"/>
        <v>2.9640860822843638E-2</v>
      </c>
      <c r="J76" s="255">
        <f t="shared" si="74"/>
        <v>3.2143039098322675E-2</v>
      </c>
      <c r="K76" s="5">
        <f t="shared" si="74"/>
        <v>3.4781747616669613E-2</v>
      </c>
      <c r="L76" s="5">
        <f t="shared" si="74"/>
        <v>3.8605253446408749E-2</v>
      </c>
      <c r="M76" s="5">
        <f t="shared" si="74"/>
        <v>3.9531625119784378E-2</v>
      </c>
      <c r="N76" s="255">
        <f>SUM(K24:P24)/SUM(K$26:P$26)</f>
        <v>4.0652818188249895E-2</v>
      </c>
      <c r="O76" s="5">
        <f>SUM(L24:O24)/SUM(L$26:O$26)</f>
        <v>4.0798479749284113E-2</v>
      </c>
      <c r="P76" s="5">
        <f t="shared" ref="P76:R76" si="80">SUM(M24:P24)/SUM(M$26:P$26)</f>
        <v>4.1430316495299768E-2</v>
      </c>
      <c r="Q76" s="5">
        <f t="shared" si="80"/>
        <v>4.1889253705080988E-2</v>
      </c>
      <c r="R76" s="5">
        <f t="shared" si="80"/>
        <v>4.342313262838985E-2</v>
      </c>
      <c r="S76" s="1691" t="e">
        <f t="shared" ref="S76:Y77" si="81">SUM(P24:S24)/SUM(P$26:S$26)</f>
        <v>#DIV/0!</v>
      </c>
      <c r="T76" s="5" t="e">
        <f t="shared" si="81"/>
        <v>#DIV/0!</v>
      </c>
      <c r="U76" s="5" t="e">
        <f t="shared" si="81"/>
        <v>#DIV/0!</v>
      </c>
      <c r="V76" s="255" t="e">
        <f t="shared" si="81"/>
        <v>#DIV/0!</v>
      </c>
      <c r="W76" s="5" t="e">
        <f t="shared" si="81"/>
        <v>#DIV/0!</v>
      </c>
      <c r="X76" s="5" t="e">
        <f t="shared" si="81"/>
        <v>#DIV/0!</v>
      </c>
      <c r="Y76" s="5" t="e">
        <f t="shared" si="81"/>
        <v>#DIV/0!</v>
      </c>
      <c r="Z76" s="406"/>
      <c r="AA76" s="359"/>
      <c r="AB76" s="359"/>
      <c r="AC76" s="359"/>
      <c r="AD76" s="406"/>
      <c r="AE76" s="1548"/>
      <c r="AF76" s="1548"/>
      <c r="AG76" s="406"/>
    </row>
    <row r="77" spans="2:47">
      <c r="B77" s="39" t="str">
        <f t="shared" si="69"/>
        <v>Sumitomo (opitcal)</v>
      </c>
      <c r="C77" s="5">
        <v>7.887514775409811E-2</v>
      </c>
      <c r="D77" s="5">
        <v>8.1441188061492767E-2</v>
      </c>
      <c r="E77" s="5">
        <v>8.3941982825921066E-2</v>
      </c>
      <c r="F77" s="255">
        <f t="shared" si="74"/>
        <v>9.4115337711495037E-2</v>
      </c>
      <c r="G77" s="5">
        <f t="shared" si="74"/>
        <v>9.3117824503812022E-2</v>
      </c>
      <c r="H77" s="5">
        <f t="shared" si="74"/>
        <v>9.2891673867927238E-2</v>
      </c>
      <c r="I77" s="5">
        <f t="shared" si="74"/>
        <v>8.6972612768848323E-2</v>
      </c>
      <c r="J77" s="255">
        <f t="shared" si="74"/>
        <v>8.1735076240035537E-2</v>
      </c>
      <c r="K77" s="5">
        <f t="shared" si="74"/>
        <v>7.9705828512712892E-2</v>
      </c>
      <c r="L77" s="5">
        <f t="shared" si="74"/>
        <v>7.6977830043352929E-2</v>
      </c>
      <c r="M77" s="5">
        <f t="shared" si="74"/>
        <v>7.7239590427097465E-2</v>
      </c>
      <c r="N77" s="255">
        <f>SUM(K25:P25)/SUM(K$26:P$26)</f>
        <v>7.8460650617778058E-2</v>
      </c>
      <c r="O77" s="5">
        <f>SUM(L25:O25)/SUM(L$26:O$26)</f>
        <v>7.7113050942913847E-2</v>
      </c>
      <c r="P77" s="5">
        <f t="shared" ref="P77:R77" si="82">SUM(M25:P25)/SUM(M$26:P$26)</f>
        <v>7.6513936509562591E-2</v>
      </c>
      <c r="Q77" s="5">
        <f t="shared" si="82"/>
        <v>7.6678128726323597E-2</v>
      </c>
      <c r="R77" s="5">
        <f t="shared" si="82"/>
        <v>7.6231526445760242E-2</v>
      </c>
      <c r="S77" s="1938" t="e">
        <f t="shared" si="81"/>
        <v>#DIV/0!</v>
      </c>
      <c r="T77" s="5" t="e">
        <f t="shared" si="81"/>
        <v>#DIV/0!</v>
      </c>
      <c r="U77" s="5" t="e">
        <f t="shared" si="81"/>
        <v>#DIV/0!</v>
      </c>
      <c r="V77" s="255" t="e">
        <f t="shared" si="81"/>
        <v>#DIV/0!</v>
      </c>
      <c r="W77" s="5" t="e">
        <f t="shared" si="81"/>
        <v>#DIV/0!</v>
      </c>
      <c r="X77" s="5" t="e">
        <f t="shared" si="81"/>
        <v>#DIV/0!</v>
      </c>
      <c r="Y77" s="5" t="e">
        <f t="shared" si="81"/>
        <v>#DIV/0!</v>
      </c>
      <c r="Z77" s="255" t="e">
        <f t="shared" ref="Z77:AG77" si="83">SUM(W25:Z25)/SUM(W$26:Z$26)</f>
        <v>#DIV/0!</v>
      </c>
      <c r="AA77" s="5" t="e">
        <f t="shared" si="83"/>
        <v>#DIV/0!</v>
      </c>
      <c r="AB77" s="5" t="e">
        <f t="shared" si="83"/>
        <v>#DIV/0!</v>
      </c>
      <c r="AC77" s="5" t="e">
        <f t="shared" si="83"/>
        <v>#DIV/0!</v>
      </c>
      <c r="AD77" s="255" t="e">
        <f t="shared" si="83"/>
        <v>#DIV/0!</v>
      </c>
      <c r="AE77" s="1562" t="e">
        <f t="shared" si="83"/>
        <v>#DIV/0!</v>
      </c>
      <c r="AF77" s="1562" t="e">
        <f t="shared" si="83"/>
        <v>#DIV/0!</v>
      </c>
      <c r="AG77" s="255" t="e">
        <f t="shared" si="83"/>
        <v>#DIV/0!</v>
      </c>
    </row>
    <row r="78" spans="2:47">
      <c r="B78" s="1688" t="str">
        <f t="shared" si="69"/>
        <v>Total</v>
      </c>
      <c r="C78" s="1574">
        <v>0.99999999999999989</v>
      </c>
      <c r="D78" s="1574">
        <v>1</v>
      </c>
      <c r="E78" s="1574">
        <v>1</v>
      </c>
      <c r="F78" s="1575">
        <f t="shared" ref="F78:AG78" si="84">SUM(F60:F77)</f>
        <v>0.97057309072575049</v>
      </c>
      <c r="G78" s="1574">
        <f t="shared" si="84"/>
        <v>0.96372678018540681</v>
      </c>
      <c r="H78" s="1574">
        <f t="shared" si="84"/>
        <v>0.95057551282644592</v>
      </c>
      <c r="I78" s="1574">
        <f t="shared" si="84"/>
        <v>0.93767487657774562</v>
      </c>
      <c r="J78" s="1575">
        <f t="shared" si="84"/>
        <v>0.93574752616305557</v>
      </c>
      <c r="K78" s="1574">
        <f t="shared" si="84"/>
        <v>0.93010228874039003</v>
      </c>
      <c r="L78" s="1574">
        <f t="shared" si="84"/>
        <v>0.93084882481948983</v>
      </c>
      <c r="M78" s="1574">
        <f t="shared" si="84"/>
        <v>0.92931076290334858</v>
      </c>
      <c r="N78" s="1575">
        <f t="shared" si="84"/>
        <v>0.92817697719988956</v>
      </c>
      <c r="O78" s="1574">
        <f t="shared" si="84"/>
        <v>1</v>
      </c>
      <c r="P78" s="1574">
        <f t="shared" si="84"/>
        <v>1</v>
      </c>
      <c r="Q78" s="1574">
        <f t="shared" si="84"/>
        <v>0.99999999999999989</v>
      </c>
      <c r="R78" s="1575">
        <f t="shared" si="84"/>
        <v>0.99999999999999989</v>
      </c>
      <c r="S78" s="1574" t="e">
        <f t="shared" si="84"/>
        <v>#DIV/0!</v>
      </c>
      <c r="T78" s="1574" t="e">
        <f t="shared" si="84"/>
        <v>#DIV/0!</v>
      </c>
      <c r="U78" s="1574" t="e">
        <f t="shared" si="84"/>
        <v>#DIV/0!</v>
      </c>
      <c r="V78" s="1575" t="e">
        <f t="shared" si="84"/>
        <v>#DIV/0!</v>
      </c>
      <c r="W78" s="1574" t="e">
        <f t="shared" si="84"/>
        <v>#DIV/0!</v>
      </c>
      <c r="X78" s="1574" t="e">
        <f t="shared" si="84"/>
        <v>#DIV/0!</v>
      </c>
      <c r="Y78" s="1574" t="e">
        <f t="shared" si="84"/>
        <v>#DIV/0!</v>
      </c>
      <c r="Z78" s="1575" t="e">
        <f t="shared" si="84"/>
        <v>#DIV/0!</v>
      </c>
      <c r="AA78" s="1574" t="e">
        <f t="shared" si="84"/>
        <v>#DIV/0!</v>
      </c>
      <c r="AB78" s="1574" t="e">
        <f t="shared" si="84"/>
        <v>#DIV/0!</v>
      </c>
      <c r="AC78" s="1574" t="e">
        <f t="shared" si="84"/>
        <v>#DIV/0!</v>
      </c>
      <c r="AD78" s="1575" t="e">
        <f t="shared" si="84"/>
        <v>#DIV/0!</v>
      </c>
      <c r="AE78" s="1574" t="e">
        <f t="shared" si="84"/>
        <v>#DIV/0!</v>
      </c>
      <c r="AF78" s="1934" t="e">
        <f t="shared" si="84"/>
        <v>#DIV/0!</v>
      </c>
      <c r="AG78" s="1575" t="e">
        <f t="shared" si="84"/>
        <v>#DIV/0!</v>
      </c>
    </row>
    <row r="79" spans="2:47">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3" ht="15" customHeight="1"/>
    <row r="84" ht="18.75" customHeight="1"/>
    <row r="85" ht="18.75" customHeight="1"/>
    <row r="86" ht="18" customHeight="1"/>
  </sheetData>
  <sortState xmlns:xlrd2="http://schemas.microsoft.com/office/spreadsheetml/2017/richdata2" ref="AT57:AU74">
    <sortCondition descending="1" ref="AU53:AU67"/>
  </sortState>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A1:AQ99"/>
  <sheetViews>
    <sheetView showGridLines="0" zoomScale="90" zoomScaleNormal="90"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4.77734375" customWidth="1"/>
    <col min="3" max="10" width="8.77734375" hidden="1" customWidth="1" outlineLevel="1"/>
    <col min="11" max="11" width="8.77734375" hidden="1" customWidth="1" outlineLevel="1" collapsed="1"/>
    <col min="12" max="14" width="8.77734375" hidden="1" customWidth="1" outlineLevel="1"/>
    <col min="15" max="15" width="8.77734375" customWidth="1" collapsed="1"/>
    <col min="16"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3" width="9.77734375" customWidth="1"/>
    <col min="34" max="36" width="8.77734375" customWidth="1"/>
    <col min="37" max="37" width="18.77734375" customWidth="1"/>
    <col min="38" max="40" width="8.77734375" customWidth="1"/>
    <col min="42" max="42" width="10.44140625" customWidth="1"/>
  </cols>
  <sheetData>
    <row r="1" spans="2:39">
      <c r="F1" s="43"/>
      <c r="J1" s="5"/>
    </row>
    <row r="2" spans="2:39" ht="17.399999999999999">
      <c r="B2" s="32" t="str">
        <f>'Charts for slides'!B2</f>
        <v>Quarterly Market Update for the quarter ended September 30, 2023</v>
      </c>
    </row>
    <row r="3" spans="2:39">
      <c r="B3" s="969" t="str">
        <f>Introduction!$B$2</f>
        <v>December 2023 QMU - Sample template for illustrative purposes only</v>
      </c>
      <c r="W3" s="13"/>
    </row>
    <row r="4" spans="2:39" ht="13.8">
      <c r="B4" s="25" t="s">
        <v>258</v>
      </c>
      <c r="V4" s="13"/>
      <c r="X4" s="13"/>
    </row>
    <row r="5" spans="2:39">
      <c r="J5" s="43"/>
      <c r="V5" s="13"/>
      <c r="W5" s="13"/>
      <c r="AH5" s="1854" t="s">
        <v>609</v>
      </c>
      <c r="AI5" s="1521"/>
      <c r="AJ5" s="1522"/>
    </row>
    <row r="6" spans="2:39">
      <c r="B6" s="1476" t="s">
        <v>252</v>
      </c>
      <c r="R6" s="13"/>
      <c r="AH6" s="23" t="s">
        <v>270</v>
      </c>
      <c r="AI6" s="23" t="s">
        <v>347</v>
      </c>
      <c r="AJ6" s="23" t="s">
        <v>270</v>
      </c>
      <c r="AK6" s="31"/>
    </row>
    <row r="7" spans="2:39">
      <c r="B7" s="1523" t="s">
        <v>41</v>
      </c>
      <c r="C7" s="1478" t="s">
        <v>96</v>
      </c>
      <c r="D7" s="1479" t="s">
        <v>97</v>
      </c>
      <c r="E7" s="1479" t="s">
        <v>98</v>
      </c>
      <c r="F7" s="1480" t="s">
        <v>99</v>
      </c>
      <c r="G7" s="1478" t="s">
        <v>100</v>
      </c>
      <c r="H7" s="1479" t="s">
        <v>101</v>
      </c>
      <c r="I7" s="1479" t="s">
        <v>102</v>
      </c>
      <c r="J7" s="1480" t="s">
        <v>103</v>
      </c>
      <c r="K7" s="1524" t="s">
        <v>104</v>
      </c>
      <c r="L7" s="1525" t="s">
        <v>105</v>
      </c>
      <c r="M7" s="1525" t="s">
        <v>106</v>
      </c>
      <c r="N7" s="1480" t="s">
        <v>107</v>
      </c>
      <c r="O7" s="1524" t="s">
        <v>108</v>
      </c>
      <c r="P7" s="1525" t="s">
        <v>109</v>
      </c>
      <c r="Q7" s="1525" t="s">
        <v>110</v>
      </c>
      <c r="R7" s="1480" t="s">
        <v>111</v>
      </c>
      <c r="S7" s="1524" t="s">
        <v>112</v>
      </c>
      <c r="T7" s="1524" t="s">
        <v>113</v>
      </c>
      <c r="U7" s="1525" t="s">
        <v>114</v>
      </c>
      <c r="V7" s="1480" t="s">
        <v>115</v>
      </c>
      <c r="W7" s="1524" t="s">
        <v>463</v>
      </c>
      <c r="X7" s="1524" t="s">
        <v>464</v>
      </c>
      <c r="Y7" s="1525" t="s">
        <v>465</v>
      </c>
      <c r="Z7" s="1480" t="s">
        <v>466</v>
      </c>
      <c r="AA7" s="1524" t="s">
        <v>467</v>
      </c>
      <c r="AB7" s="1524" t="s">
        <v>468</v>
      </c>
      <c r="AC7" s="1525" t="s">
        <v>469</v>
      </c>
      <c r="AD7" s="1480" t="s">
        <v>470</v>
      </c>
      <c r="AE7" s="1479" t="s">
        <v>568</v>
      </c>
      <c r="AF7" s="1479" t="s">
        <v>594</v>
      </c>
      <c r="AG7" s="1479" t="s">
        <v>595</v>
      </c>
      <c r="AH7" s="23" t="s">
        <v>251</v>
      </c>
      <c r="AI7" s="23" t="s">
        <v>348</v>
      </c>
      <c r="AJ7" s="23" t="s">
        <v>279</v>
      </c>
      <c r="AK7" s="23"/>
      <c r="AL7" t="s">
        <v>497</v>
      </c>
    </row>
    <row r="8" spans="2:39" ht="17.25" customHeight="1">
      <c r="B8" s="1526" t="s">
        <v>439</v>
      </c>
      <c r="C8" s="1498"/>
      <c r="D8" s="1496"/>
      <c r="E8" s="1468"/>
      <c r="F8" s="1501"/>
      <c r="G8" s="1498"/>
      <c r="H8" s="1496"/>
      <c r="I8" s="1468"/>
      <c r="J8" s="1501"/>
      <c r="K8" s="1527">
        <v>1647</v>
      </c>
      <c r="L8" s="1528">
        <v>1756</v>
      </c>
      <c r="M8" s="1529">
        <v>1653</v>
      </c>
      <c r="N8" s="1501">
        <v>1418.9999999999995</v>
      </c>
      <c r="O8" s="1527">
        <v>1272</v>
      </c>
      <c r="P8" s="1528"/>
      <c r="Q8" s="1528"/>
      <c r="R8" s="1501"/>
      <c r="S8" s="1527"/>
      <c r="T8" s="1528"/>
      <c r="U8" s="1528"/>
      <c r="V8" s="1501"/>
      <c r="W8" s="1527"/>
      <c r="X8" s="1528"/>
      <c r="Y8" s="1528"/>
      <c r="Z8" s="1501"/>
      <c r="AA8" s="1527"/>
      <c r="AB8" s="1528"/>
      <c r="AC8" s="1528"/>
      <c r="AD8" s="1528"/>
      <c r="AE8" s="1496"/>
      <c r="AF8" s="1496"/>
      <c r="AG8" s="1496"/>
      <c r="AH8" s="1530" t="e">
        <f>AG8/AC8-1</f>
        <v>#DIV/0!</v>
      </c>
      <c r="AI8" s="1521">
        <f>AG8-AC8</f>
        <v>0</v>
      </c>
      <c r="AJ8" s="1522" t="e">
        <f>AG8/AF8-1</f>
        <v>#DIV/0!</v>
      </c>
      <c r="AL8" s="15"/>
    </row>
    <row r="9" spans="2:39" ht="17.25" customHeight="1">
      <c r="B9" s="1526" t="s">
        <v>260</v>
      </c>
      <c r="C9" s="1498">
        <v>778.77</v>
      </c>
      <c r="D9" s="1496">
        <v>869.59</v>
      </c>
      <c r="E9" s="1468">
        <v>1000</v>
      </c>
      <c r="F9" s="1501">
        <v>984</v>
      </c>
      <c r="G9" s="1498">
        <v>1147.982</v>
      </c>
      <c r="H9" s="1496">
        <v>1433.902</v>
      </c>
      <c r="I9" s="1468">
        <v>1541</v>
      </c>
      <c r="J9" s="1501">
        <v>1519</v>
      </c>
      <c r="K9" s="1527">
        <v>1513.0530000000001</v>
      </c>
      <c r="L9" s="1528">
        <v>1572.6790000000001</v>
      </c>
      <c r="M9" s="1529">
        <v>1596</v>
      </c>
      <c r="N9" s="1501">
        <v>1540</v>
      </c>
      <c r="O9" s="1527">
        <v>1530</v>
      </c>
      <c r="P9" s="1528"/>
      <c r="Q9" s="1528"/>
      <c r="R9" s="1501"/>
      <c r="S9" s="1527"/>
      <c r="T9" s="1528"/>
      <c r="U9" s="1528"/>
      <c r="V9" s="1501"/>
      <c r="W9" s="1527"/>
      <c r="X9" s="1528"/>
      <c r="Y9" s="1528"/>
      <c r="Z9" s="1501"/>
      <c r="AA9" s="1527"/>
      <c r="AB9" s="1528"/>
      <c r="AC9" s="1528"/>
      <c r="AD9" s="1528"/>
      <c r="AE9" s="1496"/>
      <c r="AF9" s="1496"/>
      <c r="AG9" s="1496"/>
      <c r="AH9" s="1530" t="e">
        <f>AG9/AC9-1</f>
        <v>#DIV/0!</v>
      </c>
      <c r="AI9" s="1521">
        <f>AG9-AC9</f>
        <v>0</v>
      </c>
      <c r="AJ9" s="1522" t="e">
        <f>AG9/AF9-1</f>
        <v>#DIV/0!</v>
      </c>
      <c r="AL9" s="15"/>
    </row>
    <row r="10" spans="2:39" ht="17.25" customHeight="1">
      <c r="B10" s="1526" t="s">
        <v>261</v>
      </c>
      <c r="C10" s="1498">
        <v>41.11</v>
      </c>
      <c r="D10" s="1496">
        <v>41.5</v>
      </c>
      <c r="E10" s="1468">
        <v>41.78</v>
      </c>
      <c r="F10" s="1531" t="s">
        <v>302</v>
      </c>
      <c r="G10" s="1532"/>
      <c r="H10" s="1533"/>
      <c r="I10" s="1534"/>
      <c r="J10" s="1531"/>
      <c r="K10" s="1535"/>
      <c r="L10" s="1536"/>
      <c r="M10" s="1537"/>
      <c r="N10" s="1531"/>
      <c r="O10" s="1535"/>
      <c r="P10" s="1536"/>
      <c r="Q10" s="1537"/>
      <c r="R10" s="1538"/>
      <c r="S10" s="1535"/>
      <c r="T10" s="1536"/>
      <c r="U10" s="1536"/>
      <c r="V10" s="1538"/>
      <c r="W10" s="1535"/>
      <c r="X10" s="1536"/>
      <c r="Y10" s="1536"/>
      <c r="Z10" s="1538"/>
      <c r="AA10" s="1535"/>
      <c r="AB10" s="1536"/>
      <c r="AC10" s="1536"/>
      <c r="AD10" s="1538"/>
      <c r="AE10" s="1533"/>
      <c r="AF10" s="1533"/>
      <c r="AG10" s="1533"/>
      <c r="AH10" s="1539"/>
      <c r="AI10" s="1540"/>
      <c r="AJ10" s="1541"/>
      <c r="AK10" s="1542" t="s">
        <v>573</v>
      </c>
      <c r="AL10" s="1543"/>
    </row>
    <row r="11" spans="2:39" ht="17.25" customHeight="1">
      <c r="B11" s="1526" t="s">
        <v>262</v>
      </c>
      <c r="C11" s="1498">
        <v>3540</v>
      </c>
      <c r="D11" s="1496">
        <v>3790</v>
      </c>
      <c r="E11" s="1468">
        <v>4136</v>
      </c>
      <c r="F11" s="1501">
        <v>4149</v>
      </c>
      <c r="G11" s="1498">
        <v>4190</v>
      </c>
      <c r="H11" s="1496">
        <v>4463</v>
      </c>
      <c r="I11" s="1468">
        <v>4844</v>
      </c>
      <c r="J11" s="1501">
        <v>5327</v>
      </c>
      <c r="K11" s="1527">
        <v>5014</v>
      </c>
      <c r="L11" s="1528">
        <v>5063</v>
      </c>
      <c r="M11" s="1529">
        <v>5450</v>
      </c>
      <c r="N11" s="1501">
        <v>5789</v>
      </c>
      <c r="O11" s="1527">
        <v>5517</v>
      </c>
      <c r="P11" s="1528"/>
      <c r="Q11" s="1528"/>
      <c r="R11" s="1501"/>
      <c r="S11" s="1527"/>
      <c r="T11" s="1528"/>
      <c r="U11" s="1528"/>
      <c r="V11" s="1501"/>
      <c r="W11" s="1527"/>
      <c r="X11" s="1528"/>
      <c r="Y11" s="1528"/>
      <c r="Z11" s="1501"/>
      <c r="AA11" s="1527"/>
      <c r="AB11" s="1528"/>
      <c r="AC11" s="1528"/>
      <c r="AD11" s="1501"/>
      <c r="AE11" s="1496"/>
      <c r="AF11" s="1496"/>
      <c r="AG11" s="1496"/>
      <c r="AH11" s="1530" t="e">
        <f>AG11/AC11-1</f>
        <v>#DIV/0!</v>
      </c>
      <c r="AI11" s="1521">
        <f>AG11-AC11</f>
        <v>0</v>
      </c>
      <c r="AJ11" s="1522" t="e">
        <f>AG11/AF11-1</f>
        <v>#DIV/0!</v>
      </c>
      <c r="AL11" s="15"/>
    </row>
    <row r="12" spans="2:39" ht="17.25" customHeight="1">
      <c r="B12" s="1526" t="s">
        <v>524</v>
      </c>
      <c r="C12" s="1535"/>
      <c r="D12" s="1536"/>
      <c r="E12" s="1537"/>
      <c r="F12" s="1538"/>
      <c r="G12" s="1535"/>
      <c r="H12" s="1536"/>
      <c r="I12" s="1537"/>
      <c r="J12" s="1538"/>
      <c r="K12" s="1535"/>
      <c r="L12" s="1536"/>
      <c r="M12" s="1537"/>
      <c r="N12" s="1538"/>
      <c r="O12" s="1535"/>
      <c r="P12" s="1536"/>
      <c r="Q12" s="1537"/>
      <c r="R12" s="1538"/>
      <c r="S12" s="1535"/>
      <c r="T12" s="1528"/>
      <c r="U12" s="1528"/>
      <c r="V12" s="1501"/>
      <c r="W12" s="1527"/>
      <c r="X12" s="1528"/>
      <c r="Y12" s="1528"/>
      <c r="Z12" s="1501"/>
      <c r="AA12" s="1527"/>
      <c r="AB12" s="1528"/>
      <c r="AC12" s="1528"/>
      <c r="AD12" s="1501"/>
      <c r="AE12" s="1496"/>
      <c r="AF12" s="1496"/>
      <c r="AG12" s="1496"/>
      <c r="AH12" s="1488" t="e">
        <f>AG12/AC12-1</f>
        <v>#DIV/0!</v>
      </c>
      <c r="AI12" s="1489">
        <f>AG12-AC12</f>
        <v>0</v>
      </c>
      <c r="AJ12" s="1544" t="e">
        <f>AG12/AF12-1</f>
        <v>#DIV/0!</v>
      </c>
      <c r="AL12" s="15"/>
    </row>
    <row r="13" spans="2:39" ht="17.25" customHeight="1">
      <c r="B13" s="1526" t="s">
        <v>275</v>
      </c>
      <c r="C13" s="1498">
        <v>11.36</v>
      </c>
      <c r="D13" s="1496">
        <v>15.37</v>
      </c>
      <c r="E13" s="1468">
        <v>15.8</v>
      </c>
      <c r="F13" s="1501">
        <v>16</v>
      </c>
      <c r="G13" s="1532" t="s">
        <v>340</v>
      </c>
      <c r="H13" s="1533"/>
      <c r="I13" s="1534"/>
      <c r="J13" s="1538"/>
      <c r="K13" s="1545"/>
      <c r="L13" s="1536"/>
      <c r="M13" s="1546"/>
      <c r="N13" s="1538"/>
      <c r="O13" s="1545"/>
      <c r="P13" s="1536"/>
      <c r="Q13" s="1537"/>
      <c r="R13" s="1538"/>
      <c r="S13" s="1547"/>
      <c r="T13" s="1536"/>
      <c r="U13" s="1537"/>
      <c r="V13" s="1538"/>
      <c r="W13" s="1547"/>
      <c r="X13" s="1536"/>
      <c r="Y13" s="1536"/>
      <c r="Z13" s="1538"/>
      <c r="AA13" s="1547"/>
      <c r="AB13" s="1536"/>
      <c r="AC13" s="1537"/>
      <c r="AD13" s="1538"/>
      <c r="AE13" s="1533"/>
      <c r="AF13" s="1533"/>
      <c r="AG13" s="1533"/>
      <c r="AH13" s="1539"/>
      <c r="AI13" s="1540"/>
      <c r="AJ13" s="1541"/>
      <c r="AK13" s="1847" t="s">
        <v>569</v>
      </c>
      <c r="AL13" s="1543"/>
    </row>
    <row r="14" spans="2:39" ht="17.25" customHeight="1">
      <c r="B14" s="1526" t="s">
        <v>306</v>
      </c>
      <c r="C14" s="1498">
        <v>189.4</v>
      </c>
      <c r="D14" s="1496">
        <v>192.1</v>
      </c>
      <c r="E14" s="1468">
        <v>184.1</v>
      </c>
      <c r="F14" s="1501">
        <v>176.4</v>
      </c>
      <c r="G14" s="1498">
        <v>175.7</v>
      </c>
      <c r="H14" s="1496">
        <v>196.7</v>
      </c>
      <c r="I14" s="1468">
        <v>204</v>
      </c>
      <c r="J14" s="1501">
        <v>217</v>
      </c>
      <c r="K14" s="1527">
        <v>224.6</v>
      </c>
      <c r="L14" s="1528">
        <v>228.51599999999999</v>
      </c>
      <c r="M14" s="1529">
        <v>235.5</v>
      </c>
      <c r="N14" s="1501">
        <v>240.6</v>
      </c>
      <c r="O14" s="1548"/>
      <c r="P14" s="1536"/>
      <c r="Q14" s="1537"/>
      <c r="R14" s="1538"/>
      <c r="S14" s="1535"/>
      <c r="T14" s="1536"/>
      <c r="U14" s="1537"/>
      <c r="V14" s="1538"/>
      <c r="W14" s="1535"/>
      <c r="X14" s="1536"/>
      <c r="Y14" s="1536"/>
      <c r="Z14" s="1538"/>
      <c r="AA14" s="1535"/>
      <c r="AB14" s="1536"/>
      <c r="AC14" s="1537"/>
      <c r="AD14" s="1538"/>
      <c r="AE14" s="1533"/>
      <c r="AF14" s="1533"/>
      <c r="AG14" s="1533"/>
      <c r="AH14" s="1539"/>
      <c r="AI14" s="1540"/>
      <c r="AJ14" s="1541"/>
      <c r="AK14" s="1549" t="s">
        <v>591</v>
      </c>
      <c r="AL14" s="1543"/>
    </row>
    <row r="15" spans="2:39" ht="17.25" customHeight="1">
      <c r="B15" s="1526" t="s">
        <v>263</v>
      </c>
      <c r="C15" s="1498">
        <v>66.53</v>
      </c>
      <c r="D15" s="1496">
        <v>60.52</v>
      </c>
      <c r="E15" s="1468">
        <v>70.75</v>
      </c>
      <c r="F15" s="1501">
        <v>81</v>
      </c>
      <c r="G15" s="1498">
        <v>93.58</v>
      </c>
      <c r="H15" s="1496">
        <v>84.42</v>
      </c>
      <c r="I15" s="1468">
        <v>84.510999999999996</v>
      </c>
      <c r="J15" s="1501">
        <v>86</v>
      </c>
      <c r="K15" s="1527">
        <v>60.136000000000003</v>
      </c>
      <c r="L15" s="1528">
        <v>69.813999999999993</v>
      </c>
      <c r="M15" s="1529">
        <v>78.010000000000005</v>
      </c>
      <c r="N15" s="1501">
        <v>86.5</v>
      </c>
      <c r="O15" s="1527">
        <v>82.2</v>
      </c>
      <c r="P15" s="1550"/>
      <c r="Q15" s="1528"/>
      <c r="R15" s="1501"/>
      <c r="S15" s="1527"/>
      <c r="T15" s="1550"/>
      <c r="U15" s="1528"/>
      <c r="V15" s="1501"/>
      <c r="W15" s="1535"/>
      <c r="X15" s="1551"/>
      <c r="Y15" s="1536"/>
      <c r="Z15" s="1538"/>
      <c r="AA15" s="1535"/>
      <c r="AB15" s="1551"/>
      <c r="AC15" s="1537"/>
      <c r="AD15" s="1538"/>
      <c r="AE15" s="1533"/>
      <c r="AF15" s="1533"/>
      <c r="AG15" s="1533"/>
      <c r="AH15" s="1539"/>
      <c r="AI15" s="1540"/>
      <c r="AJ15" s="1541"/>
      <c r="AK15" s="1542" t="s">
        <v>592</v>
      </c>
      <c r="AL15" s="1543"/>
    </row>
    <row r="16" spans="2:39" ht="17.25" customHeight="1">
      <c r="B16" s="1526" t="s">
        <v>274</v>
      </c>
      <c r="C16" s="1498">
        <v>3999</v>
      </c>
      <c r="D16" s="1496">
        <v>4027</v>
      </c>
      <c r="E16" s="1468">
        <v>4542</v>
      </c>
      <c r="F16" s="1501">
        <v>4543</v>
      </c>
      <c r="G16" s="1498">
        <v>4544</v>
      </c>
      <c r="H16" s="1496">
        <v>4372</v>
      </c>
      <c r="I16" s="1468">
        <v>4900</v>
      </c>
      <c r="J16" s="1501">
        <v>5582</v>
      </c>
      <c r="K16" s="1527">
        <v>5234</v>
      </c>
      <c r="L16" s="1528">
        <v>5549</v>
      </c>
      <c r="M16" s="1529">
        <v>6100</v>
      </c>
      <c r="N16" s="1501">
        <v>6100</v>
      </c>
      <c r="O16" s="1527">
        <v>4900</v>
      </c>
      <c r="P16" s="1528"/>
      <c r="Q16" s="1528"/>
      <c r="R16" s="1501"/>
      <c r="S16" s="1527"/>
      <c r="T16" s="1528"/>
      <c r="U16" s="1528"/>
      <c r="V16" s="1501"/>
      <c r="W16" s="1527"/>
      <c r="X16" s="1528"/>
      <c r="Y16" s="1528"/>
      <c r="Z16" s="1501"/>
      <c r="AA16" s="1527"/>
      <c r="AB16" s="1528"/>
      <c r="AC16" s="1529"/>
      <c r="AD16" s="1501"/>
      <c r="AE16" s="1496"/>
      <c r="AF16" s="1496"/>
      <c r="AG16" s="1496"/>
      <c r="AH16" s="1530" t="e">
        <f>AG16/AC16-1</f>
        <v>#DIV/0!</v>
      </c>
      <c r="AI16" s="1521">
        <f>AG16-AC16</f>
        <v>0</v>
      </c>
      <c r="AJ16" s="1522" t="e">
        <f>AG16/AF16-1</f>
        <v>#DIV/0!</v>
      </c>
      <c r="AK16" s="19"/>
      <c r="AL16" s="15"/>
      <c r="AM16" s="23"/>
    </row>
    <row r="17" spans="1:39" ht="17.25" customHeight="1">
      <c r="A17" s="13"/>
      <c r="B17" s="1526" t="s">
        <v>276</v>
      </c>
      <c r="C17" s="1498">
        <v>361.13</v>
      </c>
      <c r="D17" s="1496">
        <v>373.77</v>
      </c>
      <c r="E17" s="1468">
        <v>373.9</v>
      </c>
      <c r="F17" s="1501">
        <v>376</v>
      </c>
      <c r="G17" s="1532" t="s">
        <v>341</v>
      </c>
      <c r="H17" s="1533"/>
      <c r="I17" s="1534"/>
      <c r="J17" s="1538"/>
      <c r="K17" s="1545"/>
      <c r="L17" s="1551"/>
      <c r="M17" s="1552"/>
      <c r="N17" s="1538"/>
      <c r="O17" s="1545"/>
      <c r="P17" s="1551"/>
      <c r="Q17" s="1552"/>
      <c r="R17" s="1553"/>
      <c r="S17" s="1547"/>
      <c r="T17" s="1551"/>
      <c r="U17" s="1552"/>
      <c r="V17" s="1553"/>
      <c r="W17" s="1547"/>
      <c r="X17" s="1551"/>
      <c r="Y17" s="1536"/>
      <c r="Z17" s="1553"/>
      <c r="AA17" s="1547"/>
      <c r="AB17" s="1551"/>
      <c r="AC17" s="1552"/>
      <c r="AD17" s="1553"/>
      <c r="AE17" s="1535"/>
      <c r="AF17" s="1535"/>
      <c r="AG17" s="1535"/>
      <c r="AH17" s="1539"/>
      <c r="AI17" s="1540"/>
      <c r="AJ17" s="1541"/>
      <c r="AK17" s="1542" t="s">
        <v>570</v>
      </c>
      <c r="AL17" s="1543"/>
      <c r="AM17" s="23"/>
    </row>
    <row r="18" spans="1:39" ht="17.25" customHeight="1">
      <c r="B18" s="1526" t="s">
        <v>277</v>
      </c>
      <c r="C18" s="1498">
        <v>133.58000000000001</v>
      </c>
      <c r="D18" s="1496">
        <v>142.29</v>
      </c>
      <c r="E18" s="1468">
        <v>152.69999999999999</v>
      </c>
      <c r="F18" s="1501">
        <v>152</v>
      </c>
      <c r="G18" s="1498">
        <v>186.08</v>
      </c>
      <c r="H18" s="1496">
        <v>194.56</v>
      </c>
      <c r="I18" s="1468">
        <v>166.381</v>
      </c>
      <c r="J18" s="1501">
        <v>131</v>
      </c>
      <c r="K18" s="1527">
        <v>150.41399999999999</v>
      </c>
      <c r="L18" s="1550">
        <v>137.87200000000001</v>
      </c>
      <c r="M18" s="1529">
        <v>151.18799999999999</v>
      </c>
      <c r="N18" s="1501">
        <v>151</v>
      </c>
      <c r="O18" s="1527">
        <v>121.5</v>
      </c>
      <c r="P18" s="1550"/>
      <c r="Q18" s="1528"/>
      <c r="R18" s="1501"/>
      <c r="S18" s="1527"/>
      <c r="T18" s="1550"/>
      <c r="U18" s="1528"/>
      <c r="V18" s="1501"/>
      <c r="W18" s="1527"/>
      <c r="X18" s="1550"/>
      <c r="Y18" s="1528"/>
      <c r="Z18" s="1501"/>
      <c r="AA18" s="1527"/>
      <c r="AB18" s="1550"/>
      <c r="AC18" s="1529"/>
      <c r="AD18" s="1501"/>
      <c r="AE18" s="1496"/>
      <c r="AF18" s="1496"/>
      <c r="AG18" s="1496"/>
      <c r="AH18" s="1488" t="e">
        <f>AG18/AC18-1</f>
        <v>#DIV/0!</v>
      </c>
      <c r="AI18" s="1489">
        <f>AG18-AC18</f>
        <v>0</v>
      </c>
      <c r="AJ18" s="1544" t="e">
        <f>AG18/AF18-1</f>
        <v>#DIV/0!</v>
      </c>
      <c r="AK18" s="19"/>
      <c r="AL18" s="15"/>
      <c r="AM18" s="23"/>
    </row>
    <row r="19" spans="1:39" ht="17.25" customHeight="1">
      <c r="B19" s="1526" t="s">
        <v>265</v>
      </c>
      <c r="C19" s="1498">
        <v>519</v>
      </c>
      <c r="D19" s="1496">
        <v>601</v>
      </c>
      <c r="E19" s="1468">
        <v>626</v>
      </c>
      <c r="F19" s="1501">
        <v>571</v>
      </c>
      <c r="G19" s="1498">
        <v>579.17999999999995</v>
      </c>
      <c r="H19" s="1496">
        <v>604.75</v>
      </c>
      <c r="I19" s="1468">
        <v>616.30200000000002</v>
      </c>
      <c r="J19" s="1501">
        <v>615</v>
      </c>
      <c r="K19" s="1527">
        <v>604.63099999999997</v>
      </c>
      <c r="L19" s="1528">
        <v>665.31</v>
      </c>
      <c r="M19" s="1529">
        <v>851.05100000000004</v>
      </c>
      <c r="N19" s="1501">
        <v>745</v>
      </c>
      <c r="O19" s="1527">
        <v>662</v>
      </c>
      <c r="P19" s="1550"/>
      <c r="Q19" s="1528"/>
      <c r="R19" s="1501"/>
      <c r="S19" s="1527"/>
      <c r="T19" s="1550"/>
      <c r="U19" s="1528"/>
      <c r="V19" s="1501"/>
      <c r="W19" s="1527"/>
      <c r="X19" s="1550"/>
      <c r="Y19" s="1528"/>
      <c r="Z19" s="1501"/>
      <c r="AA19" s="1527"/>
      <c r="AB19" s="1550"/>
      <c r="AC19" s="1529"/>
      <c r="AD19" s="1501"/>
      <c r="AE19" s="1496"/>
      <c r="AF19" s="1496"/>
      <c r="AG19" s="1496"/>
      <c r="AH19" s="1488" t="e">
        <f>AG19/AC19-1</f>
        <v>#DIV/0!</v>
      </c>
      <c r="AI19" s="1489">
        <f>AG19-AC19</f>
        <v>0</v>
      </c>
      <c r="AJ19" s="1544" t="e">
        <f>AG19/AF19-1</f>
        <v>#DIV/0!</v>
      </c>
      <c r="AL19" s="15"/>
    </row>
    <row r="20" spans="1:39" ht="17.25" customHeight="1">
      <c r="B20" s="1526" t="s">
        <v>267</v>
      </c>
      <c r="C20" s="1498">
        <v>555.25</v>
      </c>
      <c r="D20" s="1496">
        <v>566.13</v>
      </c>
      <c r="E20" s="1468">
        <v>561.4</v>
      </c>
      <c r="F20" s="1501">
        <v>551</v>
      </c>
      <c r="G20" s="1498">
        <v>581.22</v>
      </c>
      <c r="H20" s="1496">
        <v>602</v>
      </c>
      <c r="I20" s="1468">
        <v>575.67600000000004</v>
      </c>
      <c r="J20" s="1501">
        <v>623</v>
      </c>
      <c r="K20" s="1527">
        <v>648.59900000000005</v>
      </c>
      <c r="L20" s="1528">
        <v>633.154</v>
      </c>
      <c r="M20" s="1529">
        <v>638</v>
      </c>
      <c r="N20" s="1501">
        <v>577</v>
      </c>
      <c r="O20" s="1527">
        <v>542</v>
      </c>
      <c r="P20" s="1550"/>
      <c r="Q20" s="1550"/>
      <c r="R20" s="1501"/>
      <c r="S20" s="1527"/>
      <c r="T20" s="1550"/>
      <c r="U20" s="1550"/>
      <c r="V20" s="1501"/>
      <c r="W20" s="1527"/>
      <c r="X20" s="1550"/>
      <c r="Y20" s="1536"/>
      <c r="Z20" s="1538"/>
      <c r="AA20" s="1535"/>
      <c r="AB20" s="1536"/>
      <c r="AC20" s="1536"/>
      <c r="AD20" s="1538"/>
      <c r="AE20" s="1533"/>
      <c r="AF20" s="1533"/>
      <c r="AG20" s="1533"/>
      <c r="AH20" s="1539"/>
      <c r="AI20" s="1540"/>
      <c r="AJ20" s="1541"/>
      <c r="AK20" s="692" t="s">
        <v>570</v>
      </c>
      <c r="AL20" s="1543"/>
    </row>
    <row r="21" spans="1:39" ht="17.25" customHeight="1">
      <c r="B21" s="1526" t="s">
        <v>478</v>
      </c>
      <c r="C21" s="1498"/>
      <c r="D21" s="1496"/>
      <c r="E21" s="1468"/>
      <c r="F21" s="1501"/>
      <c r="G21" s="1498"/>
      <c r="H21" s="1496"/>
      <c r="I21" s="1468"/>
      <c r="J21" s="1501"/>
      <c r="K21" s="1527">
        <v>110.85699999999997</v>
      </c>
      <c r="L21" s="1496">
        <v>101.533</v>
      </c>
      <c r="M21" s="1468">
        <v>85.01</v>
      </c>
      <c r="N21" s="1501">
        <v>87.6</v>
      </c>
      <c r="O21" s="1527">
        <v>84.6</v>
      </c>
      <c r="P21" s="1496"/>
      <c r="Q21" s="1496"/>
      <c r="R21" s="1501"/>
      <c r="S21" s="1527"/>
      <c r="T21" s="1496"/>
      <c r="U21" s="1496"/>
      <c r="V21" s="1501"/>
      <c r="W21" s="1527"/>
      <c r="X21" s="1496"/>
      <c r="Y21" s="1496"/>
      <c r="Z21" s="1501"/>
      <c r="AA21" s="1527"/>
      <c r="AB21" s="1496"/>
      <c r="AC21" s="1496"/>
      <c r="AD21" s="1501"/>
      <c r="AE21" s="1496"/>
      <c r="AF21" s="1496"/>
      <c r="AG21" s="1496"/>
      <c r="AH21" s="1488" t="e">
        <f>AG21/AC21-1</f>
        <v>#DIV/0!</v>
      </c>
      <c r="AI21" s="1489">
        <f>AG21-AC21</f>
        <v>0</v>
      </c>
      <c r="AJ21" s="1544" t="e">
        <f>AG21/AF21-1</f>
        <v>#DIV/0!</v>
      </c>
      <c r="AL21" s="15"/>
    </row>
    <row r="22" spans="1:39" ht="17.25" customHeight="1">
      <c r="B22" s="1526" t="s">
        <v>479</v>
      </c>
      <c r="C22" s="1498">
        <v>558</v>
      </c>
      <c r="D22" s="1496">
        <v>799.34210526315792</v>
      </c>
      <c r="E22" s="1468">
        <v>871.3</v>
      </c>
      <c r="F22" s="1501">
        <v>833.93256631511667</v>
      </c>
      <c r="G22" s="1498">
        <v>902.7027027027026</v>
      </c>
      <c r="H22" s="1496">
        <v>972</v>
      </c>
      <c r="I22" s="1468">
        <v>1012.2684511686548</v>
      </c>
      <c r="J22" s="1501">
        <v>994.04761904761904</v>
      </c>
      <c r="K22" s="1527">
        <v>1002</v>
      </c>
      <c r="L22" s="1496">
        <v>1213</v>
      </c>
      <c r="M22" s="1468">
        <v>1433</v>
      </c>
      <c r="N22" s="1501">
        <v>1375</v>
      </c>
      <c r="O22" s="1527">
        <v>1330</v>
      </c>
      <c r="P22" s="1496"/>
      <c r="Q22" s="1496"/>
      <c r="R22" s="1501"/>
      <c r="S22" s="1527"/>
      <c r="T22" s="1496"/>
      <c r="U22" s="1496"/>
      <c r="V22" s="1501"/>
      <c r="W22" s="1527"/>
      <c r="X22" s="1496"/>
      <c r="Y22" s="1496"/>
      <c r="Z22" s="1501"/>
      <c r="AA22" s="1527"/>
      <c r="AB22" s="1496"/>
      <c r="AC22" s="1496"/>
      <c r="AD22" s="1501"/>
      <c r="AE22" s="1496"/>
      <c r="AF22" s="1496"/>
      <c r="AG22" s="1496"/>
      <c r="AH22" s="1488" t="e">
        <f>AG22/AC22-1</f>
        <v>#DIV/0!</v>
      </c>
      <c r="AI22" s="1489">
        <f>AG22-AC22</f>
        <v>0</v>
      </c>
      <c r="AJ22" s="1544" t="e">
        <f>AG22/AF22-1</f>
        <v>#DIV/0!</v>
      </c>
      <c r="AL22" s="15"/>
    </row>
    <row r="23" spans="1:39" ht="17.25" customHeight="1">
      <c r="B23" s="1526" t="s">
        <v>266</v>
      </c>
      <c r="C23" s="1498">
        <v>444.3</v>
      </c>
      <c r="D23" s="1496">
        <v>431.4</v>
      </c>
      <c r="E23" s="1468">
        <v>450.1</v>
      </c>
      <c r="F23" s="1501">
        <v>436</v>
      </c>
      <c r="G23" s="1498">
        <v>442.9</v>
      </c>
      <c r="H23" s="1496">
        <v>458.1</v>
      </c>
      <c r="I23" s="1468">
        <v>475.3</v>
      </c>
      <c r="J23" s="1501">
        <v>469</v>
      </c>
      <c r="K23" s="1532" t="s">
        <v>571</v>
      </c>
      <c r="L23" s="1536"/>
      <c r="M23" s="1537"/>
      <c r="N23" s="1538"/>
      <c r="O23" s="1535"/>
      <c r="P23" s="1536"/>
      <c r="Q23" s="1537"/>
      <c r="R23" s="1538"/>
      <c r="S23" s="1535"/>
      <c r="T23" s="1536"/>
      <c r="U23" s="1536"/>
      <c r="V23" s="1538"/>
      <c r="W23" s="1535"/>
      <c r="X23" s="1536"/>
      <c r="Y23" s="1536"/>
      <c r="Z23" s="1538"/>
      <c r="AA23" s="1535"/>
      <c r="AB23" s="1536"/>
      <c r="AC23" s="1536"/>
      <c r="AD23" s="1538"/>
      <c r="AE23" s="1533"/>
      <c r="AF23" s="1533"/>
      <c r="AG23" s="1533"/>
      <c r="AH23" s="1539"/>
      <c r="AI23" s="1540"/>
      <c r="AJ23" s="1541"/>
      <c r="AK23" s="1542" t="s">
        <v>572</v>
      </c>
      <c r="AL23" s="1543"/>
    </row>
    <row r="24" spans="1:39" ht="17.25" customHeight="1">
      <c r="B24" s="1526" t="s">
        <v>440</v>
      </c>
      <c r="C24" s="1498"/>
      <c r="D24" s="1496"/>
      <c r="E24" s="1468"/>
      <c r="F24" s="1501"/>
      <c r="G24" s="1498"/>
      <c r="H24" s="1496"/>
      <c r="I24" s="1468"/>
      <c r="J24" s="1501"/>
      <c r="K24" s="1527">
        <v>3207</v>
      </c>
      <c r="L24" s="1528">
        <v>3123</v>
      </c>
      <c r="M24" s="1529">
        <v>3181</v>
      </c>
      <c r="N24" s="1501">
        <v>2205</v>
      </c>
      <c r="O24" s="1527">
        <v>2220</v>
      </c>
      <c r="P24" s="1550"/>
      <c r="Q24" s="1550"/>
      <c r="R24" s="1501"/>
      <c r="S24" s="1527"/>
      <c r="T24" s="1550"/>
      <c r="U24" s="1550"/>
      <c r="V24" s="1501"/>
      <c r="W24" s="1527"/>
      <c r="X24" s="1550"/>
      <c r="Y24" s="1550"/>
      <c r="Z24" s="1501"/>
      <c r="AA24" s="1527"/>
      <c r="AB24" s="1550"/>
      <c r="AC24" s="1550"/>
      <c r="AD24" s="1501"/>
      <c r="AE24" s="1496"/>
      <c r="AF24" s="1496"/>
      <c r="AG24" s="1496"/>
      <c r="AH24" s="1530" t="e">
        <f>AG24/AC24-1</f>
        <v>#DIV/0!</v>
      </c>
      <c r="AI24" s="1521">
        <f>AG24-AC24</f>
        <v>0</v>
      </c>
      <c r="AJ24" s="1522" t="e">
        <f>AG24/AF24-1</f>
        <v>#DIV/0!</v>
      </c>
      <c r="AK24" s="19"/>
      <c r="AL24" s="15"/>
    </row>
    <row r="25" spans="1:39" ht="17.25" customHeight="1">
      <c r="A25" s="13"/>
      <c r="B25" s="1526" t="s">
        <v>268</v>
      </c>
      <c r="C25" s="1498">
        <v>131.06</v>
      </c>
      <c r="D25" s="1496">
        <v>135.91</v>
      </c>
      <c r="E25" s="1468">
        <v>137.19</v>
      </c>
      <c r="F25" s="1501">
        <v>140</v>
      </c>
      <c r="G25" s="1498">
        <v>143.80199999999999</v>
      </c>
      <c r="H25" s="1496">
        <v>153.13</v>
      </c>
      <c r="I25" s="1468">
        <v>150.304</v>
      </c>
      <c r="J25" s="1501">
        <v>140.6</v>
      </c>
      <c r="K25" s="1527">
        <v>130.429</v>
      </c>
      <c r="L25" s="1528">
        <v>163.21100000000001</v>
      </c>
      <c r="M25" s="1529">
        <v>173.55</v>
      </c>
      <c r="N25" s="1501">
        <v>160</v>
      </c>
      <c r="O25" s="1527">
        <v>131.4</v>
      </c>
      <c r="P25" s="1550"/>
      <c r="Q25" s="1550"/>
      <c r="R25" s="1501"/>
      <c r="S25" s="1527"/>
      <c r="T25" s="1550"/>
      <c r="U25" s="1550"/>
      <c r="V25" s="1501"/>
      <c r="W25" s="1527"/>
      <c r="X25" s="1550"/>
      <c r="Y25" s="1550"/>
      <c r="Z25" s="1501"/>
      <c r="AA25" s="1527"/>
      <c r="AB25" s="1550"/>
      <c r="AC25" s="1550"/>
      <c r="AD25" s="1660"/>
      <c r="AE25" s="1694"/>
      <c r="AF25" s="1694"/>
      <c r="AG25" s="1694"/>
      <c r="AH25" s="1488" t="e">
        <f>AG25/AC25-1</f>
        <v>#DIV/0!</v>
      </c>
      <c r="AI25" s="1489">
        <f>AG25-AC25</f>
        <v>0</v>
      </c>
      <c r="AJ25" s="1544" t="e">
        <f>AG25/AF25-1</f>
        <v>#DIV/0!</v>
      </c>
      <c r="AK25" s="1512"/>
      <c r="AL25" s="15"/>
    </row>
    <row r="26" spans="1:39" ht="17.25" customHeight="1">
      <c r="B26" s="1526" t="s">
        <v>269</v>
      </c>
      <c r="C26" s="1498">
        <v>571.07000000000005</v>
      </c>
      <c r="D26" s="1496">
        <v>574.98</v>
      </c>
      <c r="E26" s="1468">
        <v>579.21</v>
      </c>
      <c r="F26" s="1501">
        <v>586</v>
      </c>
      <c r="G26" s="1498">
        <v>609.45000000000005</v>
      </c>
      <c r="H26" s="1496">
        <v>615.45000000000005</v>
      </c>
      <c r="I26" s="1468">
        <v>619.50300000000004</v>
      </c>
      <c r="J26" s="1501">
        <v>631</v>
      </c>
      <c r="K26" s="1527">
        <v>672.86199999999997</v>
      </c>
      <c r="L26" s="1550">
        <v>684.37</v>
      </c>
      <c r="M26" s="1554">
        <v>746.25199999999995</v>
      </c>
      <c r="N26" s="1501">
        <v>800</v>
      </c>
      <c r="O26" s="1527">
        <v>828</v>
      </c>
      <c r="P26" s="1550"/>
      <c r="Q26" s="1554"/>
      <c r="R26" s="1501"/>
      <c r="S26" s="1527"/>
      <c r="T26" s="1550"/>
      <c r="U26" s="1550"/>
      <c r="V26" s="1501"/>
      <c r="W26" s="1527"/>
      <c r="X26" s="1550"/>
      <c r="Y26" s="1550"/>
      <c r="Z26" s="1538"/>
      <c r="AA26" s="1535"/>
      <c r="AB26" s="1536"/>
      <c r="AC26" s="1536"/>
      <c r="AD26" s="1538"/>
      <c r="AE26" s="1533"/>
      <c r="AF26" s="1533"/>
      <c r="AG26" s="1533"/>
      <c r="AH26" s="1693"/>
      <c r="AI26" s="1570"/>
      <c r="AJ26" s="1571"/>
      <c r="AK26" s="1572" t="s">
        <v>590</v>
      </c>
      <c r="AL26" s="1573"/>
    </row>
    <row r="27" spans="1:39" ht="17.25" customHeight="1">
      <c r="B27" s="1505" t="s">
        <v>14</v>
      </c>
      <c r="C27" s="1506">
        <f t="shared" ref="C27:AE27" si="0">SUM(C8:C26)</f>
        <v>11899.559999999996</v>
      </c>
      <c r="D27" s="1555">
        <f t="shared" si="0"/>
        <v>12620.90210526316</v>
      </c>
      <c r="E27" s="1555">
        <f t="shared" si="0"/>
        <v>13742.23</v>
      </c>
      <c r="F27" s="1556">
        <f t="shared" si="0"/>
        <v>13595.332566315115</v>
      </c>
      <c r="G27" s="1506">
        <f t="shared" si="0"/>
        <v>13596.596702702702</v>
      </c>
      <c r="H27" s="1555">
        <f t="shared" si="0"/>
        <v>14150.012000000001</v>
      </c>
      <c r="I27" s="1555">
        <f t="shared" si="0"/>
        <v>15189.245451168654</v>
      </c>
      <c r="J27" s="1556">
        <f t="shared" si="0"/>
        <v>16334.647619047619</v>
      </c>
      <c r="K27" s="1555">
        <f t="shared" si="0"/>
        <v>20219.581000000002</v>
      </c>
      <c r="L27" s="1555">
        <f t="shared" si="0"/>
        <v>20960.458999999995</v>
      </c>
      <c r="M27" s="1555">
        <f t="shared" si="0"/>
        <v>22371.560999999998</v>
      </c>
      <c r="N27" s="1556">
        <f t="shared" si="0"/>
        <v>21275.699999999997</v>
      </c>
      <c r="O27" s="1555">
        <f t="shared" si="0"/>
        <v>19220.700000000004</v>
      </c>
      <c r="P27" s="1555">
        <f t="shared" si="0"/>
        <v>0</v>
      </c>
      <c r="Q27" s="1555">
        <f t="shared" si="0"/>
        <v>0</v>
      </c>
      <c r="R27" s="1556">
        <f t="shared" si="0"/>
        <v>0</v>
      </c>
      <c r="S27" s="1555">
        <f t="shared" si="0"/>
        <v>0</v>
      </c>
      <c r="T27" s="1555">
        <f t="shared" si="0"/>
        <v>0</v>
      </c>
      <c r="U27" s="1555">
        <f t="shared" si="0"/>
        <v>0</v>
      </c>
      <c r="V27" s="1556">
        <f t="shared" si="0"/>
        <v>0</v>
      </c>
      <c r="W27" s="1555">
        <f t="shared" si="0"/>
        <v>0</v>
      </c>
      <c r="X27" s="1555">
        <f t="shared" si="0"/>
        <v>0</v>
      </c>
      <c r="Y27" s="1555">
        <f t="shared" si="0"/>
        <v>0</v>
      </c>
      <c r="Z27" s="1556">
        <f t="shared" si="0"/>
        <v>0</v>
      </c>
      <c r="AA27" s="1555">
        <f t="shared" si="0"/>
        <v>0</v>
      </c>
      <c r="AB27" s="1555">
        <f t="shared" si="0"/>
        <v>0</v>
      </c>
      <c r="AC27" s="1555">
        <f t="shared" si="0"/>
        <v>0</v>
      </c>
      <c r="AD27" s="1556">
        <f t="shared" si="0"/>
        <v>0</v>
      </c>
      <c r="AE27" s="1555">
        <f t="shared" si="0"/>
        <v>0</v>
      </c>
      <c r="AF27" s="1555">
        <f t="shared" ref="AF27:AG27" si="1">SUM(AF8:AF26)</f>
        <v>0</v>
      </c>
      <c r="AG27" s="1555">
        <f t="shared" si="1"/>
        <v>0</v>
      </c>
      <c r="AH27" s="2054" t="e">
        <f>AG27/AC27-1</f>
        <v>#DIV/0!</v>
      </c>
      <c r="AI27" s="1489">
        <f>AG27-AC27</f>
        <v>0</v>
      </c>
      <c r="AJ27" s="2053" t="e">
        <f>AG27/AF27-1</f>
        <v>#DIV/0!</v>
      </c>
      <c r="AL27" s="15"/>
    </row>
    <row r="28" spans="1:39" ht="17.25" customHeight="1">
      <c r="A28" s="13"/>
      <c r="B28" s="2" t="s">
        <v>550</v>
      </c>
      <c r="C28" s="1557"/>
      <c r="D28" s="1557"/>
      <c r="E28" s="1557">
        <v>7.3983508882879523E-2</v>
      </c>
      <c r="F28" s="1557">
        <v>6.0775471056318198E-2</v>
      </c>
      <c r="G28" s="1557">
        <f t="shared" ref="G28:R28" si="2">G27/C27-1</f>
        <v>0.14261339937801965</v>
      </c>
      <c r="H28" s="1557">
        <f t="shared" si="2"/>
        <v>0.12115694123791454</v>
      </c>
      <c r="I28" s="1557">
        <f t="shared" si="2"/>
        <v>0.10529698972937096</v>
      </c>
      <c r="J28" s="1557">
        <f t="shared" si="2"/>
        <v>0.20148937434010628</v>
      </c>
      <c r="K28" s="1557">
        <f t="shared" si="2"/>
        <v>0.48710603411372766</v>
      </c>
      <c r="L28" s="1557">
        <f t="shared" si="2"/>
        <v>0.4813032667392787</v>
      </c>
      <c r="M28" s="1557">
        <f>M27/I27-1</f>
        <v>0.47285532200539571</v>
      </c>
      <c r="N28" s="1557">
        <f t="shared" si="2"/>
        <v>0.30248907085027543</v>
      </c>
      <c r="O28" s="1568">
        <f t="shared" si="2"/>
        <v>-4.9401666631964214E-2</v>
      </c>
      <c r="P28" s="1568">
        <f t="shared" si="2"/>
        <v>-1</v>
      </c>
      <c r="Q28" s="1568">
        <f t="shared" si="2"/>
        <v>-1</v>
      </c>
      <c r="R28" s="1568">
        <f t="shared" si="2"/>
        <v>-1</v>
      </c>
      <c r="S28" s="1568">
        <f t="shared" ref="S28:AC28" si="3">S27/O27-1</f>
        <v>-1</v>
      </c>
      <c r="T28" s="1568" t="e">
        <f t="shared" si="3"/>
        <v>#DIV/0!</v>
      </c>
      <c r="U28" s="1568" t="e">
        <f t="shared" si="3"/>
        <v>#DIV/0!</v>
      </c>
      <c r="V28" s="1568" t="e">
        <f t="shared" si="3"/>
        <v>#DIV/0!</v>
      </c>
      <c r="W28" s="1568" t="e">
        <f t="shared" si="3"/>
        <v>#DIV/0!</v>
      </c>
      <c r="X28" s="1568" t="e">
        <f t="shared" si="3"/>
        <v>#DIV/0!</v>
      </c>
      <c r="Y28" s="1568" t="e">
        <f t="shared" si="3"/>
        <v>#DIV/0!</v>
      </c>
      <c r="Z28" s="1568" t="e">
        <f t="shared" si="3"/>
        <v>#DIV/0!</v>
      </c>
      <c r="AA28" s="1568" t="e">
        <f t="shared" si="3"/>
        <v>#DIV/0!</v>
      </c>
      <c r="AB28" s="1568" t="e">
        <f t="shared" si="3"/>
        <v>#DIV/0!</v>
      </c>
      <c r="AC28" s="1568" t="e">
        <f t="shared" si="3"/>
        <v>#DIV/0!</v>
      </c>
      <c r="AD28" s="1568" t="e">
        <f>AD27/Z27-1</f>
        <v>#DIV/0!</v>
      </c>
      <c r="AE28" s="1568" t="e">
        <f>AE27/AA27-1</f>
        <v>#DIV/0!</v>
      </c>
      <c r="AF28" s="1568" t="e">
        <f>AF27/AB27-1</f>
        <v>#DIV/0!</v>
      </c>
      <c r="AG28" s="1568" t="e">
        <f>AG27/AC27-1</f>
        <v>#DIV/0!</v>
      </c>
      <c r="AJ28" s="11"/>
    </row>
    <row r="29" spans="1:39">
      <c r="A29" s="13"/>
      <c r="B29" s="2" t="s">
        <v>486</v>
      </c>
      <c r="E29" s="1"/>
      <c r="F29" s="1558">
        <f>SUM(C27:F27)</f>
        <v>51858.02467157827</v>
      </c>
      <c r="G29" s="1"/>
      <c r="H29" s="1"/>
      <c r="I29" s="1"/>
      <c r="J29" s="1558">
        <f>SUM(G27:J27)</f>
        <v>59270.501772918971</v>
      </c>
      <c r="K29" s="1"/>
      <c r="L29" s="1"/>
      <c r="M29" s="1559">
        <f>M27/L27-1</f>
        <v>6.7322094425508627E-2</v>
      </c>
      <c r="N29" s="1558">
        <f>SUM(K27:N27)</f>
        <v>84827.300999999992</v>
      </c>
      <c r="O29" s="1569"/>
      <c r="P29" s="1569"/>
      <c r="Q29" s="1569"/>
      <c r="R29" s="43">
        <f>SUM(O27:R27)</f>
        <v>19220.700000000004</v>
      </c>
      <c r="S29" s="43"/>
      <c r="T29" s="43"/>
      <c r="U29" s="1569"/>
      <c r="V29" s="43">
        <f>SUM(S27:V27)</f>
        <v>0</v>
      </c>
      <c r="W29" s="43"/>
      <c r="X29" s="43"/>
      <c r="Y29" s="1569"/>
      <c r="Z29" s="43">
        <f>SUM(W27:Z27)</f>
        <v>0</v>
      </c>
      <c r="AA29" s="43"/>
      <c r="AB29" s="43"/>
      <c r="AC29" s="43"/>
      <c r="AD29" s="43">
        <f>SUM(AA27:AD27)</f>
        <v>0</v>
      </c>
      <c r="AE29" s="43"/>
      <c r="AF29" s="43"/>
      <c r="AG29" s="43"/>
      <c r="AH29" s="5"/>
    </row>
    <row r="30" spans="1:39">
      <c r="B30" s="2" t="s">
        <v>593</v>
      </c>
      <c r="C30" s="43"/>
      <c r="D30" s="43"/>
      <c r="E30" s="43"/>
      <c r="F30" s="1557"/>
      <c r="G30" s="43"/>
      <c r="H30" s="43"/>
      <c r="I30" s="43"/>
      <c r="J30" s="1557">
        <f>J29/F29-1</f>
        <v>0.14293789916381527</v>
      </c>
      <c r="K30" s="43"/>
      <c r="L30" s="43"/>
      <c r="M30" s="43"/>
      <c r="N30" s="1557">
        <f>N29/J29-1</f>
        <v>0.43118918285854746</v>
      </c>
      <c r="O30" s="43"/>
      <c r="P30" s="43"/>
      <c r="Q30" s="43"/>
      <c r="R30" s="1568">
        <f>R29/N29-1</f>
        <v>-0.77341375036793869</v>
      </c>
      <c r="S30" s="43"/>
      <c r="T30" s="43"/>
      <c r="U30" s="43"/>
      <c r="V30" s="1568">
        <f>V29/R29-1</f>
        <v>-1</v>
      </c>
      <c r="W30" s="43"/>
      <c r="X30" s="43"/>
      <c r="Y30" s="43"/>
      <c r="Z30" s="1568" t="e">
        <f>Z29/V29-1</f>
        <v>#DIV/0!</v>
      </c>
      <c r="AA30" s="43"/>
      <c r="AB30" s="43"/>
      <c r="AC30" s="43"/>
      <c r="AD30" s="1568" t="e">
        <f>AD29/Z29-1</f>
        <v>#DIV/0!</v>
      </c>
      <c r="AE30" s="1568"/>
      <c r="AF30" s="1568"/>
      <c r="AG30" s="1568"/>
      <c r="AH30" s="5"/>
    </row>
    <row r="31" spans="1:39">
      <c r="AH31" s="5"/>
    </row>
    <row r="32" spans="1:39">
      <c r="B32" s="2" t="s">
        <v>548</v>
      </c>
      <c r="O32" s="43">
        <f>O8+O9+O11+O16+O24</f>
        <v>15439</v>
      </c>
      <c r="P32" s="43">
        <f t="shared" ref="P32:AD32" si="4">P8+P9+P11+P16+P24</f>
        <v>0</v>
      </c>
      <c r="Q32" s="43">
        <f t="shared" si="4"/>
        <v>0</v>
      </c>
      <c r="R32" s="43">
        <f t="shared" si="4"/>
        <v>0</v>
      </c>
      <c r="S32" s="43">
        <f t="shared" si="4"/>
        <v>0</v>
      </c>
      <c r="T32" s="43">
        <f t="shared" si="4"/>
        <v>0</v>
      </c>
      <c r="U32" s="43">
        <f t="shared" si="4"/>
        <v>0</v>
      </c>
      <c r="V32" s="43">
        <f t="shared" si="4"/>
        <v>0</v>
      </c>
      <c r="W32" s="43">
        <f t="shared" si="4"/>
        <v>0</v>
      </c>
      <c r="X32" s="43">
        <f t="shared" si="4"/>
        <v>0</v>
      </c>
      <c r="Y32" s="43">
        <f t="shared" si="4"/>
        <v>0</v>
      </c>
      <c r="Z32" s="43">
        <f t="shared" si="4"/>
        <v>0</v>
      </c>
      <c r="AA32" s="43">
        <f t="shared" si="4"/>
        <v>0</v>
      </c>
      <c r="AB32" s="43">
        <f t="shared" si="4"/>
        <v>0</v>
      </c>
      <c r="AC32" s="43">
        <f t="shared" si="4"/>
        <v>0</v>
      </c>
      <c r="AD32" s="43">
        <f t="shared" si="4"/>
        <v>0</v>
      </c>
      <c r="AE32" s="43">
        <f t="shared" ref="AE32:AF32" si="5">AE8+AE9+AE11+AE16+AE24</f>
        <v>0</v>
      </c>
      <c r="AF32" s="43">
        <f t="shared" si="5"/>
        <v>0</v>
      </c>
      <c r="AG32" s="43">
        <f>AG8+AG9+AG11+AG16+AG24</f>
        <v>0</v>
      </c>
      <c r="AH32" s="2054" t="e">
        <f>AG32/AC32-1</f>
        <v>#DIV/0!</v>
      </c>
      <c r="AI32" s="1489">
        <f>AG32-AC32</f>
        <v>0</v>
      </c>
      <c r="AJ32" s="2053" t="e">
        <f>AG32/AF32-1</f>
        <v>#DIV/0!</v>
      </c>
    </row>
    <row r="33" spans="2:43">
      <c r="B33" s="2" t="s">
        <v>600</v>
      </c>
      <c r="O33" s="43">
        <f t="shared" ref="O33:AE33" si="6">O25+O22+O21+O19+O18+O12</f>
        <v>2329.5</v>
      </c>
      <c r="P33" s="43">
        <f t="shared" si="6"/>
        <v>0</v>
      </c>
      <c r="Q33" s="43">
        <f t="shared" si="6"/>
        <v>0</v>
      </c>
      <c r="R33" s="43">
        <f t="shared" si="6"/>
        <v>0</v>
      </c>
      <c r="S33" s="43">
        <f t="shared" si="6"/>
        <v>0</v>
      </c>
      <c r="T33" s="43">
        <f t="shared" si="6"/>
        <v>0</v>
      </c>
      <c r="U33" s="43">
        <f t="shared" si="6"/>
        <v>0</v>
      </c>
      <c r="V33" s="43">
        <f t="shared" si="6"/>
        <v>0</v>
      </c>
      <c r="W33" s="43">
        <f t="shared" si="6"/>
        <v>0</v>
      </c>
      <c r="X33" s="43">
        <f t="shared" si="6"/>
        <v>0</v>
      </c>
      <c r="Y33" s="43">
        <f t="shared" si="6"/>
        <v>0</v>
      </c>
      <c r="Z33" s="43">
        <f t="shared" si="6"/>
        <v>0</v>
      </c>
      <c r="AA33" s="43">
        <f t="shared" si="6"/>
        <v>0</v>
      </c>
      <c r="AB33" s="43">
        <f t="shared" si="6"/>
        <v>0</v>
      </c>
      <c r="AC33" s="43">
        <f t="shared" si="6"/>
        <v>0</v>
      </c>
      <c r="AD33" s="43">
        <f t="shared" si="6"/>
        <v>0</v>
      </c>
      <c r="AE33" s="43">
        <f t="shared" si="6"/>
        <v>0</v>
      </c>
      <c r="AF33" s="43">
        <f>AF25+AF22+AF21+AF19+AF18+AF12</f>
        <v>0</v>
      </c>
      <c r="AG33" s="43">
        <f>AG25+AG22+AG21+AG19+AG18+AG12</f>
        <v>0</v>
      </c>
      <c r="AH33" s="2054" t="e">
        <f>AG33/AC33-1</f>
        <v>#DIV/0!</v>
      </c>
      <c r="AI33" s="1489">
        <f>AG33-AF33</f>
        <v>0</v>
      </c>
      <c r="AJ33" s="1544" t="e">
        <f>AG33/AF33-1</f>
        <v>#DIV/0!</v>
      </c>
    </row>
    <row r="34" spans="2:43">
      <c r="O34" s="1365"/>
      <c r="P34" s="1365"/>
      <c r="Q34" s="1365"/>
      <c r="R34" s="1365"/>
      <c r="S34" s="1365"/>
      <c r="T34" s="1365"/>
      <c r="U34" s="1365"/>
      <c r="V34" s="1365"/>
      <c r="W34" s="1365"/>
      <c r="X34" s="1365"/>
      <c r="Y34" s="1365"/>
      <c r="Z34" s="1365"/>
      <c r="AA34" s="1365"/>
      <c r="AB34" s="1365"/>
      <c r="AC34" s="1365"/>
      <c r="AD34" s="1365"/>
      <c r="AE34" s="1365"/>
      <c r="AF34" s="1365"/>
      <c r="AG34" s="1365"/>
    </row>
    <row r="35" spans="2:43">
      <c r="B35" s="1692" t="s">
        <v>134</v>
      </c>
    </row>
    <row r="36" spans="2:43">
      <c r="B36" s="1689" t="s">
        <v>272</v>
      </c>
      <c r="C36" s="1478" t="s">
        <v>96</v>
      </c>
      <c r="D36" s="1560" t="s">
        <v>97</v>
      </c>
      <c r="E36" s="1560" t="s">
        <v>98</v>
      </c>
      <c r="F36" s="1561" t="s">
        <v>99</v>
      </c>
      <c r="G36" s="1478" t="str">
        <f t="shared" ref="G36:AE36" si="7">G7</f>
        <v>1Q 17</v>
      </c>
      <c r="H36" s="1560" t="str">
        <f t="shared" si="7"/>
        <v>2Q 17</v>
      </c>
      <c r="I36" s="1560" t="str">
        <f t="shared" si="7"/>
        <v>3Q 17</v>
      </c>
      <c r="J36" s="1561" t="str">
        <f t="shared" si="7"/>
        <v>4Q 17</v>
      </c>
      <c r="K36" s="1524" t="str">
        <f t="shared" si="7"/>
        <v>1Q 18</v>
      </c>
      <c r="L36" s="1525" t="str">
        <f t="shared" si="7"/>
        <v>2Q 18</v>
      </c>
      <c r="M36" s="1525" t="str">
        <f t="shared" si="7"/>
        <v>3Q 18</v>
      </c>
      <c r="N36" s="1561" t="str">
        <f t="shared" si="7"/>
        <v>4Q 18</v>
      </c>
      <c r="O36" s="1524" t="str">
        <f t="shared" si="7"/>
        <v>1Q 19</v>
      </c>
      <c r="P36" s="1525" t="str">
        <f t="shared" si="7"/>
        <v>2Q 19</v>
      </c>
      <c r="Q36" s="1525" t="str">
        <f t="shared" si="7"/>
        <v>3Q 19</v>
      </c>
      <c r="R36" s="1561" t="str">
        <f t="shared" si="7"/>
        <v>4Q 19</v>
      </c>
      <c r="S36" s="1524" t="str">
        <f t="shared" si="7"/>
        <v>1Q 20</v>
      </c>
      <c r="T36" s="1525" t="str">
        <f t="shared" si="7"/>
        <v>2Q 20</v>
      </c>
      <c r="U36" s="1525" t="str">
        <f t="shared" si="7"/>
        <v>3Q 20</v>
      </c>
      <c r="V36" s="1561" t="str">
        <f t="shared" si="7"/>
        <v>4Q 20</v>
      </c>
      <c r="W36" s="1524" t="str">
        <f t="shared" si="7"/>
        <v>1Q 21</v>
      </c>
      <c r="X36" s="1525" t="str">
        <f t="shared" si="7"/>
        <v>2Q 21</v>
      </c>
      <c r="Y36" s="1525" t="str">
        <f t="shared" si="7"/>
        <v>3Q 21</v>
      </c>
      <c r="Z36" s="1561" t="str">
        <f t="shared" si="7"/>
        <v>4Q 21</v>
      </c>
      <c r="AA36" s="1524" t="str">
        <f t="shared" si="7"/>
        <v>1Q 22</v>
      </c>
      <c r="AB36" s="1525" t="str">
        <f t="shared" si="7"/>
        <v>2Q 22</v>
      </c>
      <c r="AC36" s="1525" t="str">
        <f t="shared" si="7"/>
        <v>3Q 22</v>
      </c>
      <c r="AD36" s="1561" t="str">
        <f t="shared" si="7"/>
        <v>4Q 22</v>
      </c>
      <c r="AE36" s="1635" t="str">
        <f t="shared" si="7"/>
        <v>1Q 23</v>
      </c>
      <c r="AF36" s="1479" t="str">
        <f t="shared" ref="AF36:AG36" si="8">AF7</f>
        <v>2Q 23</v>
      </c>
      <c r="AG36" s="1935" t="str">
        <f t="shared" si="8"/>
        <v>3Q 23</v>
      </c>
    </row>
    <row r="37" spans="2:43">
      <c r="B37" s="341" t="str">
        <f t="shared" ref="B37:B56" si="9">B8</f>
        <v>AMD</v>
      </c>
      <c r="C37" s="1562">
        <f t="shared" ref="C37:AE37" si="10">C8/C$27</f>
        <v>0</v>
      </c>
      <c r="D37" s="1562">
        <f t="shared" si="10"/>
        <v>0</v>
      </c>
      <c r="E37" s="1562">
        <f t="shared" si="10"/>
        <v>0</v>
      </c>
      <c r="F37" s="255">
        <f t="shared" si="10"/>
        <v>0</v>
      </c>
      <c r="G37" s="1562">
        <f t="shared" si="10"/>
        <v>0</v>
      </c>
      <c r="H37" s="1562">
        <f t="shared" si="10"/>
        <v>0</v>
      </c>
      <c r="I37" s="1562">
        <f t="shared" si="10"/>
        <v>0</v>
      </c>
      <c r="J37" s="255">
        <f t="shared" si="10"/>
        <v>0</v>
      </c>
      <c r="K37" s="1562">
        <f t="shared" si="10"/>
        <v>8.145569386427938E-2</v>
      </c>
      <c r="L37" s="1562">
        <f t="shared" si="10"/>
        <v>8.3776791338395801E-2</v>
      </c>
      <c r="M37" s="1562">
        <f t="shared" si="10"/>
        <v>7.3888451503227703E-2</v>
      </c>
      <c r="N37" s="255">
        <f t="shared" si="10"/>
        <v>6.6695807893512302E-2</v>
      </c>
      <c r="O37" s="1562">
        <f t="shared" si="10"/>
        <v>6.6178651141737793E-2</v>
      </c>
      <c r="P37" s="1562" t="e">
        <f t="shared" si="10"/>
        <v>#DIV/0!</v>
      </c>
      <c r="Q37" s="1562" t="e">
        <f t="shared" si="10"/>
        <v>#DIV/0!</v>
      </c>
      <c r="R37" s="255" t="e">
        <f t="shared" si="10"/>
        <v>#DIV/0!</v>
      </c>
      <c r="S37" s="1562" t="e">
        <f t="shared" si="10"/>
        <v>#DIV/0!</v>
      </c>
      <c r="T37" s="1562" t="e">
        <f t="shared" si="10"/>
        <v>#DIV/0!</v>
      </c>
      <c r="U37" s="1562" t="e">
        <f t="shared" si="10"/>
        <v>#DIV/0!</v>
      </c>
      <c r="V37" s="255" t="e">
        <f t="shared" si="10"/>
        <v>#DIV/0!</v>
      </c>
      <c r="W37" s="1562" t="e">
        <f t="shared" si="10"/>
        <v>#DIV/0!</v>
      </c>
      <c r="X37" s="1562" t="e">
        <f t="shared" si="10"/>
        <v>#DIV/0!</v>
      </c>
      <c r="Y37" s="1562" t="e">
        <f t="shared" si="10"/>
        <v>#DIV/0!</v>
      </c>
      <c r="Z37" s="255" t="e">
        <f t="shared" si="10"/>
        <v>#DIV/0!</v>
      </c>
      <c r="AA37" s="1562" t="e">
        <f t="shared" si="10"/>
        <v>#DIV/0!</v>
      </c>
      <c r="AB37" s="1562" t="e">
        <f t="shared" si="10"/>
        <v>#DIV/0!</v>
      </c>
      <c r="AC37" s="1562" t="e">
        <f t="shared" si="10"/>
        <v>#DIV/0!</v>
      </c>
      <c r="AD37" s="255" t="e">
        <f t="shared" si="10"/>
        <v>#DIV/0!</v>
      </c>
      <c r="AE37" s="1562" t="e">
        <f t="shared" si="10"/>
        <v>#DIV/0!</v>
      </c>
      <c r="AF37" s="1562" t="e">
        <f>AF8/AF$27</f>
        <v>#DIV/0!</v>
      </c>
      <c r="AG37" s="256" t="e">
        <f>AG8/AG$27</f>
        <v>#DIV/0!</v>
      </c>
    </row>
    <row r="38" spans="2:43">
      <c r="B38" s="39" t="str">
        <f t="shared" si="9"/>
        <v>Analog Devices</v>
      </c>
      <c r="C38" s="1562">
        <f t="shared" ref="C38:AE38" si="11">C9/C$27</f>
        <v>6.5445276968224053E-2</v>
      </c>
      <c r="D38" s="1562">
        <f t="shared" si="11"/>
        <v>6.8900780051004765E-2</v>
      </c>
      <c r="E38" s="1562">
        <f t="shared" si="11"/>
        <v>7.276839348490019E-2</v>
      </c>
      <c r="F38" s="255">
        <f t="shared" si="11"/>
        <v>7.237778077147132E-2</v>
      </c>
      <c r="G38" s="1562">
        <f t="shared" si="11"/>
        <v>8.4431569539148474E-2</v>
      </c>
      <c r="H38" s="1562">
        <f t="shared" si="11"/>
        <v>0.10133574445025205</v>
      </c>
      <c r="I38" s="1562">
        <f t="shared" si="11"/>
        <v>0.10145336086338878</v>
      </c>
      <c r="J38" s="255">
        <f t="shared" si="11"/>
        <v>9.2992517220188697E-2</v>
      </c>
      <c r="K38" s="1562">
        <f t="shared" si="11"/>
        <v>7.4831075876399214E-2</v>
      </c>
      <c r="L38" s="1562">
        <f t="shared" si="11"/>
        <v>7.5030751950613317E-2</v>
      </c>
      <c r="M38" s="1562">
        <f t="shared" si="11"/>
        <v>7.1340573865185358E-2</v>
      </c>
      <c r="N38" s="255">
        <f t="shared" si="11"/>
        <v>7.2383047326292443E-2</v>
      </c>
      <c r="O38" s="1562">
        <f t="shared" si="11"/>
        <v>7.9601679439354422E-2</v>
      </c>
      <c r="P38" s="1562" t="e">
        <f t="shared" si="11"/>
        <v>#DIV/0!</v>
      </c>
      <c r="Q38" s="1562" t="e">
        <f t="shared" si="11"/>
        <v>#DIV/0!</v>
      </c>
      <c r="R38" s="255" t="e">
        <f t="shared" si="11"/>
        <v>#DIV/0!</v>
      </c>
      <c r="S38" s="1562" t="e">
        <f t="shared" si="11"/>
        <v>#DIV/0!</v>
      </c>
      <c r="T38" s="1562" t="e">
        <f t="shared" si="11"/>
        <v>#DIV/0!</v>
      </c>
      <c r="U38" s="1562" t="e">
        <f t="shared" si="11"/>
        <v>#DIV/0!</v>
      </c>
      <c r="V38" s="255" t="e">
        <f t="shared" si="11"/>
        <v>#DIV/0!</v>
      </c>
      <c r="W38" s="1562" t="e">
        <f t="shared" si="11"/>
        <v>#DIV/0!</v>
      </c>
      <c r="X38" s="1562" t="e">
        <f t="shared" si="11"/>
        <v>#DIV/0!</v>
      </c>
      <c r="Y38" s="1562" t="e">
        <f t="shared" si="11"/>
        <v>#DIV/0!</v>
      </c>
      <c r="Z38" s="255" t="e">
        <f t="shared" si="11"/>
        <v>#DIV/0!</v>
      </c>
      <c r="AA38" s="1562" t="e">
        <f t="shared" si="11"/>
        <v>#DIV/0!</v>
      </c>
      <c r="AB38" s="1562" t="e">
        <f t="shared" si="11"/>
        <v>#DIV/0!</v>
      </c>
      <c r="AC38" s="1562" t="e">
        <f t="shared" si="11"/>
        <v>#DIV/0!</v>
      </c>
      <c r="AD38" s="255" t="e">
        <f t="shared" si="11"/>
        <v>#DIV/0!</v>
      </c>
      <c r="AE38" s="1562" t="e">
        <f t="shared" si="11"/>
        <v>#DIV/0!</v>
      </c>
      <c r="AF38" s="1562" t="e">
        <f>AF9/AF$27</f>
        <v>#DIV/0!</v>
      </c>
      <c r="AG38" s="255" t="e">
        <f>AG9/AG$27</f>
        <v>#DIV/0!</v>
      </c>
    </row>
    <row r="39" spans="2:43">
      <c r="B39" s="39" t="str">
        <f t="shared" si="9"/>
        <v>AMCC</v>
      </c>
      <c r="C39" s="1562">
        <f t="shared" ref="C39:E56" si="12">C10/C$27</f>
        <v>3.4547495873797026E-3</v>
      </c>
      <c r="D39" s="1562">
        <f t="shared" si="12"/>
        <v>3.2881960143477935E-3</v>
      </c>
      <c r="E39" s="1562">
        <f t="shared" si="12"/>
        <v>3.0402634797991302E-3</v>
      </c>
      <c r="F39" s="1563" t="str">
        <f>F10</f>
        <v>acquired by MACOM</v>
      </c>
      <c r="G39" s="1548"/>
      <c r="H39" s="1548"/>
      <c r="I39" s="1548"/>
      <c r="J39" s="1564"/>
      <c r="K39" s="1548"/>
      <c r="L39" s="1548"/>
      <c r="M39" s="1548"/>
      <c r="N39" s="1564"/>
      <c r="O39" s="1548"/>
      <c r="P39" s="1548"/>
      <c r="Q39" s="1548"/>
      <c r="R39" s="1564"/>
      <c r="S39" s="1548"/>
      <c r="T39" s="1548"/>
      <c r="U39" s="1548"/>
      <c r="V39" s="1564"/>
      <c r="W39" s="1548"/>
      <c r="X39" s="1548"/>
      <c r="Y39" s="1548"/>
      <c r="Z39" s="1564"/>
      <c r="AA39" s="1548"/>
      <c r="AB39" s="1548"/>
      <c r="AC39" s="1548"/>
      <c r="AD39" s="1564"/>
      <c r="AE39" s="692"/>
      <c r="AF39" s="692"/>
      <c r="AG39" s="1564"/>
    </row>
    <row r="40" spans="2:43">
      <c r="B40" s="39" t="str">
        <f t="shared" si="9"/>
        <v>Broadcom</v>
      </c>
      <c r="C40" s="1562">
        <f t="shared" si="12"/>
        <v>0.29748999122656644</v>
      </c>
      <c r="D40" s="1562">
        <f t="shared" si="12"/>
        <v>0.30029549143079853</v>
      </c>
      <c r="E40" s="1562">
        <f t="shared" si="12"/>
        <v>0.3009700754535472</v>
      </c>
      <c r="F40" s="255">
        <f t="shared" ref="F40:AA40" si="13">F11/F$27</f>
        <v>0.30517826465531961</v>
      </c>
      <c r="G40" s="1562">
        <f t="shared" si="13"/>
        <v>0.30816535134612921</v>
      </c>
      <c r="H40" s="1562">
        <f t="shared" si="13"/>
        <v>0.31540609294182931</v>
      </c>
      <c r="I40" s="1562">
        <f t="shared" si="13"/>
        <v>0.31890985076071077</v>
      </c>
      <c r="J40" s="255">
        <f t="shared" si="13"/>
        <v>0.32611661568923317</v>
      </c>
      <c r="K40" s="1562">
        <f t="shared" si="13"/>
        <v>0.24797744325166776</v>
      </c>
      <c r="L40" s="1562">
        <f t="shared" si="13"/>
        <v>0.24155005384185532</v>
      </c>
      <c r="M40" s="1562">
        <f t="shared" si="13"/>
        <v>0.24361286188299514</v>
      </c>
      <c r="N40" s="255">
        <f t="shared" si="13"/>
        <v>0.27209445517656294</v>
      </c>
      <c r="O40" s="1562">
        <f t="shared" si="13"/>
        <v>0.28703429115484863</v>
      </c>
      <c r="P40" s="1562" t="e">
        <f t="shared" si="13"/>
        <v>#DIV/0!</v>
      </c>
      <c r="Q40" s="1562" t="e">
        <f t="shared" si="13"/>
        <v>#DIV/0!</v>
      </c>
      <c r="R40" s="255" t="e">
        <f t="shared" si="13"/>
        <v>#DIV/0!</v>
      </c>
      <c r="S40" s="1562" t="e">
        <f t="shared" si="13"/>
        <v>#DIV/0!</v>
      </c>
      <c r="T40" s="1562" t="e">
        <f t="shared" si="13"/>
        <v>#DIV/0!</v>
      </c>
      <c r="U40" s="1562" t="e">
        <f t="shared" si="13"/>
        <v>#DIV/0!</v>
      </c>
      <c r="V40" s="255" t="e">
        <f t="shared" si="13"/>
        <v>#DIV/0!</v>
      </c>
      <c r="W40" s="1562" t="e">
        <f t="shared" si="13"/>
        <v>#DIV/0!</v>
      </c>
      <c r="X40" s="1562" t="e">
        <f t="shared" si="13"/>
        <v>#DIV/0!</v>
      </c>
      <c r="Y40" s="1562" t="e">
        <f t="shared" si="13"/>
        <v>#DIV/0!</v>
      </c>
      <c r="Z40" s="255" t="e">
        <f t="shared" si="13"/>
        <v>#DIV/0!</v>
      </c>
      <c r="AA40" s="1562" t="e">
        <f t="shared" si="13"/>
        <v>#DIV/0!</v>
      </c>
      <c r="AB40" s="1562" t="e">
        <f>AC11/AB$27</f>
        <v>#DIV/0!</v>
      </c>
      <c r="AC40" s="1562" t="e">
        <f>AD11/AC$27</f>
        <v>#DIV/0!</v>
      </c>
      <c r="AD40" s="255" t="e">
        <f t="shared" ref="AD40:AF41" si="14">AD11/AD$27</f>
        <v>#DIV/0!</v>
      </c>
      <c r="AE40" s="1562" t="e">
        <f t="shared" si="14"/>
        <v>#DIV/0!</v>
      </c>
      <c r="AF40" s="1562" t="e">
        <f t="shared" si="14"/>
        <v>#DIV/0!</v>
      </c>
      <c r="AG40" s="255" t="e">
        <f t="shared" ref="AG40" si="15">AG11/AG$27</f>
        <v>#DIV/0!</v>
      </c>
    </row>
    <row r="41" spans="2:43">
      <c r="B41" s="39" t="str">
        <f t="shared" si="9"/>
        <v>Credo</v>
      </c>
      <c r="C41" s="1562">
        <f t="shared" si="12"/>
        <v>0</v>
      </c>
      <c r="D41" s="1562">
        <f t="shared" si="12"/>
        <v>0</v>
      </c>
      <c r="E41" s="1562">
        <f t="shared" si="12"/>
        <v>0</v>
      </c>
      <c r="F41" s="255">
        <f>F12/F$27</f>
        <v>0</v>
      </c>
      <c r="G41" s="1562">
        <f>G12/G$27</f>
        <v>0</v>
      </c>
      <c r="H41" s="1562">
        <f>H12/H$27</f>
        <v>0</v>
      </c>
      <c r="I41" s="1562">
        <f>I12/I$27</f>
        <v>0</v>
      </c>
      <c r="J41" s="255">
        <f>J12/J$27</f>
        <v>0</v>
      </c>
      <c r="K41" s="1548"/>
      <c r="L41" s="1548"/>
      <c r="M41" s="1548"/>
      <c r="N41" s="406"/>
      <c r="O41" s="1548"/>
      <c r="P41" s="1548"/>
      <c r="Q41" s="1548"/>
      <c r="R41" s="406"/>
      <c r="S41" s="1548"/>
      <c r="T41" s="1562" t="e">
        <f t="shared" ref="T41:AC41" si="16">T12/T$27</f>
        <v>#DIV/0!</v>
      </c>
      <c r="U41" s="1562" t="e">
        <f t="shared" si="16"/>
        <v>#DIV/0!</v>
      </c>
      <c r="V41" s="255" t="e">
        <f t="shared" si="16"/>
        <v>#DIV/0!</v>
      </c>
      <c r="W41" s="1562" t="e">
        <f t="shared" si="16"/>
        <v>#DIV/0!</v>
      </c>
      <c r="X41" s="1562" t="e">
        <f t="shared" si="16"/>
        <v>#DIV/0!</v>
      </c>
      <c r="Y41" s="1562" t="e">
        <f t="shared" si="16"/>
        <v>#DIV/0!</v>
      </c>
      <c r="Z41" s="255" t="e">
        <f t="shared" si="16"/>
        <v>#DIV/0!</v>
      </c>
      <c r="AA41" s="1562" t="e">
        <f t="shared" si="16"/>
        <v>#DIV/0!</v>
      </c>
      <c r="AB41" s="1562" t="e">
        <f t="shared" si="16"/>
        <v>#DIV/0!</v>
      </c>
      <c r="AC41" s="1562" t="e">
        <f t="shared" si="16"/>
        <v>#DIV/0!</v>
      </c>
      <c r="AD41" s="255" t="e">
        <f t="shared" si="14"/>
        <v>#DIV/0!</v>
      </c>
      <c r="AE41" s="1562" t="e">
        <f t="shared" si="14"/>
        <v>#DIV/0!</v>
      </c>
      <c r="AF41" s="1562" t="e">
        <f t="shared" si="14"/>
        <v>#DIV/0!</v>
      </c>
      <c r="AG41" s="255" t="e">
        <f t="shared" ref="AG41" si="17">AG12/AG$27</f>
        <v>#DIV/0!</v>
      </c>
      <c r="AI41" s="2"/>
      <c r="AJ41" s="2"/>
      <c r="AK41" s="2"/>
      <c r="AL41" s="2"/>
      <c r="AM41" s="2"/>
      <c r="AN41" s="2"/>
      <c r="AO41" s="2"/>
      <c r="AP41" s="2"/>
      <c r="AQ41" s="2"/>
    </row>
    <row r="42" spans="2:43">
      <c r="B42" s="39" t="str">
        <f t="shared" si="9"/>
        <v>GigaPeak</v>
      </c>
      <c r="C42" s="1562">
        <f t="shared" si="12"/>
        <v>9.5465714698694771E-4</v>
      </c>
      <c r="D42" s="1562">
        <f t="shared" si="12"/>
        <v>1.2178210298921827E-3</v>
      </c>
      <c r="E42" s="1562">
        <f t="shared" si="12"/>
        <v>1.1497406170614232E-3</v>
      </c>
      <c r="F42" s="255">
        <f t="shared" ref="F42:F56" si="18">F13/F$27</f>
        <v>1.1768744840889645E-3</v>
      </c>
      <c r="G42" s="1565" t="str">
        <f>G13</f>
        <v>acquired by IDT</v>
      </c>
      <c r="H42" s="1548"/>
      <c r="I42" s="1548"/>
      <c r="J42" s="406"/>
      <c r="K42" s="1565"/>
      <c r="L42" s="1548"/>
      <c r="M42" s="1548"/>
      <c r="N42" s="406"/>
      <c r="O42" s="1565"/>
      <c r="P42" s="1548"/>
      <c r="Q42" s="1548"/>
      <c r="R42" s="406"/>
      <c r="S42" s="1565"/>
      <c r="T42" s="1548"/>
      <c r="U42" s="1548"/>
      <c r="V42" s="406"/>
      <c r="W42" s="1565"/>
      <c r="X42" s="1548"/>
      <c r="Y42" s="1548"/>
      <c r="Z42" s="406"/>
      <c r="AA42" s="1565"/>
      <c r="AB42" s="1548"/>
      <c r="AC42" s="1548"/>
      <c r="AD42" s="1564"/>
      <c r="AE42" s="692"/>
      <c r="AF42" s="692"/>
      <c r="AG42" s="1564"/>
      <c r="AI42" s="2"/>
      <c r="AJ42" s="2"/>
      <c r="AK42" s="2"/>
      <c r="AL42" s="2"/>
      <c r="AM42" s="2"/>
      <c r="AN42" s="2"/>
      <c r="AO42" s="2"/>
      <c r="AP42" s="2"/>
      <c r="AQ42" s="2"/>
    </row>
    <row r="43" spans="2:43">
      <c r="B43" s="39" t="str">
        <f t="shared" si="9"/>
        <v>IDT</v>
      </c>
      <c r="C43" s="1562">
        <f t="shared" si="12"/>
        <v>1.5916554897828162E-2</v>
      </c>
      <c r="D43" s="1562">
        <f t="shared" si="12"/>
        <v>1.5220782032679786E-2</v>
      </c>
      <c r="E43" s="1562">
        <f t="shared" si="12"/>
        <v>1.3396661240570125E-2</v>
      </c>
      <c r="F43" s="255">
        <f t="shared" si="18"/>
        <v>1.2975041187080835E-2</v>
      </c>
      <c r="G43" s="1562">
        <f t="shared" ref="G43:N45" si="19">G14/G$27</f>
        <v>1.2922351367903318E-2</v>
      </c>
      <c r="H43" s="1562">
        <f t="shared" si="19"/>
        <v>1.3901048281796509E-2</v>
      </c>
      <c r="I43" s="1562">
        <f t="shared" si="19"/>
        <v>1.3430555234348678E-2</v>
      </c>
      <c r="J43" s="255">
        <f t="shared" si="19"/>
        <v>1.3284645317169814E-2</v>
      </c>
      <c r="K43" s="1562">
        <f t="shared" si="19"/>
        <v>1.1108044227029233E-2</v>
      </c>
      <c r="L43" s="1562">
        <f t="shared" si="19"/>
        <v>1.0902242169410509E-2</v>
      </c>
      <c r="M43" s="1562">
        <f t="shared" si="19"/>
        <v>1.0526757609806488E-2</v>
      </c>
      <c r="N43" s="255">
        <f t="shared" si="19"/>
        <v>1.1308676095263611E-2</v>
      </c>
      <c r="O43" s="1548" t="s">
        <v>371</v>
      </c>
      <c r="P43" s="1548"/>
      <c r="Q43" s="1548"/>
      <c r="R43" s="406"/>
      <c r="S43" s="1548"/>
      <c r="T43" s="1548"/>
      <c r="U43" s="1548"/>
      <c r="V43" s="406"/>
      <c r="W43" s="1548"/>
      <c r="X43" s="1548"/>
      <c r="Y43" s="1548"/>
      <c r="Z43" s="406"/>
      <c r="AA43" s="1548"/>
      <c r="AB43" s="1548"/>
      <c r="AC43" s="1548"/>
      <c r="AD43" s="1564"/>
      <c r="AE43" s="692"/>
      <c r="AF43" s="692"/>
      <c r="AG43" s="1564"/>
      <c r="AI43" s="2"/>
      <c r="AJ43" s="2"/>
      <c r="AK43" s="2"/>
      <c r="AL43" s="2"/>
      <c r="AM43" s="2"/>
      <c r="AN43" s="2"/>
      <c r="AO43" s="2"/>
      <c r="AP43" s="2"/>
      <c r="AQ43" s="2"/>
    </row>
    <row r="44" spans="2:43">
      <c r="B44" s="39" t="str">
        <f t="shared" si="9"/>
        <v>Inphi</v>
      </c>
      <c r="C44" s="1562">
        <f t="shared" si="12"/>
        <v>5.590963027204369E-3</v>
      </c>
      <c r="D44" s="1562">
        <f t="shared" si="12"/>
        <v>4.7952198262247829E-3</v>
      </c>
      <c r="E44" s="1562">
        <f t="shared" si="12"/>
        <v>5.1483638390566891E-3</v>
      </c>
      <c r="F44" s="255">
        <f t="shared" si="18"/>
        <v>5.9579270757003835E-3</v>
      </c>
      <c r="G44" s="1562">
        <f t="shared" si="19"/>
        <v>6.8826046727853869E-3</v>
      </c>
      <c r="H44" s="1562">
        <f t="shared" si="19"/>
        <v>5.966072678948965E-3</v>
      </c>
      <c r="I44" s="1562">
        <f t="shared" si="19"/>
        <v>5.5638708500492205E-3</v>
      </c>
      <c r="J44" s="255">
        <f t="shared" si="19"/>
        <v>5.2648824759290508E-3</v>
      </c>
      <c r="K44" s="1562">
        <f t="shared" si="19"/>
        <v>2.9741466947312114E-3</v>
      </c>
      <c r="L44" s="1562">
        <f t="shared" si="19"/>
        <v>3.3307476711268587E-3</v>
      </c>
      <c r="M44" s="1562">
        <f t="shared" si="19"/>
        <v>3.4870163955032021E-3</v>
      </c>
      <c r="N44" s="255">
        <f t="shared" si="19"/>
        <v>4.0656711647560368E-3</v>
      </c>
      <c r="O44" s="1562">
        <f t="shared" ref="O44:V45" si="20">O15/O$27</f>
        <v>4.2766392483104144E-3</v>
      </c>
      <c r="P44" s="1562" t="e">
        <f t="shared" si="20"/>
        <v>#DIV/0!</v>
      </c>
      <c r="Q44" s="1562" t="e">
        <f t="shared" si="20"/>
        <v>#DIV/0!</v>
      </c>
      <c r="R44" s="255" t="e">
        <f t="shared" si="20"/>
        <v>#DIV/0!</v>
      </c>
      <c r="S44" s="1562" t="e">
        <f t="shared" si="20"/>
        <v>#DIV/0!</v>
      </c>
      <c r="T44" s="1562" t="e">
        <f t="shared" si="20"/>
        <v>#DIV/0!</v>
      </c>
      <c r="U44" s="1562" t="e">
        <f t="shared" si="20"/>
        <v>#DIV/0!</v>
      </c>
      <c r="V44" s="255" t="e">
        <f t="shared" si="20"/>
        <v>#DIV/0!</v>
      </c>
      <c r="W44" s="1548"/>
      <c r="X44" s="1548"/>
      <c r="Y44" s="1548"/>
      <c r="Z44" s="406"/>
      <c r="AA44" s="1548"/>
      <c r="AB44" s="1548"/>
      <c r="AC44" s="1548"/>
      <c r="AD44" s="1564"/>
      <c r="AE44" s="692"/>
      <c r="AF44" s="692"/>
      <c r="AG44" s="1564"/>
      <c r="AI44" s="2"/>
      <c r="AJ44" s="2"/>
      <c r="AK44" s="2"/>
      <c r="AL44" s="2"/>
      <c r="AM44" s="2"/>
      <c r="AN44" s="2"/>
      <c r="AO44" s="2"/>
      <c r="AP44" s="2"/>
      <c r="AQ44" s="2"/>
    </row>
    <row r="45" spans="2:43">
      <c r="B45" s="39" t="str">
        <f t="shared" si="9"/>
        <v>Intel - Data Center</v>
      </c>
      <c r="C45" s="1562">
        <f t="shared" si="12"/>
        <v>0.33606284602119751</v>
      </c>
      <c r="D45" s="1562">
        <f t="shared" si="12"/>
        <v>0.3190738638500859</v>
      </c>
      <c r="E45" s="1562">
        <f t="shared" si="12"/>
        <v>0.33051404320841671</v>
      </c>
      <c r="F45" s="255">
        <f t="shared" si="18"/>
        <v>0.33415879882601035</v>
      </c>
      <c r="G45" s="1562">
        <f t="shared" si="19"/>
        <v>0.33420127840496683</v>
      </c>
      <c r="H45" s="1562">
        <f t="shared" si="19"/>
        <v>0.30897500298939673</v>
      </c>
      <c r="I45" s="1562">
        <f t="shared" si="19"/>
        <v>0.32259666984464963</v>
      </c>
      <c r="J45" s="255">
        <f t="shared" si="19"/>
        <v>0.34172760442599953</v>
      </c>
      <c r="K45" s="1562">
        <f t="shared" si="19"/>
        <v>0.25885798523718168</v>
      </c>
      <c r="L45" s="1562">
        <f t="shared" si="19"/>
        <v>0.2647365689844865</v>
      </c>
      <c r="M45" s="1562">
        <f t="shared" si="19"/>
        <v>0.27266760687821473</v>
      </c>
      <c r="N45" s="255">
        <f t="shared" si="19"/>
        <v>0.28671207057817139</v>
      </c>
      <c r="O45" s="1562">
        <f t="shared" si="20"/>
        <v>0.25493348317178871</v>
      </c>
      <c r="P45" s="1562" t="e">
        <f t="shared" si="20"/>
        <v>#DIV/0!</v>
      </c>
      <c r="Q45" s="1562" t="e">
        <f t="shared" si="20"/>
        <v>#DIV/0!</v>
      </c>
      <c r="R45" s="255" t="e">
        <f t="shared" si="20"/>
        <v>#DIV/0!</v>
      </c>
      <c r="S45" s="1562" t="e">
        <f t="shared" si="20"/>
        <v>#DIV/0!</v>
      </c>
      <c r="T45" s="1562" t="e">
        <f t="shared" si="20"/>
        <v>#DIV/0!</v>
      </c>
      <c r="U45" s="1562" t="e">
        <f t="shared" si="20"/>
        <v>#DIV/0!</v>
      </c>
      <c r="V45" s="255" t="e">
        <f t="shared" si="20"/>
        <v>#DIV/0!</v>
      </c>
      <c r="W45" s="1562" t="e">
        <f t="shared" ref="W45:AE45" si="21">W16/W$27</f>
        <v>#DIV/0!</v>
      </c>
      <c r="X45" s="1562" t="e">
        <f t="shared" si="21"/>
        <v>#DIV/0!</v>
      </c>
      <c r="Y45" s="1562" t="e">
        <f t="shared" si="21"/>
        <v>#DIV/0!</v>
      </c>
      <c r="Z45" s="255" t="e">
        <f t="shared" si="21"/>
        <v>#DIV/0!</v>
      </c>
      <c r="AA45" s="1562" t="e">
        <f t="shared" si="21"/>
        <v>#DIV/0!</v>
      </c>
      <c r="AB45" s="1562" t="e">
        <f t="shared" si="21"/>
        <v>#DIV/0!</v>
      </c>
      <c r="AC45" s="1562" t="e">
        <f t="shared" si="21"/>
        <v>#DIV/0!</v>
      </c>
      <c r="AD45" s="255" t="e">
        <f t="shared" si="21"/>
        <v>#DIV/0!</v>
      </c>
      <c r="AE45" s="1562" t="e">
        <f t="shared" si="21"/>
        <v>#DIV/0!</v>
      </c>
      <c r="AF45" s="1562" t="e">
        <f t="shared" ref="AF45:AG45" si="22">AF16/AF$27</f>
        <v>#DIV/0!</v>
      </c>
      <c r="AG45" s="255" t="e">
        <f t="shared" si="22"/>
        <v>#DIV/0!</v>
      </c>
      <c r="AI45" s="1566"/>
      <c r="AJ45" s="1566"/>
      <c r="AK45" s="41"/>
      <c r="AL45" s="41"/>
      <c r="AM45" s="41"/>
      <c r="AN45" s="41"/>
      <c r="AO45" s="41"/>
      <c r="AP45" s="41"/>
    </row>
    <row r="46" spans="2:43">
      <c r="B46" s="39" t="str">
        <f t="shared" si="9"/>
        <v>Linear</v>
      </c>
      <c r="C46" s="1562">
        <f t="shared" si="12"/>
        <v>3.0348180941144054E-2</v>
      </c>
      <c r="D46" s="1562">
        <f t="shared" si="12"/>
        <v>2.9615157211633127E-2</v>
      </c>
      <c r="E46" s="1562">
        <f t="shared" si="12"/>
        <v>2.7208102324004182E-2</v>
      </c>
      <c r="F46" s="255">
        <f t="shared" si="18"/>
        <v>2.7656550376090668E-2</v>
      </c>
      <c r="G46" s="1565" t="str">
        <f>G17</f>
        <v>acquired by Analog Devices</v>
      </c>
      <c r="H46" s="1548"/>
      <c r="I46" s="1548"/>
      <c r="J46" s="406"/>
      <c r="K46" s="1565"/>
      <c r="L46" s="1548"/>
      <c r="M46" s="1548"/>
      <c r="N46" s="406"/>
      <c r="O46" s="1565"/>
      <c r="P46" s="1548"/>
      <c r="Q46" s="1548"/>
      <c r="R46" s="406"/>
      <c r="S46" s="1565"/>
      <c r="T46" s="1548"/>
      <c r="U46" s="1548"/>
      <c r="V46" s="406"/>
      <c r="W46" s="1565"/>
      <c r="X46" s="1548"/>
      <c r="Y46" s="1548"/>
      <c r="Z46" s="406"/>
      <c r="AA46" s="1565"/>
      <c r="AB46" s="1548"/>
      <c r="AC46" s="1548"/>
      <c r="AD46" s="1564"/>
      <c r="AE46" s="692"/>
      <c r="AF46" s="692"/>
      <c r="AG46" s="1564"/>
    </row>
    <row r="47" spans="2:43">
      <c r="B47" s="39" t="str">
        <f t="shared" si="9"/>
        <v>MACOM</v>
      </c>
      <c r="C47" s="1562">
        <f t="shared" si="12"/>
        <v>1.1225625149165185E-2</v>
      </c>
      <c r="D47" s="1562">
        <f t="shared" si="12"/>
        <v>1.1274154479073435E-2</v>
      </c>
      <c r="E47" s="1562">
        <f t="shared" si="12"/>
        <v>1.1111733685144259E-2</v>
      </c>
      <c r="F47" s="255">
        <f t="shared" si="18"/>
        <v>1.1180307598845163E-2</v>
      </c>
      <c r="G47" s="1562">
        <f t="shared" ref="G47:AE47" si="23">G18/G$27</f>
        <v>1.3685777703696354E-2</v>
      </c>
      <c r="H47" s="1562">
        <f t="shared" si="23"/>
        <v>1.3749811660937106E-2</v>
      </c>
      <c r="I47" s="1562">
        <f t="shared" si="23"/>
        <v>1.0953868678657682E-2</v>
      </c>
      <c r="J47" s="255">
        <f t="shared" si="23"/>
        <v>8.0197628412407625E-3</v>
      </c>
      <c r="K47" s="1562">
        <f t="shared" si="23"/>
        <v>7.4390265554958816E-3</v>
      </c>
      <c r="L47" s="1562">
        <f t="shared" si="23"/>
        <v>6.5777185509153235E-3</v>
      </c>
      <c r="M47" s="1562">
        <f t="shared" si="23"/>
        <v>6.7580442866727094E-3</v>
      </c>
      <c r="N47" s="255">
        <f t="shared" si="23"/>
        <v>7.0972987962793247E-3</v>
      </c>
      <c r="O47" s="1562">
        <f t="shared" si="23"/>
        <v>6.3213098378310873E-3</v>
      </c>
      <c r="P47" s="1562" t="e">
        <f t="shared" si="23"/>
        <v>#DIV/0!</v>
      </c>
      <c r="Q47" s="1562" t="e">
        <f t="shared" si="23"/>
        <v>#DIV/0!</v>
      </c>
      <c r="R47" s="255" t="e">
        <f t="shared" si="23"/>
        <v>#DIV/0!</v>
      </c>
      <c r="S47" s="1562" t="e">
        <f t="shared" si="23"/>
        <v>#DIV/0!</v>
      </c>
      <c r="T47" s="1562" t="e">
        <f t="shared" si="23"/>
        <v>#DIV/0!</v>
      </c>
      <c r="U47" s="1562" t="e">
        <f t="shared" si="23"/>
        <v>#DIV/0!</v>
      </c>
      <c r="V47" s="255" t="e">
        <f t="shared" si="23"/>
        <v>#DIV/0!</v>
      </c>
      <c r="W47" s="1562" t="e">
        <f t="shared" si="23"/>
        <v>#DIV/0!</v>
      </c>
      <c r="X47" s="1562" t="e">
        <f t="shared" si="23"/>
        <v>#DIV/0!</v>
      </c>
      <c r="Y47" s="1562" t="e">
        <f t="shared" si="23"/>
        <v>#DIV/0!</v>
      </c>
      <c r="Z47" s="255" t="e">
        <f t="shared" si="23"/>
        <v>#DIV/0!</v>
      </c>
      <c r="AA47" s="1562" t="e">
        <f t="shared" si="23"/>
        <v>#DIV/0!</v>
      </c>
      <c r="AB47" s="1562" t="e">
        <f t="shared" si="23"/>
        <v>#DIV/0!</v>
      </c>
      <c r="AC47" s="1562" t="e">
        <f t="shared" si="23"/>
        <v>#DIV/0!</v>
      </c>
      <c r="AD47" s="255" t="e">
        <f t="shared" si="23"/>
        <v>#DIV/0!</v>
      </c>
      <c r="AE47" s="1562" t="e">
        <f t="shared" si="23"/>
        <v>#DIV/0!</v>
      </c>
      <c r="AF47" s="1562" t="e">
        <f t="shared" ref="AF47:AG47" si="24">AF18/AF$27</f>
        <v>#DIV/0!</v>
      </c>
      <c r="AG47" s="255" t="e">
        <f t="shared" si="24"/>
        <v>#DIV/0!</v>
      </c>
    </row>
    <row r="48" spans="2:43">
      <c r="B48" s="39" t="str">
        <f t="shared" si="9"/>
        <v>Marvell</v>
      </c>
      <c r="C48" s="1562">
        <f t="shared" si="12"/>
        <v>4.3615058035759317E-2</v>
      </c>
      <c r="D48" s="1562">
        <f t="shared" si="12"/>
        <v>4.7619416978868047E-2</v>
      </c>
      <c r="E48" s="1562">
        <f t="shared" si="12"/>
        <v>4.5553014321547521E-2</v>
      </c>
      <c r="F48" s="255">
        <f t="shared" si="18"/>
        <v>4.1999708150924922E-2</v>
      </c>
      <c r="G48" s="1562">
        <f t="shared" ref="G48:AE48" si="25">G19/G$27</f>
        <v>4.25974243896542E-2</v>
      </c>
      <c r="H48" s="1562">
        <f t="shared" si="25"/>
        <v>4.273847965641301E-2</v>
      </c>
      <c r="I48" s="1562">
        <f t="shared" si="25"/>
        <v>4.0574892411958621E-2</v>
      </c>
      <c r="J48" s="255">
        <f t="shared" si="25"/>
        <v>3.7650031659260071E-2</v>
      </c>
      <c r="K48" s="1562">
        <f t="shared" si="25"/>
        <v>2.990324082383309E-2</v>
      </c>
      <c r="L48" s="1562">
        <f t="shared" si="25"/>
        <v>3.1741194217168624E-2</v>
      </c>
      <c r="M48" s="1562">
        <f t="shared" si="25"/>
        <v>3.8041645819887136E-2</v>
      </c>
      <c r="N48" s="255">
        <f t="shared" si="25"/>
        <v>3.5016474193563553E-2</v>
      </c>
      <c r="O48" s="1562">
        <f t="shared" si="25"/>
        <v>3.444203384892329E-2</v>
      </c>
      <c r="P48" s="1562" t="e">
        <f t="shared" si="25"/>
        <v>#DIV/0!</v>
      </c>
      <c r="Q48" s="1562" t="e">
        <f t="shared" si="25"/>
        <v>#DIV/0!</v>
      </c>
      <c r="R48" s="255" t="e">
        <f t="shared" si="25"/>
        <v>#DIV/0!</v>
      </c>
      <c r="S48" s="1562" t="e">
        <f t="shared" si="25"/>
        <v>#DIV/0!</v>
      </c>
      <c r="T48" s="1562" t="e">
        <f t="shared" si="25"/>
        <v>#DIV/0!</v>
      </c>
      <c r="U48" s="1562" t="e">
        <f t="shared" si="25"/>
        <v>#DIV/0!</v>
      </c>
      <c r="V48" s="255" t="e">
        <f t="shared" si="25"/>
        <v>#DIV/0!</v>
      </c>
      <c r="W48" s="1562" t="e">
        <f t="shared" si="25"/>
        <v>#DIV/0!</v>
      </c>
      <c r="X48" s="1562" t="e">
        <f t="shared" si="25"/>
        <v>#DIV/0!</v>
      </c>
      <c r="Y48" s="1562" t="e">
        <f t="shared" si="25"/>
        <v>#DIV/0!</v>
      </c>
      <c r="Z48" s="255" t="e">
        <f t="shared" si="25"/>
        <v>#DIV/0!</v>
      </c>
      <c r="AA48" s="1562" t="e">
        <f t="shared" si="25"/>
        <v>#DIV/0!</v>
      </c>
      <c r="AB48" s="1562" t="e">
        <f t="shared" si="25"/>
        <v>#DIV/0!</v>
      </c>
      <c r="AC48" s="1562" t="e">
        <f t="shared" si="25"/>
        <v>#DIV/0!</v>
      </c>
      <c r="AD48" s="255" t="e">
        <f t="shared" si="25"/>
        <v>#DIV/0!</v>
      </c>
      <c r="AE48" s="1562" t="e">
        <f t="shared" si="25"/>
        <v>#DIV/0!</v>
      </c>
      <c r="AF48" s="1562" t="e">
        <f t="shared" ref="AF48:AG48" si="26">AF19/AF$27</f>
        <v>#DIV/0!</v>
      </c>
      <c r="AG48" s="255" t="e">
        <f t="shared" si="26"/>
        <v>#DIV/0!</v>
      </c>
    </row>
    <row r="49" spans="2:33">
      <c r="B49" s="39" t="str">
        <f t="shared" si="9"/>
        <v>Maxim</v>
      </c>
      <c r="C49" s="1562">
        <f t="shared" si="12"/>
        <v>4.6661389160607636E-2</v>
      </c>
      <c r="D49" s="1562">
        <f t="shared" si="12"/>
        <v>4.4856539990426901E-2</v>
      </c>
      <c r="E49" s="1562">
        <f t="shared" si="12"/>
        <v>4.085217610242297E-2</v>
      </c>
      <c r="F49" s="255">
        <f t="shared" si="18"/>
        <v>4.0528615045813718E-2</v>
      </c>
      <c r="G49" s="1562">
        <f t="shared" ref="G49:X49" si="27">G20/G$27</f>
        <v>4.2747461935417001E-2</v>
      </c>
      <c r="H49" s="1562">
        <f t="shared" si="27"/>
        <v>4.254413353147686E-2</v>
      </c>
      <c r="I49" s="1562">
        <f t="shared" si="27"/>
        <v>3.7900236838671129E-2</v>
      </c>
      <c r="J49" s="255">
        <f t="shared" si="27"/>
        <v>3.8139788168648818E-2</v>
      </c>
      <c r="K49" s="1562">
        <f t="shared" si="27"/>
        <v>3.207776659664708E-2</v>
      </c>
      <c r="L49" s="1562">
        <f t="shared" si="27"/>
        <v>3.0207067507443428E-2</v>
      </c>
      <c r="M49" s="1562">
        <f t="shared" si="27"/>
        <v>2.8518349703000163E-2</v>
      </c>
      <c r="N49" s="255">
        <f t="shared" si="27"/>
        <v>2.7120141757968015E-2</v>
      </c>
      <c r="O49" s="1562">
        <f t="shared" si="27"/>
        <v>2.8198764873287648E-2</v>
      </c>
      <c r="P49" s="1562" t="e">
        <f t="shared" si="27"/>
        <v>#DIV/0!</v>
      </c>
      <c r="Q49" s="1562" t="e">
        <f t="shared" si="27"/>
        <v>#DIV/0!</v>
      </c>
      <c r="R49" s="255" t="e">
        <f t="shared" si="27"/>
        <v>#DIV/0!</v>
      </c>
      <c r="S49" s="1562" t="e">
        <f t="shared" si="27"/>
        <v>#DIV/0!</v>
      </c>
      <c r="T49" s="1562" t="e">
        <f t="shared" si="27"/>
        <v>#DIV/0!</v>
      </c>
      <c r="U49" s="1562" t="e">
        <f t="shared" si="27"/>
        <v>#DIV/0!</v>
      </c>
      <c r="V49" s="255" t="e">
        <f t="shared" si="27"/>
        <v>#DIV/0!</v>
      </c>
      <c r="W49" s="1562" t="e">
        <f t="shared" si="27"/>
        <v>#DIV/0!</v>
      </c>
      <c r="X49" s="1562" t="e">
        <f t="shared" si="27"/>
        <v>#DIV/0!</v>
      </c>
      <c r="Y49" s="1548"/>
      <c r="Z49" s="406"/>
      <c r="AA49" s="1565"/>
      <c r="AB49" s="1548"/>
      <c r="AC49" s="1548"/>
      <c r="AD49" s="1564"/>
      <c r="AE49" s="692"/>
      <c r="AF49" s="692"/>
      <c r="AG49" s="1564"/>
    </row>
    <row r="50" spans="2:33">
      <c r="B50" s="39" t="str">
        <f t="shared" si="9"/>
        <v>Maxlinear</v>
      </c>
      <c r="C50" s="1562">
        <f t="shared" si="12"/>
        <v>0</v>
      </c>
      <c r="D50" s="1562">
        <f t="shared" si="12"/>
        <v>0</v>
      </c>
      <c r="E50" s="1562">
        <f t="shared" si="12"/>
        <v>0</v>
      </c>
      <c r="F50" s="255">
        <f t="shared" si="18"/>
        <v>0</v>
      </c>
      <c r="G50" s="1562">
        <f t="shared" ref="G50:X50" si="28">G21/G$27</f>
        <v>0</v>
      </c>
      <c r="H50" s="1562">
        <f t="shared" si="28"/>
        <v>0</v>
      </c>
      <c r="I50" s="1562">
        <f t="shared" si="28"/>
        <v>0</v>
      </c>
      <c r="J50" s="255">
        <f t="shared" si="28"/>
        <v>0</v>
      </c>
      <c r="K50" s="1562">
        <f t="shared" si="28"/>
        <v>5.4826556494914488E-3</v>
      </c>
      <c r="L50" s="1562">
        <f t="shared" si="28"/>
        <v>4.8440256007752517E-3</v>
      </c>
      <c r="M50" s="1562">
        <f t="shared" si="28"/>
        <v>3.7999136492978748E-3</v>
      </c>
      <c r="N50" s="255">
        <f t="shared" si="28"/>
        <v>4.1173733414176742E-3</v>
      </c>
      <c r="O50" s="1562">
        <f t="shared" si="28"/>
        <v>4.4015046278231265E-3</v>
      </c>
      <c r="P50" s="1562" t="e">
        <f t="shared" si="28"/>
        <v>#DIV/0!</v>
      </c>
      <c r="Q50" s="1562" t="e">
        <f t="shared" si="28"/>
        <v>#DIV/0!</v>
      </c>
      <c r="R50" s="255" t="e">
        <f t="shared" si="28"/>
        <v>#DIV/0!</v>
      </c>
      <c r="S50" s="1562" t="e">
        <f t="shared" si="28"/>
        <v>#DIV/0!</v>
      </c>
      <c r="T50" s="1562" t="e">
        <f t="shared" si="28"/>
        <v>#DIV/0!</v>
      </c>
      <c r="U50" s="1562" t="e">
        <f t="shared" si="28"/>
        <v>#DIV/0!</v>
      </c>
      <c r="V50" s="255" t="e">
        <f t="shared" si="28"/>
        <v>#DIV/0!</v>
      </c>
      <c r="W50" s="1562" t="e">
        <f t="shared" si="28"/>
        <v>#DIV/0!</v>
      </c>
      <c r="X50" s="1562" t="e">
        <f t="shared" si="28"/>
        <v>#DIV/0!</v>
      </c>
      <c r="Y50" s="1562" t="e">
        <f t="shared" ref="Y50:AE51" si="29">Y21/Y$27</f>
        <v>#DIV/0!</v>
      </c>
      <c r="Z50" s="255" t="e">
        <f t="shared" si="29"/>
        <v>#DIV/0!</v>
      </c>
      <c r="AA50" s="1562" t="e">
        <f t="shared" si="29"/>
        <v>#DIV/0!</v>
      </c>
      <c r="AB50" s="1562" t="e">
        <f t="shared" si="29"/>
        <v>#DIV/0!</v>
      </c>
      <c r="AC50" s="1562" t="e">
        <f t="shared" si="29"/>
        <v>#DIV/0!</v>
      </c>
      <c r="AD50" s="255" t="e">
        <f t="shared" si="29"/>
        <v>#DIV/0!</v>
      </c>
      <c r="AE50" s="1562" t="e">
        <f t="shared" si="29"/>
        <v>#DIV/0!</v>
      </c>
      <c r="AF50" s="1562" t="e">
        <f t="shared" ref="AF50:AG50" si="30">AF21/AF$27</f>
        <v>#DIV/0!</v>
      </c>
      <c r="AG50" s="255" t="e">
        <f t="shared" si="30"/>
        <v>#DIV/0!</v>
      </c>
    </row>
    <row r="51" spans="2:33">
      <c r="B51" s="39" t="str">
        <f t="shared" si="9"/>
        <v>Microchip</v>
      </c>
      <c r="C51" s="1562">
        <f t="shared" si="12"/>
        <v>4.6892490142492679E-2</v>
      </c>
      <c r="D51" s="1562">
        <f t="shared" si="12"/>
        <v>6.3334783725944352E-2</v>
      </c>
      <c r="E51" s="1562">
        <f t="shared" si="12"/>
        <v>6.3403101243393545E-2</v>
      </c>
      <c r="F51" s="255">
        <f t="shared" si="18"/>
        <v>6.1339622421693073E-2</v>
      </c>
      <c r="G51" s="1562">
        <f t="shared" ref="G51:X51" si="31">G22/G$27</f>
        <v>6.6391812777918557E-2</v>
      </c>
      <c r="H51" s="1562">
        <f t="shared" si="31"/>
        <v>6.869252125015865E-2</v>
      </c>
      <c r="I51" s="1562">
        <f t="shared" si="31"/>
        <v>6.6643761497103951E-2</v>
      </c>
      <c r="J51" s="255">
        <f t="shared" si="31"/>
        <v>6.085516150886984E-2</v>
      </c>
      <c r="K51" s="1562">
        <f t="shared" si="31"/>
        <v>4.9555923043113501E-2</v>
      </c>
      <c r="L51" s="1562">
        <f t="shared" si="31"/>
        <v>5.7870870098789357E-2</v>
      </c>
      <c r="M51" s="1562">
        <f t="shared" si="31"/>
        <v>6.405453781253799E-2</v>
      </c>
      <c r="N51" s="255">
        <f t="shared" si="31"/>
        <v>6.4627720827046833E-2</v>
      </c>
      <c r="O51" s="1562">
        <f t="shared" si="31"/>
        <v>6.9196231146628359E-2</v>
      </c>
      <c r="P51" s="1562" t="e">
        <f t="shared" si="31"/>
        <v>#DIV/0!</v>
      </c>
      <c r="Q51" s="1562" t="e">
        <f t="shared" si="31"/>
        <v>#DIV/0!</v>
      </c>
      <c r="R51" s="255" t="e">
        <f t="shared" si="31"/>
        <v>#DIV/0!</v>
      </c>
      <c r="S51" s="1562" t="e">
        <f t="shared" si="31"/>
        <v>#DIV/0!</v>
      </c>
      <c r="T51" s="1562" t="e">
        <f t="shared" si="31"/>
        <v>#DIV/0!</v>
      </c>
      <c r="U51" s="1562" t="e">
        <f t="shared" si="31"/>
        <v>#DIV/0!</v>
      </c>
      <c r="V51" s="255" t="e">
        <f t="shared" si="31"/>
        <v>#DIV/0!</v>
      </c>
      <c r="W51" s="1562" t="e">
        <f t="shared" si="31"/>
        <v>#DIV/0!</v>
      </c>
      <c r="X51" s="1562" t="e">
        <f t="shared" si="31"/>
        <v>#DIV/0!</v>
      </c>
      <c r="Y51" s="1562" t="e">
        <f t="shared" si="29"/>
        <v>#DIV/0!</v>
      </c>
      <c r="Z51" s="255" t="e">
        <f t="shared" si="29"/>
        <v>#DIV/0!</v>
      </c>
      <c r="AA51" s="1562" t="e">
        <f t="shared" si="29"/>
        <v>#DIV/0!</v>
      </c>
      <c r="AB51" s="1562" t="e">
        <f t="shared" si="29"/>
        <v>#DIV/0!</v>
      </c>
      <c r="AC51" s="1562" t="e">
        <f t="shared" si="29"/>
        <v>#DIV/0!</v>
      </c>
      <c r="AD51" s="255" t="e">
        <f t="shared" si="29"/>
        <v>#DIV/0!</v>
      </c>
      <c r="AE51" s="1562" t="e">
        <f t="shared" si="29"/>
        <v>#DIV/0!</v>
      </c>
      <c r="AF51" s="1562" t="e">
        <f t="shared" ref="AF51:AG51" si="32">AF22/AF$27</f>
        <v>#DIV/0!</v>
      </c>
      <c r="AG51" s="255" t="e">
        <f t="shared" si="32"/>
        <v>#DIV/0!</v>
      </c>
    </row>
    <row r="52" spans="2:33">
      <c r="B52" s="39" t="str">
        <f t="shared" si="9"/>
        <v>Microsemi</v>
      </c>
      <c r="C52" s="1562">
        <f t="shared" si="12"/>
        <v>3.7337515000554655E-2</v>
      </c>
      <c r="D52" s="1562">
        <f t="shared" si="12"/>
        <v>3.4181391821437063E-2</v>
      </c>
      <c r="E52" s="1562">
        <f t="shared" si="12"/>
        <v>3.2753053907553578E-2</v>
      </c>
      <c r="F52" s="255">
        <f t="shared" si="18"/>
        <v>3.2069829691424287E-2</v>
      </c>
      <c r="G52" s="1562">
        <f t="shared" ref="G52:J56" si="33">G23/G$27</f>
        <v>3.2574327950167209E-2</v>
      </c>
      <c r="H52" s="1562">
        <f t="shared" si="33"/>
        <v>3.2374530848454403E-2</v>
      </c>
      <c r="I52" s="1562">
        <f t="shared" si="33"/>
        <v>3.1291876974931014E-2</v>
      </c>
      <c r="J52" s="255">
        <f t="shared" si="33"/>
        <v>2.8711975362915403E-2</v>
      </c>
      <c r="K52" s="1548"/>
      <c r="L52" s="1548"/>
      <c r="M52" s="1548"/>
      <c r="N52" s="406"/>
      <c r="O52" s="1548"/>
      <c r="P52" s="1548"/>
      <c r="Q52" s="1548"/>
      <c r="R52" s="406"/>
      <c r="S52" s="1548"/>
      <c r="T52" s="1548"/>
      <c r="U52" s="1548"/>
      <c r="V52" s="406"/>
      <c r="W52" s="1548"/>
      <c r="X52" s="1548"/>
      <c r="Y52" s="1548"/>
      <c r="Z52" s="406"/>
      <c r="AA52" s="1548"/>
      <c r="AB52" s="1548"/>
      <c r="AC52" s="1548"/>
      <c r="AD52" s="1564"/>
      <c r="AE52" s="692"/>
      <c r="AF52" s="692"/>
      <c r="AG52" s="1564"/>
    </row>
    <row r="53" spans="2:33">
      <c r="B53" s="39" t="str">
        <f t="shared" si="9"/>
        <v>Nvidia</v>
      </c>
      <c r="C53" s="1562">
        <f t="shared" si="12"/>
        <v>0</v>
      </c>
      <c r="D53" s="1562">
        <f t="shared" si="12"/>
        <v>0</v>
      </c>
      <c r="E53" s="1562">
        <f t="shared" si="12"/>
        <v>0</v>
      </c>
      <c r="F53" s="255">
        <f t="shared" si="18"/>
        <v>0</v>
      </c>
      <c r="G53" s="1562">
        <f t="shared" si="33"/>
        <v>0</v>
      </c>
      <c r="H53" s="1562">
        <f t="shared" si="33"/>
        <v>0</v>
      </c>
      <c r="I53" s="1562">
        <f t="shared" si="33"/>
        <v>0</v>
      </c>
      <c r="J53" s="255">
        <f t="shared" si="33"/>
        <v>0</v>
      </c>
      <c r="K53" s="1562">
        <f t="shared" ref="K53:AE53" si="34">K24/K$27</f>
        <v>0.15860862794337824</v>
      </c>
      <c r="L53" s="1562">
        <f t="shared" si="34"/>
        <v>0.14899482878690781</v>
      </c>
      <c r="M53" s="1562">
        <f t="shared" si="34"/>
        <v>0.14218945204583625</v>
      </c>
      <c r="N53" s="255">
        <f t="shared" si="34"/>
        <v>0.10363936321719146</v>
      </c>
      <c r="O53" s="1562">
        <f t="shared" si="34"/>
        <v>0.11550047604925937</v>
      </c>
      <c r="P53" s="1562" t="e">
        <f t="shared" si="34"/>
        <v>#DIV/0!</v>
      </c>
      <c r="Q53" s="1562" t="e">
        <f t="shared" si="34"/>
        <v>#DIV/0!</v>
      </c>
      <c r="R53" s="255" t="e">
        <f t="shared" si="34"/>
        <v>#DIV/0!</v>
      </c>
      <c r="S53" s="1562" t="e">
        <f t="shared" si="34"/>
        <v>#DIV/0!</v>
      </c>
      <c r="T53" s="1562" t="e">
        <f t="shared" si="34"/>
        <v>#DIV/0!</v>
      </c>
      <c r="U53" s="1562" t="e">
        <f t="shared" si="34"/>
        <v>#DIV/0!</v>
      </c>
      <c r="V53" s="255" t="e">
        <f t="shared" si="34"/>
        <v>#DIV/0!</v>
      </c>
      <c r="W53" s="1562" t="e">
        <f t="shared" si="34"/>
        <v>#DIV/0!</v>
      </c>
      <c r="X53" s="1562" t="e">
        <f t="shared" si="34"/>
        <v>#DIV/0!</v>
      </c>
      <c r="Y53" s="1562" t="e">
        <f t="shared" si="34"/>
        <v>#DIV/0!</v>
      </c>
      <c r="Z53" s="255" t="e">
        <f t="shared" si="34"/>
        <v>#DIV/0!</v>
      </c>
      <c r="AA53" s="1562" t="e">
        <f t="shared" si="34"/>
        <v>#DIV/0!</v>
      </c>
      <c r="AB53" s="1562" t="e">
        <f t="shared" si="34"/>
        <v>#DIV/0!</v>
      </c>
      <c r="AC53" s="1562" t="e">
        <f t="shared" si="34"/>
        <v>#DIV/0!</v>
      </c>
      <c r="AD53" s="255" t="e">
        <f t="shared" si="34"/>
        <v>#DIV/0!</v>
      </c>
      <c r="AE53" s="1562" t="e">
        <f t="shared" si="34"/>
        <v>#DIV/0!</v>
      </c>
      <c r="AF53" s="1562" t="e">
        <f t="shared" ref="AF53:AG53" si="35">AF24/AF$27</f>
        <v>#DIV/0!</v>
      </c>
      <c r="AG53" s="255" t="e">
        <f t="shared" si="35"/>
        <v>#DIV/0!</v>
      </c>
    </row>
    <row r="54" spans="2:33">
      <c r="B54" s="39" t="str">
        <f t="shared" si="9"/>
        <v>Semtech</v>
      </c>
      <c r="C54" s="1562">
        <f t="shared" si="12"/>
        <v>1.1013852613037797E-2</v>
      </c>
      <c r="D54" s="1562">
        <f t="shared" si="12"/>
        <v>1.0768643862891773E-2</v>
      </c>
      <c r="E54" s="1562">
        <f t="shared" si="12"/>
        <v>9.983095902193458E-3</v>
      </c>
      <c r="F54" s="255">
        <f t="shared" si="18"/>
        <v>1.029765173577844E-2</v>
      </c>
      <c r="G54" s="1562">
        <f t="shared" si="33"/>
        <v>1.0576323115579014E-2</v>
      </c>
      <c r="H54" s="1562">
        <f t="shared" si="33"/>
        <v>1.0821898949626332E-2</v>
      </c>
      <c r="I54" s="1562">
        <f t="shared" si="33"/>
        <v>9.8954224212918808E-3</v>
      </c>
      <c r="J54" s="255">
        <f t="shared" si="33"/>
        <v>8.6074706525072608E-3</v>
      </c>
      <c r="K54" s="1562">
        <f t="shared" ref="K54:AE54" si="36">K25/K$27</f>
        <v>6.4506282301299905E-3</v>
      </c>
      <c r="L54" s="1562">
        <f t="shared" si="36"/>
        <v>7.7866138332180635E-3</v>
      </c>
      <c r="M54" s="1562">
        <f t="shared" si="36"/>
        <v>7.7576169137236342E-3</v>
      </c>
      <c r="N54" s="255">
        <f t="shared" si="36"/>
        <v>7.5203166053290854E-3</v>
      </c>
      <c r="O54" s="1562">
        <f t="shared" si="36"/>
        <v>6.8363795283210276E-3</v>
      </c>
      <c r="P54" s="1562" t="e">
        <f t="shared" si="36"/>
        <v>#DIV/0!</v>
      </c>
      <c r="Q54" s="1562" t="e">
        <f t="shared" si="36"/>
        <v>#DIV/0!</v>
      </c>
      <c r="R54" s="255" t="e">
        <f t="shared" si="36"/>
        <v>#DIV/0!</v>
      </c>
      <c r="S54" s="1562" t="e">
        <f t="shared" si="36"/>
        <v>#DIV/0!</v>
      </c>
      <c r="T54" s="1562" t="e">
        <f t="shared" si="36"/>
        <v>#DIV/0!</v>
      </c>
      <c r="U54" s="1562" t="e">
        <f t="shared" si="36"/>
        <v>#DIV/0!</v>
      </c>
      <c r="V54" s="255" t="e">
        <f t="shared" si="36"/>
        <v>#DIV/0!</v>
      </c>
      <c r="W54" s="1562" t="e">
        <f t="shared" si="36"/>
        <v>#DIV/0!</v>
      </c>
      <c r="X54" s="1562" t="e">
        <f t="shared" si="36"/>
        <v>#DIV/0!</v>
      </c>
      <c r="Y54" s="1562" t="e">
        <f t="shared" si="36"/>
        <v>#DIV/0!</v>
      </c>
      <c r="Z54" s="255" t="e">
        <f t="shared" si="36"/>
        <v>#DIV/0!</v>
      </c>
      <c r="AA54" s="1562" t="e">
        <f t="shared" si="36"/>
        <v>#DIV/0!</v>
      </c>
      <c r="AB54" s="1562" t="e">
        <f t="shared" si="36"/>
        <v>#DIV/0!</v>
      </c>
      <c r="AC54" s="1562" t="e">
        <f t="shared" si="36"/>
        <v>#DIV/0!</v>
      </c>
      <c r="AD54" s="255" t="e">
        <f t="shared" si="36"/>
        <v>#DIV/0!</v>
      </c>
      <c r="AE54" s="1562" t="e">
        <f t="shared" si="36"/>
        <v>#DIV/0!</v>
      </c>
      <c r="AF54" s="1562" t="e">
        <f t="shared" ref="AF54:AG54" si="37">AF25/AF$27</f>
        <v>#DIV/0!</v>
      </c>
      <c r="AG54" s="255" t="e">
        <f t="shared" si="37"/>
        <v>#DIV/0!</v>
      </c>
    </row>
    <row r="55" spans="2:33">
      <c r="B55" s="39" t="str">
        <f t="shared" si="9"/>
        <v>Xilinx</v>
      </c>
      <c r="C55" s="1562">
        <f t="shared" si="12"/>
        <v>4.7990850081851784E-2</v>
      </c>
      <c r="D55" s="1562">
        <f t="shared" si="12"/>
        <v>4.5557757694691434E-2</v>
      </c>
      <c r="E55" s="1562">
        <f t="shared" si="12"/>
        <v>4.2148181190389045E-2</v>
      </c>
      <c r="F55" s="255">
        <f t="shared" si="18"/>
        <v>4.3103027979758325E-2</v>
      </c>
      <c r="G55" s="1562">
        <f t="shared" si="33"/>
        <v>4.482371679663448E-2</v>
      </c>
      <c r="H55" s="1562">
        <f t="shared" si="33"/>
        <v>4.3494662760710026E-2</v>
      </c>
      <c r="I55" s="1562">
        <f t="shared" si="33"/>
        <v>4.0785633624238773E-2</v>
      </c>
      <c r="J55" s="255">
        <f t="shared" si="33"/>
        <v>3.8629544678037572E-2</v>
      </c>
      <c r="K55" s="1562">
        <f t="shared" ref="K55:Y55" si="38">K26/K$27</f>
        <v>3.3277742006622188E-2</v>
      </c>
      <c r="L55" s="1562">
        <f t="shared" si="38"/>
        <v>3.265052544889404E-2</v>
      </c>
      <c r="M55" s="1562">
        <f t="shared" si="38"/>
        <v>3.3357171634111719E-2</v>
      </c>
      <c r="N55" s="255">
        <f t="shared" si="38"/>
        <v>3.760158302664543E-2</v>
      </c>
      <c r="O55" s="1562">
        <f t="shared" si="38"/>
        <v>4.3078555931885927E-2</v>
      </c>
      <c r="P55" s="1562" t="e">
        <f t="shared" si="38"/>
        <v>#DIV/0!</v>
      </c>
      <c r="Q55" s="1562" t="e">
        <f t="shared" si="38"/>
        <v>#DIV/0!</v>
      </c>
      <c r="R55" s="255" t="e">
        <f t="shared" si="38"/>
        <v>#DIV/0!</v>
      </c>
      <c r="S55" s="1562" t="e">
        <f t="shared" si="38"/>
        <v>#DIV/0!</v>
      </c>
      <c r="T55" s="1562" t="e">
        <f t="shared" si="38"/>
        <v>#DIV/0!</v>
      </c>
      <c r="U55" s="1562" t="e">
        <f t="shared" si="38"/>
        <v>#DIV/0!</v>
      </c>
      <c r="V55" s="255" t="e">
        <f t="shared" si="38"/>
        <v>#DIV/0!</v>
      </c>
      <c r="W55" s="1562" t="e">
        <f t="shared" si="38"/>
        <v>#DIV/0!</v>
      </c>
      <c r="X55" s="1562" t="e">
        <f t="shared" si="38"/>
        <v>#DIV/0!</v>
      </c>
      <c r="Y55" s="1562" t="e">
        <f t="shared" si="38"/>
        <v>#DIV/0!</v>
      </c>
      <c r="Z55" s="406"/>
      <c r="AA55" s="1548"/>
      <c r="AB55" s="1548"/>
      <c r="AC55" s="1548"/>
      <c r="AD55" s="1564"/>
      <c r="AE55" s="692"/>
      <c r="AF55" s="692"/>
      <c r="AG55" s="1564"/>
    </row>
    <row r="56" spans="2:33">
      <c r="B56" s="1688" t="str">
        <f t="shared" si="9"/>
        <v>Total</v>
      </c>
      <c r="C56" s="1574">
        <f t="shared" si="12"/>
        <v>1</v>
      </c>
      <c r="D56" s="1574">
        <f t="shared" si="12"/>
        <v>1</v>
      </c>
      <c r="E56" s="1574">
        <f t="shared" si="12"/>
        <v>1</v>
      </c>
      <c r="F56" s="1575">
        <f t="shared" si="18"/>
        <v>1</v>
      </c>
      <c r="G56" s="1574">
        <f t="shared" si="33"/>
        <v>1</v>
      </c>
      <c r="H56" s="1574">
        <f t="shared" si="33"/>
        <v>1</v>
      </c>
      <c r="I56" s="1574">
        <f t="shared" si="33"/>
        <v>1</v>
      </c>
      <c r="J56" s="1575">
        <f t="shared" si="33"/>
        <v>1</v>
      </c>
      <c r="K56" s="1574">
        <f t="shared" ref="K56:Y56" si="39">K27/K$27</f>
        <v>1</v>
      </c>
      <c r="L56" s="1574">
        <f t="shared" si="39"/>
        <v>1</v>
      </c>
      <c r="M56" s="1574">
        <f t="shared" si="39"/>
        <v>1</v>
      </c>
      <c r="N56" s="1575">
        <f t="shared" si="39"/>
        <v>1</v>
      </c>
      <c r="O56" s="1574">
        <f t="shared" si="39"/>
        <v>1</v>
      </c>
      <c r="P56" s="1574" t="e">
        <f t="shared" si="39"/>
        <v>#DIV/0!</v>
      </c>
      <c r="Q56" s="1574" t="e">
        <f t="shared" si="39"/>
        <v>#DIV/0!</v>
      </c>
      <c r="R56" s="1575" t="e">
        <f t="shared" si="39"/>
        <v>#DIV/0!</v>
      </c>
      <c r="S56" s="1574" t="e">
        <f t="shared" si="39"/>
        <v>#DIV/0!</v>
      </c>
      <c r="T56" s="1574" t="e">
        <f t="shared" si="39"/>
        <v>#DIV/0!</v>
      </c>
      <c r="U56" s="1574" t="e">
        <f t="shared" si="39"/>
        <v>#DIV/0!</v>
      </c>
      <c r="V56" s="1575" t="e">
        <f t="shared" si="39"/>
        <v>#DIV/0!</v>
      </c>
      <c r="W56" s="1574" t="e">
        <f t="shared" si="39"/>
        <v>#DIV/0!</v>
      </c>
      <c r="X56" s="1574" t="e">
        <f t="shared" si="39"/>
        <v>#DIV/0!</v>
      </c>
      <c r="Y56" s="1574" t="e">
        <f t="shared" si="39"/>
        <v>#DIV/0!</v>
      </c>
      <c r="Z56" s="1575" t="e">
        <f t="shared" ref="Z56:AE56" si="40">Z27/Z$27</f>
        <v>#DIV/0!</v>
      </c>
      <c r="AA56" s="1574" t="e">
        <f t="shared" si="40"/>
        <v>#DIV/0!</v>
      </c>
      <c r="AB56" s="1574" t="e">
        <f t="shared" si="40"/>
        <v>#DIV/0!</v>
      </c>
      <c r="AC56" s="1574" t="e">
        <f t="shared" si="40"/>
        <v>#DIV/0!</v>
      </c>
      <c r="AD56" s="1575" t="e">
        <f t="shared" si="40"/>
        <v>#DIV/0!</v>
      </c>
      <c r="AE56" s="1574" t="e">
        <f t="shared" si="40"/>
        <v>#DIV/0!</v>
      </c>
      <c r="AF56" s="1934" t="e">
        <f t="shared" ref="AF56:AG56" si="41">AF27/AF$27</f>
        <v>#DIV/0!</v>
      </c>
      <c r="AG56" s="1575" t="e">
        <f t="shared" si="41"/>
        <v>#DIV/0!</v>
      </c>
    </row>
    <row r="57" spans="2:33">
      <c r="C57" s="5"/>
      <c r="D57" s="5"/>
    </row>
    <row r="58" spans="2:33">
      <c r="D58" s="41"/>
    </row>
    <row r="59" spans="2:33">
      <c r="B59" s="1689" t="s">
        <v>271</v>
      </c>
      <c r="C59" s="1524" t="s">
        <v>96</v>
      </c>
      <c r="D59" s="1525" t="s">
        <v>97</v>
      </c>
      <c r="E59" s="1525" t="s">
        <v>98</v>
      </c>
      <c r="F59" s="1561" t="s">
        <v>99</v>
      </c>
      <c r="G59" s="1478" t="str">
        <f t="shared" ref="G59:AE59" si="42">G7</f>
        <v>1Q 17</v>
      </c>
      <c r="H59" s="1525" t="str">
        <f t="shared" si="42"/>
        <v>2Q 17</v>
      </c>
      <c r="I59" s="1525" t="str">
        <f t="shared" si="42"/>
        <v>3Q 17</v>
      </c>
      <c r="J59" s="1561" t="str">
        <f t="shared" si="42"/>
        <v>4Q 17</v>
      </c>
      <c r="K59" s="1478" t="str">
        <f t="shared" si="42"/>
        <v>1Q 18</v>
      </c>
      <c r="L59" s="1525" t="str">
        <f t="shared" si="42"/>
        <v>2Q 18</v>
      </c>
      <c r="M59" s="1525" t="str">
        <f t="shared" si="42"/>
        <v>3Q 18</v>
      </c>
      <c r="N59" s="1561" t="str">
        <f t="shared" si="42"/>
        <v>4Q 18</v>
      </c>
      <c r="O59" s="1478" t="str">
        <f t="shared" si="42"/>
        <v>1Q 19</v>
      </c>
      <c r="P59" s="1525" t="str">
        <f t="shared" si="42"/>
        <v>2Q 19</v>
      </c>
      <c r="Q59" s="1525" t="str">
        <f t="shared" si="42"/>
        <v>3Q 19</v>
      </c>
      <c r="R59" s="1561" t="str">
        <f t="shared" si="42"/>
        <v>4Q 19</v>
      </c>
      <c r="S59" s="1524" t="str">
        <f t="shared" si="42"/>
        <v>1Q 20</v>
      </c>
      <c r="T59" s="1525" t="str">
        <f t="shared" si="42"/>
        <v>2Q 20</v>
      </c>
      <c r="U59" s="1525" t="str">
        <f t="shared" si="42"/>
        <v>3Q 20</v>
      </c>
      <c r="V59" s="1561" t="str">
        <f t="shared" si="42"/>
        <v>4Q 20</v>
      </c>
      <c r="W59" s="1524" t="str">
        <f t="shared" si="42"/>
        <v>1Q 21</v>
      </c>
      <c r="X59" s="1525" t="str">
        <f t="shared" si="42"/>
        <v>2Q 21</v>
      </c>
      <c r="Y59" s="1525" t="str">
        <f t="shared" si="42"/>
        <v>3Q 21</v>
      </c>
      <c r="Z59" s="1561" t="str">
        <f t="shared" si="42"/>
        <v>4Q 21</v>
      </c>
      <c r="AA59" s="1524" t="str">
        <f t="shared" si="42"/>
        <v>1Q 22</v>
      </c>
      <c r="AB59" s="1525" t="str">
        <f t="shared" si="42"/>
        <v>2Q 22</v>
      </c>
      <c r="AC59" s="1525" t="str">
        <f t="shared" si="42"/>
        <v>3Q 22</v>
      </c>
      <c r="AD59" s="1561" t="str">
        <f t="shared" si="42"/>
        <v>4Q 22</v>
      </c>
      <c r="AE59" s="1635" t="str">
        <f t="shared" si="42"/>
        <v>1Q 23</v>
      </c>
      <c r="AF59" s="1479" t="str">
        <f t="shared" ref="AF59:AG59" si="43">AF7</f>
        <v>2Q 23</v>
      </c>
      <c r="AG59" s="1846" t="str">
        <f t="shared" si="43"/>
        <v>3Q 23</v>
      </c>
    </row>
    <row r="60" spans="2:33">
      <c r="B60" s="1690" t="str">
        <f t="shared" ref="B60:B79" si="44">B8</f>
        <v>AMD</v>
      </c>
      <c r="C60" s="5">
        <v>-0.99837824013787702</v>
      </c>
      <c r="D60" s="5">
        <v>-0.99837475092498396</v>
      </c>
      <c r="E60" s="5">
        <v>-0.99838468001613101</v>
      </c>
      <c r="F60" s="255">
        <v>-0.84940669819599401</v>
      </c>
      <c r="G60" s="5">
        <f t="shared" ref="G60:J61" si="45">SUM(D8:G8)/SUM(D$27:G$27)</f>
        <v>0</v>
      </c>
      <c r="H60" s="5">
        <f t="shared" si="45"/>
        <v>0</v>
      </c>
      <c r="I60" s="5">
        <f t="shared" si="45"/>
        <v>0</v>
      </c>
      <c r="J60" s="255">
        <f t="shared" si="45"/>
        <v>0</v>
      </c>
      <c r="K60" s="359"/>
      <c r="L60" s="359"/>
      <c r="M60" s="359"/>
      <c r="N60" s="255">
        <f>SUM(K8:P8)/SUM(K$27:P$27)</f>
        <v>7.4456019582730862E-2</v>
      </c>
      <c r="O60" s="5">
        <f t="shared" ref="O60:X61" si="46">SUM(L8:O8)/SUM(L$27:O$27)</f>
        <v>7.2767684277002975E-2</v>
      </c>
      <c r="P60" s="5">
        <f t="shared" si="46"/>
        <v>6.9097198810058436E-2</v>
      </c>
      <c r="Q60" s="5">
        <f t="shared" si="46"/>
        <v>6.6450351142323755E-2</v>
      </c>
      <c r="R60" s="255">
        <f t="shared" si="46"/>
        <v>6.6178651141737793E-2</v>
      </c>
      <c r="S60" s="5" t="e">
        <f t="shared" si="46"/>
        <v>#DIV/0!</v>
      </c>
      <c r="T60" s="5" t="e">
        <f t="shared" si="46"/>
        <v>#DIV/0!</v>
      </c>
      <c r="U60" s="5" t="e">
        <f t="shared" si="46"/>
        <v>#DIV/0!</v>
      </c>
      <c r="V60" s="255" t="e">
        <f t="shared" si="46"/>
        <v>#DIV/0!</v>
      </c>
      <c r="W60" s="5" t="e">
        <f t="shared" si="46"/>
        <v>#DIV/0!</v>
      </c>
      <c r="X60" s="5" t="e">
        <f t="shared" si="46"/>
        <v>#DIV/0!</v>
      </c>
      <c r="Y60" s="5" t="e">
        <f t="shared" ref="Y60:AG61" si="47">SUM(V8:Y8)/SUM(V$27:Y$27)</f>
        <v>#DIV/0!</v>
      </c>
      <c r="Z60" s="255" t="e">
        <f t="shared" si="47"/>
        <v>#DIV/0!</v>
      </c>
      <c r="AA60" s="5" t="e">
        <f t="shared" si="47"/>
        <v>#DIV/0!</v>
      </c>
      <c r="AB60" s="5" t="e">
        <f t="shared" si="47"/>
        <v>#DIV/0!</v>
      </c>
      <c r="AC60" s="5" t="e">
        <f t="shared" si="47"/>
        <v>#DIV/0!</v>
      </c>
      <c r="AD60" s="255" t="e">
        <f t="shared" si="47"/>
        <v>#DIV/0!</v>
      </c>
      <c r="AE60" s="1562" t="e">
        <f t="shared" si="47"/>
        <v>#DIV/0!</v>
      </c>
      <c r="AF60" s="1562" t="e">
        <f>SUM(AC8:AF8)/SUM(AC$27:AF$27)</f>
        <v>#DIV/0!</v>
      </c>
      <c r="AG60" s="255" t="e">
        <f>SUM(AD8:AG8)/SUM(AD$27:AG$27)</f>
        <v>#DIV/0!</v>
      </c>
    </row>
    <row r="61" spans="2:33">
      <c r="B61" s="1690" t="str">
        <f t="shared" si="44"/>
        <v>Analog Devices</v>
      </c>
      <c r="C61" s="5">
        <v>1.6217598621230793E-3</v>
      </c>
      <c r="D61" s="5">
        <v>1.6252490750157643E-3</v>
      </c>
      <c r="E61" s="5">
        <v>1.6153199838688738E-3</v>
      </c>
      <c r="F61" s="255">
        <v>0.15059330180400615</v>
      </c>
      <c r="G61" s="5">
        <f t="shared" si="45"/>
        <v>7.4718838842031385E-2</v>
      </c>
      <c r="H61" s="5">
        <f t="shared" si="45"/>
        <v>8.2889220166376343E-2</v>
      </c>
      <c r="I61" s="5">
        <f t="shared" si="45"/>
        <v>9.0337463200226883E-2</v>
      </c>
      <c r="J61" s="255">
        <f t="shared" si="45"/>
        <v>9.5188733539249518E-2</v>
      </c>
      <c r="K61" s="359"/>
      <c r="L61" s="359"/>
      <c r="M61" s="359"/>
      <c r="N61" s="255">
        <f>SUM(K9:P9)/SUM(K$27:P$27)</f>
        <v>7.4501498591981602E-2</v>
      </c>
      <c r="O61" s="5">
        <f t="shared" si="46"/>
        <v>7.4422003897962066E-2</v>
      </c>
      <c r="P61" s="5">
        <f t="shared" si="46"/>
        <v>7.4219044578207327E-2</v>
      </c>
      <c r="Q61" s="5">
        <f t="shared" si="46"/>
        <v>7.5809207732045317E-2</v>
      </c>
      <c r="R61" s="255">
        <f t="shared" si="46"/>
        <v>7.9601679439354422E-2</v>
      </c>
      <c r="S61" s="5" t="e">
        <f t="shared" si="46"/>
        <v>#DIV/0!</v>
      </c>
      <c r="T61" s="5" t="e">
        <f t="shared" si="46"/>
        <v>#DIV/0!</v>
      </c>
      <c r="U61" s="5" t="e">
        <f t="shared" si="46"/>
        <v>#DIV/0!</v>
      </c>
      <c r="V61" s="255" t="e">
        <f t="shared" si="46"/>
        <v>#DIV/0!</v>
      </c>
      <c r="W61" s="5" t="e">
        <f t="shared" si="46"/>
        <v>#DIV/0!</v>
      </c>
      <c r="X61" s="5" t="e">
        <f t="shared" si="46"/>
        <v>#DIV/0!</v>
      </c>
      <c r="Y61" s="5" t="e">
        <f t="shared" si="47"/>
        <v>#DIV/0!</v>
      </c>
      <c r="Z61" s="255" t="e">
        <f t="shared" si="47"/>
        <v>#DIV/0!</v>
      </c>
      <c r="AA61" s="5" t="e">
        <f t="shared" si="47"/>
        <v>#DIV/0!</v>
      </c>
      <c r="AB61" s="5" t="e">
        <f t="shared" si="47"/>
        <v>#DIV/0!</v>
      </c>
      <c r="AC61" s="5" t="e">
        <f t="shared" si="47"/>
        <v>#DIV/0!</v>
      </c>
      <c r="AD61" s="255" t="e">
        <f t="shared" si="47"/>
        <v>#DIV/0!</v>
      </c>
      <c r="AE61" s="1562" t="e">
        <f t="shared" si="47"/>
        <v>#DIV/0!</v>
      </c>
      <c r="AF61" s="1562" t="e">
        <f t="shared" si="47"/>
        <v>#DIV/0!</v>
      </c>
      <c r="AG61" s="255" t="e">
        <f t="shared" si="47"/>
        <v>#DIV/0!</v>
      </c>
    </row>
    <row r="62" spans="2:33">
      <c r="B62" s="1690" t="str">
        <f t="shared" si="44"/>
        <v>AMCC</v>
      </c>
      <c r="C62" s="5">
        <v>1.6217598621230793E-3</v>
      </c>
      <c r="D62" s="5">
        <v>1.6252490750157643E-3</v>
      </c>
      <c r="E62" s="5">
        <v>1.6153199838688738E-3</v>
      </c>
      <c r="F62" s="1565" t="s">
        <v>302</v>
      </c>
      <c r="G62" s="1548"/>
      <c r="H62" s="1548"/>
      <c r="I62" s="1548"/>
      <c r="J62" s="1564"/>
      <c r="K62" s="1548"/>
      <c r="L62" s="1548"/>
      <c r="M62" s="1548"/>
      <c r="N62" s="1564"/>
      <c r="O62" s="1548"/>
      <c r="P62" s="1548"/>
      <c r="Q62" s="1548"/>
      <c r="R62" s="1564"/>
      <c r="S62" s="1548"/>
      <c r="T62" s="1548"/>
      <c r="U62" s="1548"/>
      <c r="V62" s="1564"/>
      <c r="W62" s="1548"/>
      <c r="X62" s="1548"/>
      <c r="Y62" s="1548"/>
      <c r="Z62" s="1564"/>
      <c r="AA62" s="1548"/>
      <c r="AB62" s="1548"/>
      <c r="AC62" s="1548"/>
      <c r="AD62" s="406"/>
      <c r="AE62" s="1548"/>
      <c r="AF62" s="1548"/>
      <c r="AG62" s="406"/>
    </row>
    <row r="63" spans="2:33">
      <c r="B63" s="1690" t="str">
        <f t="shared" si="44"/>
        <v>Broadcom</v>
      </c>
      <c r="C63" s="5">
        <v>0.14178883457435665</v>
      </c>
      <c r="D63" s="5">
        <v>0.14370644395273463</v>
      </c>
      <c r="E63" s="5">
        <v>0.14655448444640271</v>
      </c>
      <c r="F63" s="255">
        <v>0.15059330180400615</v>
      </c>
      <c r="G63" s="5">
        <f t="shared" ref="G63:J64" si="48">SUM(D11:G11)/SUM(D$27:G$27)</f>
        <v>0.30370612193548946</v>
      </c>
      <c r="H63" s="5">
        <f t="shared" si="48"/>
        <v>0.30749305308196234</v>
      </c>
      <c r="I63" s="5">
        <f t="shared" si="48"/>
        <v>0.31214628639131092</v>
      </c>
      <c r="J63" s="255">
        <f t="shared" si="48"/>
        <v>0.31759474674467481</v>
      </c>
      <c r="K63" s="359"/>
      <c r="L63" s="359"/>
      <c r="M63" s="359"/>
      <c r="N63" s="255">
        <f>SUM(K11:P11)/SUM(K$27:P$27)</f>
        <v>0.25789058648036883</v>
      </c>
      <c r="O63" s="5">
        <f t="shared" ref="O63:AG63" si="49">SUM(L11:O11)/SUM(L$27:O$27)</f>
        <v>0.26028165626884064</v>
      </c>
      <c r="P63" s="5">
        <f t="shared" si="49"/>
        <v>0.26652685618354949</v>
      </c>
      <c r="Q63" s="5">
        <f t="shared" si="49"/>
        <v>0.27918531029918708</v>
      </c>
      <c r="R63" s="255">
        <f t="shared" si="49"/>
        <v>0.28703429115484863</v>
      </c>
      <c r="S63" s="5" t="e">
        <f t="shared" si="49"/>
        <v>#DIV/0!</v>
      </c>
      <c r="T63" s="5" t="e">
        <f t="shared" si="49"/>
        <v>#DIV/0!</v>
      </c>
      <c r="U63" s="5" t="e">
        <f t="shared" si="49"/>
        <v>#DIV/0!</v>
      </c>
      <c r="V63" s="255" t="e">
        <f t="shared" si="49"/>
        <v>#DIV/0!</v>
      </c>
      <c r="W63" s="5" t="e">
        <f t="shared" si="49"/>
        <v>#DIV/0!</v>
      </c>
      <c r="X63" s="5" t="e">
        <f t="shared" si="49"/>
        <v>#DIV/0!</v>
      </c>
      <c r="Y63" s="5" t="e">
        <f t="shared" si="49"/>
        <v>#DIV/0!</v>
      </c>
      <c r="Z63" s="255" t="e">
        <f t="shared" si="49"/>
        <v>#DIV/0!</v>
      </c>
      <c r="AA63" s="5" t="e">
        <f t="shared" si="49"/>
        <v>#DIV/0!</v>
      </c>
      <c r="AB63" s="5" t="e">
        <f t="shared" si="49"/>
        <v>#DIV/0!</v>
      </c>
      <c r="AC63" s="5" t="e">
        <f t="shared" si="49"/>
        <v>#DIV/0!</v>
      </c>
      <c r="AD63" s="255" t="e">
        <f t="shared" si="49"/>
        <v>#DIV/0!</v>
      </c>
      <c r="AE63" s="1562" t="e">
        <f t="shared" si="49"/>
        <v>#DIV/0!</v>
      </c>
      <c r="AF63" s="1562" t="e">
        <f t="shared" si="49"/>
        <v>#DIV/0!</v>
      </c>
      <c r="AG63" s="255" t="e">
        <f t="shared" si="49"/>
        <v>#DIV/0!</v>
      </c>
    </row>
    <row r="64" spans="2:33">
      <c r="B64" s="1690" t="str">
        <f t="shared" si="44"/>
        <v>Credo</v>
      </c>
      <c r="C64" s="5">
        <v>8.6430441519989073E-3</v>
      </c>
      <c r="D64" s="5">
        <v>8.7155814129266235E-3</v>
      </c>
      <c r="E64" s="5">
        <v>8.0624055433877011E-3</v>
      </c>
      <c r="F64" s="255">
        <v>8.1522909989077443E-3</v>
      </c>
      <c r="G64" s="5">
        <f t="shared" si="48"/>
        <v>0</v>
      </c>
      <c r="H64" s="5">
        <f t="shared" si="48"/>
        <v>0</v>
      </c>
      <c r="I64" s="5">
        <f t="shared" si="48"/>
        <v>0</v>
      </c>
      <c r="J64" s="255">
        <f t="shared" si="48"/>
        <v>0</v>
      </c>
      <c r="K64" s="359"/>
      <c r="L64" s="359"/>
      <c r="M64" s="359"/>
      <c r="N64" s="1564"/>
      <c r="O64" s="359"/>
      <c r="P64" s="359"/>
      <c r="Q64" s="359"/>
      <c r="R64" s="1564"/>
      <c r="S64" s="359"/>
      <c r="T64" s="5" t="e">
        <f t="shared" ref="T64:AG64" si="50">SUM(Q12:T12)/SUM(Q$27:T$27)</f>
        <v>#DIV/0!</v>
      </c>
      <c r="U64" s="5" t="e">
        <f t="shared" si="50"/>
        <v>#DIV/0!</v>
      </c>
      <c r="V64" s="255" t="e">
        <f t="shared" si="50"/>
        <v>#DIV/0!</v>
      </c>
      <c r="W64" s="5" t="e">
        <f>SUM(T12:W12)/SUM(T$27:W$27)</f>
        <v>#DIV/0!</v>
      </c>
      <c r="X64" s="5" t="e">
        <f t="shared" si="50"/>
        <v>#DIV/0!</v>
      </c>
      <c r="Y64" s="5" t="e">
        <f t="shared" si="50"/>
        <v>#DIV/0!</v>
      </c>
      <c r="Z64" s="255" t="e">
        <f t="shared" si="50"/>
        <v>#DIV/0!</v>
      </c>
      <c r="AA64" s="5" t="e">
        <f t="shared" si="50"/>
        <v>#DIV/0!</v>
      </c>
      <c r="AB64" s="5" t="e">
        <f t="shared" si="50"/>
        <v>#DIV/0!</v>
      </c>
      <c r="AC64" s="5" t="e">
        <f t="shared" si="50"/>
        <v>#DIV/0!</v>
      </c>
      <c r="AD64" s="255" t="e">
        <f t="shared" si="50"/>
        <v>#DIV/0!</v>
      </c>
      <c r="AE64" s="1562" t="e">
        <f t="shared" si="50"/>
        <v>#DIV/0!</v>
      </c>
      <c r="AF64" s="1562" t="e">
        <f t="shared" si="50"/>
        <v>#DIV/0!</v>
      </c>
      <c r="AG64" s="255" t="e">
        <f t="shared" si="50"/>
        <v>#DIV/0!</v>
      </c>
    </row>
    <row r="65" spans="2:33">
      <c r="B65" s="1690" t="str">
        <f t="shared" si="44"/>
        <v>GigaPeak</v>
      </c>
      <c r="C65" s="5">
        <v>4.3871761808977016E-4</v>
      </c>
      <c r="D65" s="5">
        <v>4.8098277528385781E-4</v>
      </c>
      <c r="E65" s="5">
        <v>5.2480034140482592E-4</v>
      </c>
      <c r="F65" s="255">
        <v>5.6447172299638041E-4</v>
      </c>
      <c r="G65" s="1565" t="str">
        <f>G13</f>
        <v>acquired by IDT</v>
      </c>
      <c r="H65" s="1548"/>
      <c r="I65" s="1548"/>
      <c r="J65" s="1564"/>
      <c r="K65" s="1565"/>
      <c r="L65" s="1548"/>
      <c r="M65" s="1548"/>
      <c r="N65" s="1564"/>
      <c r="O65" s="1565"/>
      <c r="P65" s="1548"/>
      <c r="Q65" s="1548"/>
      <c r="R65" s="1564"/>
      <c r="S65" s="1565"/>
      <c r="T65" s="1548"/>
      <c r="U65" s="1548"/>
      <c r="V65" s="1564"/>
      <c r="W65" s="1565"/>
      <c r="X65" s="1548"/>
      <c r="Y65" s="1548"/>
      <c r="Z65" s="1564"/>
      <c r="AA65" s="1565"/>
      <c r="AB65" s="1548"/>
      <c r="AC65" s="1548"/>
      <c r="AD65" s="406"/>
      <c r="AE65" s="1548"/>
      <c r="AF65" s="1548"/>
      <c r="AG65" s="406"/>
    </row>
    <row r="66" spans="2:33">
      <c r="B66" s="1690" t="str">
        <f t="shared" si="44"/>
        <v>IDT</v>
      </c>
      <c r="C66" s="5">
        <v>9.3003862678433941E-3</v>
      </c>
      <c r="D66" s="5">
        <v>7.2661009759862911E-3</v>
      </c>
      <c r="E66" s="5">
        <v>7.2753518696524275E-3</v>
      </c>
      <c r="F66" s="255">
        <v>7.1559545269659023E-3</v>
      </c>
      <c r="G66" s="5">
        <f t="shared" ref="G66:J68" si="51">SUM(D14:G14)/SUM(D$27:G$27)</f>
        <v>1.3599088140523638E-2</v>
      </c>
      <c r="H66" s="5">
        <f t="shared" si="51"/>
        <v>1.3305092608558874E-2</v>
      </c>
      <c r="I66" s="5">
        <f t="shared" si="51"/>
        <v>1.3316543375007301E-2</v>
      </c>
      <c r="J66" s="255">
        <f t="shared" si="51"/>
        <v>1.3386085426435667E-2</v>
      </c>
      <c r="K66" s="359"/>
      <c r="L66" s="359"/>
      <c r="M66" s="359"/>
      <c r="N66" s="255">
        <f>SUM(K14:P14)/SUM(K$27:P$27)</f>
        <v>8.9306473076786949E-3</v>
      </c>
      <c r="O66" s="1691">
        <f>SUM(L14:O14)/SUM(L$27:O$27)</f>
        <v>8.4054548564794634E-3</v>
      </c>
      <c r="P66" s="1548"/>
      <c r="Q66" s="1548"/>
      <c r="R66" s="1564"/>
      <c r="S66" s="1565"/>
      <c r="T66" s="1548"/>
      <c r="U66" s="1548"/>
      <c r="V66" s="1564"/>
      <c r="W66" s="1565"/>
      <c r="X66" s="1548"/>
      <c r="Y66" s="1548"/>
      <c r="Z66" s="1564"/>
      <c r="AA66" s="1565"/>
      <c r="AB66" s="1548"/>
      <c r="AC66" s="1548"/>
      <c r="AD66" s="406"/>
      <c r="AE66" s="1548"/>
      <c r="AF66" s="1548"/>
      <c r="AG66" s="406"/>
    </row>
    <row r="67" spans="2:33">
      <c r="B67" s="1690" t="str">
        <f t="shared" si="44"/>
        <v>Inphi</v>
      </c>
      <c r="C67" s="5">
        <v>2.5810374293704919E-3</v>
      </c>
      <c r="D67" s="5">
        <v>2.5314672958335989E-3</v>
      </c>
      <c r="E67" s="5">
        <v>2.5666368497095941E-3</v>
      </c>
      <c r="F67" s="255">
        <v>2.6887872265742505E-3</v>
      </c>
      <c r="G67" s="5">
        <f t="shared" si="51"/>
        <v>5.710944813647062E-3</v>
      </c>
      <c r="H67" s="5">
        <f t="shared" si="51"/>
        <v>5.9862932018996977E-3</v>
      </c>
      <c r="I67" s="5">
        <f t="shared" si="51"/>
        <v>6.0764866249895496E-3</v>
      </c>
      <c r="J67" s="255">
        <f t="shared" si="51"/>
        <v>5.8800075851430812E-3</v>
      </c>
      <c r="K67" s="359"/>
      <c r="L67" s="359"/>
      <c r="M67" s="359"/>
      <c r="N67" s="255">
        <f>SUM(K15:P15)/SUM(K$27:P$27)</f>
        <v>3.620059937528257E-3</v>
      </c>
      <c r="O67" s="5">
        <f>SUM(L15:O15)/SUM(L$27:O$27)</f>
        <v>3.775855491490834E-3</v>
      </c>
      <c r="P67" s="5">
        <f t="shared" ref="P67:V68" si="52">SUM(M15:P15)/SUM(M$27:P$27)</f>
        <v>3.9242564268944556E-3</v>
      </c>
      <c r="Q67" s="5">
        <f t="shared" si="52"/>
        <v>4.1658023923114148E-3</v>
      </c>
      <c r="R67" s="255">
        <f t="shared" si="52"/>
        <v>4.2766392483104144E-3</v>
      </c>
      <c r="S67" s="5" t="e">
        <f t="shared" si="52"/>
        <v>#DIV/0!</v>
      </c>
      <c r="T67" s="5" t="e">
        <f t="shared" si="52"/>
        <v>#DIV/0!</v>
      </c>
      <c r="U67" s="5" t="e">
        <f t="shared" si="52"/>
        <v>#DIV/0!</v>
      </c>
      <c r="V67" s="255" t="e">
        <f t="shared" si="52"/>
        <v>#DIV/0!</v>
      </c>
      <c r="W67" s="1548"/>
      <c r="X67" s="1548"/>
      <c r="Y67" s="1548"/>
      <c r="Z67" s="406"/>
      <c r="AA67" s="1548"/>
      <c r="AB67" s="1548"/>
      <c r="AC67" s="1548"/>
      <c r="AD67" s="1564"/>
      <c r="AE67" s="692"/>
      <c r="AF67" s="692"/>
      <c r="AG67" s="1564"/>
    </row>
    <row r="68" spans="2:33">
      <c r="B68" s="1690" t="str">
        <f t="shared" si="44"/>
        <v>Intel - Data Center</v>
      </c>
      <c r="C68" s="5">
        <v>0.16618132052231799</v>
      </c>
      <c r="D68" s="5">
        <v>0.16429007339884458</v>
      </c>
      <c r="E68" s="5">
        <v>0.16520295768602578</v>
      </c>
      <c r="F68" s="255">
        <v>0.16502094058074604</v>
      </c>
      <c r="G68" s="5">
        <f t="shared" si="51"/>
        <v>0.32967939064820179</v>
      </c>
      <c r="H68" s="5">
        <f t="shared" si="51"/>
        <v>0.32679079280484141</v>
      </c>
      <c r="I68" s="5">
        <f t="shared" si="51"/>
        <v>0.32475879359957371</v>
      </c>
      <c r="J68" s="255">
        <f t="shared" si="51"/>
        <v>0.32727915944290276</v>
      </c>
      <c r="K68" s="359"/>
      <c r="L68" s="359"/>
      <c r="M68" s="359"/>
      <c r="N68" s="255">
        <f>SUM(K16:P16)/SUM(K$27:P$27)</f>
        <v>0.26798208261588807</v>
      </c>
      <c r="O68" s="5">
        <f>SUM(L16:O16)/SUM(L$27:O$27)</f>
        <v>0.27018283298194101</v>
      </c>
      <c r="P68" s="5">
        <f t="shared" si="52"/>
        <v>0.27199864172467753</v>
      </c>
      <c r="Q68" s="5">
        <f t="shared" si="52"/>
        <v>0.27162908307898975</v>
      </c>
      <c r="R68" s="255">
        <f t="shared" si="52"/>
        <v>0.25493348317178871</v>
      </c>
      <c r="S68" s="5" t="e">
        <f t="shared" si="52"/>
        <v>#DIV/0!</v>
      </c>
      <c r="T68" s="5" t="e">
        <f t="shared" si="52"/>
        <v>#DIV/0!</v>
      </c>
      <c r="U68" s="5" t="e">
        <f t="shared" si="52"/>
        <v>#DIV/0!</v>
      </c>
      <c r="V68" s="255" t="e">
        <f t="shared" si="52"/>
        <v>#DIV/0!</v>
      </c>
      <c r="W68" s="5" t="e">
        <f t="shared" ref="W68:AG68" si="53">SUM(T16:W16)/SUM(T$27:W$27)</f>
        <v>#DIV/0!</v>
      </c>
      <c r="X68" s="5" t="e">
        <f t="shared" si="53"/>
        <v>#DIV/0!</v>
      </c>
      <c r="Y68" s="5" t="e">
        <f t="shared" si="53"/>
        <v>#DIV/0!</v>
      </c>
      <c r="Z68" s="255" t="e">
        <f t="shared" si="53"/>
        <v>#DIV/0!</v>
      </c>
      <c r="AA68" s="5" t="e">
        <f t="shared" si="53"/>
        <v>#DIV/0!</v>
      </c>
      <c r="AB68" s="5" t="e">
        <f t="shared" si="53"/>
        <v>#DIV/0!</v>
      </c>
      <c r="AC68" s="5" t="e">
        <f t="shared" si="53"/>
        <v>#DIV/0!</v>
      </c>
      <c r="AD68" s="255" t="e">
        <f t="shared" si="53"/>
        <v>#DIV/0!</v>
      </c>
      <c r="AE68" s="1562" t="e">
        <f t="shared" si="53"/>
        <v>#DIV/0!</v>
      </c>
      <c r="AF68" s="1562" t="e">
        <f t="shared" si="53"/>
        <v>#DIV/0!</v>
      </c>
      <c r="AG68" s="255" t="e">
        <f t="shared" si="53"/>
        <v>#DIV/0!</v>
      </c>
    </row>
    <row r="69" spans="2:33">
      <c r="B69" s="1690" t="str">
        <f t="shared" si="44"/>
        <v>Linear</v>
      </c>
      <c r="C69" s="5">
        <v>1.4021073285621265E-2</v>
      </c>
      <c r="D69" s="5">
        <v>1.4200610053191981E-2</v>
      </c>
      <c r="E69" s="5">
        <v>1.425242605971886E-2</v>
      </c>
      <c r="F69" s="255">
        <v>1.4319624368785677E-2</v>
      </c>
      <c r="G69" s="1565" t="str">
        <f>G17</f>
        <v>acquired by Analog Devices</v>
      </c>
      <c r="H69" s="1548"/>
      <c r="I69" s="1548"/>
      <c r="J69" s="1564"/>
      <c r="K69" s="1565"/>
      <c r="L69" s="1548"/>
      <c r="M69" s="1548"/>
      <c r="N69" s="1564"/>
      <c r="O69" s="1565"/>
      <c r="P69" s="1548"/>
      <c r="Q69" s="1548"/>
      <c r="R69" s="1564"/>
      <c r="S69" s="1565"/>
      <c r="T69" s="1548"/>
      <c r="U69" s="1548"/>
      <c r="V69" s="1564"/>
      <c r="W69" s="1565"/>
      <c r="X69" s="1548"/>
      <c r="Y69" s="1548"/>
      <c r="Z69" s="1564"/>
      <c r="AA69" s="1565"/>
      <c r="AB69" s="1548"/>
      <c r="AC69" s="1548"/>
      <c r="AD69" s="406"/>
      <c r="AE69" s="1548"/>
      <c r="AF69" s="1548"/>
      <c r="AG69" s="406"/>
    </row>
    <row r="70" spans="2:33">
      <c r="B70" s="1690" t="str">
        <f t="shared" si="44"/>
        <v>MACOM</v>
      </c>
      <c r="C70" s="5">
        <v>4.8319018004524868E-3</v>
      </c>
      <c r="D70" s="5">
        <v>5.0282296350429414E-3</v>
      </c>
      <c r="E70" s="5">
        <v>5.3286666263813263E-3</v>
      </c>
      <c r="F70" s="255">
        <v>5.5991004308902879E-3</v>
      </c>
      <c r="G70" s="5">
        <f t="shared" ref="G70:G78" si="54">SUM(D18:G18)/SUM(D$27:G$27)</f>
        <v>1.1820918205576411E-2</v>
      </c>
      <c r="H70" s="5">
        <f t="shared" ref="H70:H78" si="55">SUM(E18:H18)/SUM(E$27:H$27)</f>
        <v>1.2441686680788289E-2</v>
      </c>
      <c r="I70" s="5">
        <f t="shared" ref="I70:I78" si="56">SUM(F18:I18)/SUM(F$27:I$27)</f>
        <v>1.2365227771706936E-2</v>
      </c>
      <c r="J70" s="255">
        <f t="shared" ref="J70:J78" si="57">SUM(G18:J18)/SUM(G$27:J$27)</f>
        <v>1.1439434115096214E-2</v>
      </c>
      <c r="K70" s="359"/>
      <c r="L70" s="359"/>
      <c r="M70" s="359"/>
      <c r="N70" s="255">
        <f>SUM(K18:P18)/SUM(K$27:P$27)</f>
        <v>6.8427455900858681E-3</v>
      </c>
      <c r="O70" s="5">
        <f t="shared" ref="O70:X71" si="58">SUM(L18:O18)/SUM(L$27:O$27)</f>
        <v>6.6989214397694726E-3</v>
      </c>
      <c r="P70" s="5">
        <f t="shared" si="58"/>
        <v>6.7393310242716475E-3</v>
      </c>
      <c r="Q70" s="5">
        <f t="shared" si="58"/>
        <v>6.7289931944567909E-3</v>
      </c>
      <c r="R70" s="255">
        <f t="shared" si="58"/>
        <v>6.3213098378310873E-3</v>
      </c>
      <c r="S70" s="5" t="e">
        <f t="shared" si="58"/>
        <v>#DIV/0!</v>
      </c>
      <c r="T70" s="5" t="e">
        <f t="shared" si="58"/>
        <v>#DIV/0!</v>
      </c>
      <c r="U70" s="5" t="e">
        <f t="shared" si="58"/>
        <v>#DIV/0!</v>
      </c>
      <c r="V70" s="255" t="e">
        <f t="shared" si="58"/>
        <v>#DIV/0!</v>
      </c>
      <c r="W70" s="5" t="e">
        <f t="shared" si="58"/>
        <v>#DIV/0!</v>
      </c>
      <c r="X70" s="5" t="e">
        <f t="shared" si="58"/>
        <v>#DIV/0!</v>
      </c>
      <c r="Y70" s="5" t="e">
        <f t="shared" ref="Y70:AG71" si="59">SUM(V18:Y18)/SUM(V$27:Y$27)</f>
        <v>#DIV/0!</v>
      </c>
      <c r="Z70" s="255" t="e">
        <f t="shared" si="59"/>
        <v>#DIV/0!</v>
      </c>
      <c r="AA70" s="5" t="e">
        <f t="shared" si="59"/>
        <v>#DIV/0!</v>
      </c>
      <c r="AB70" s="5" t="e">
        <f t="shared" si="59"/>
        <v>#DIV/0!</v>
      </c>
      <c r="AC70" s="5" t="e">
        <f t="shared" si="59"/>
        <v>#DIV/0!</v>
      </c>
      <c r="AD70" s="255" t="e">
        <f t="shared" si="59"/>
        <v>#DIV/0!</v>
      </c>
      <c r="AE70" s="1562" t="e">
        <f t="shared" si="59"/>
        <v>#DIV/0!</v>
      </c>
      <c r="AF70" s="1562" t="e">
        <f t="shared" si="59"/>
        <v>#DIV/0!</v>
      </c>
      <c r="AG70" s="255" t="e">
        <f t="shared" si="59"/>
        <v>#DIV/0!</v>
      </c>
    </row>
    <row r="71" spans="2:33">
      <c r="B71" s="1690" t="str">
        <f t="shared" si="44"/>
        <v>Marvell</v>
      </c>
      <c r="C71" s="5">
        <v>2.4166184559445785E-2</v>
      </c>
      <c r="D71" s="5">
        <v>2.4044651054284584E-2</v>
      </c>
      <c r="E71" s="5">
        <v>2.3123715248140712E-2</v>
      </c>
      <c r="F71" s="255">
        <v>2.2345480645525603E-2</v>
      </c>
      <c r="G71" s="5">
        <f t="shared" si="54"/>
        <v>4.438758800753808E-2</v>
      </c>
      <c r="H71" s="5">
        <f t="shared" si="55"/>
        <v>4.3223487712506586E-2</v>
      </c>
      <c r="I71" s="5">
        <f t="shared" si="56"/>
        <v>4.1945554968391759E-2</v>
      </c>
      <c r="J71" s="255">
        <f t="shared" si="57"/>
        <v>4.0749309146283171E-2</v>
      </c>
      <c r="K71" s="359"/>
      <c r="L71" s="359"/>
      <c r="M71" s="359"/>
      <c r="N71" s="255">
        <f>SUM(K19:P19)/SUM(K$27:P$27)</f>
        <v>3.3907350127754976E-2</v>
      </c>
      <c r="O71" s="5">
        <f t="shared" si="58"/>
        <v>3.4873149225525188E-2</v>
      </c>
      <c r="P71" s="5">
        <f t="shared" si="58"/>
        <v>3.5917357014330395E-2</v>
      </c>
      <c r="Q71" s="5">
        <f t="shared" si="58"/>
        <v>3.4743829081103503E-2</v>
      </c>
      <c r="R71" s="255">
        <f t="shared" si="58"/>
        <v>3.444203384892329E-2</v>
      </c>
      <c r="S71" s="5" t="e">
        <f t="shared" si="58"/>
        <v>#DIV/0!</v>
      </c>
      <c r="T71" s="5" t="e">
        <f t="shared" si="58"/>
        <v>#DIV/0!</v>
      </c>
      <c r="U71" s="5" t="e">
        <f t="shared" si="58"/>
        <v>#DIV/0!</v>
      </c>
      <c r="V71" s="255" t="e">
        <f t="shared" si="58"/>
        <v>#DIV/0!</v>
      </c>
      <c r="W71" s="5" t="e">
        <f t="shared" si="58"/>
        <v>#DIV/0!</v>
      </c>
      <c r="X71" s="5" t="e">
        <f t="shared" si="58"/>
        <v>#DIV/0!</v>
      </c>
      <c r="Y71" s="5" t="e">
        <f t="shared" si="59"/>
        <v>#DIV/0!</v>
      </c>
      <c r="Z71" s="255" t="e">
        <f t="shared" si="59"/>
        <v>#DIV/0!</v>
      </c>
      <c r="AA71" s="5" t="e">
        <f t="shared" si="59"/>
        <v>#DIV/0!</v>
      </c>
      <c r="AB71" s="5" t="e">
        <f t="shared" si="59"/>
        <v>#DIV/0!</v>
      </c>
      <c r="AC71" s="5" t="e">
        <f t="shared" si="59"/>
        <v>#DIV/0!</v>
      </c>
      <c r="AD71" s="255" t="e">
        <f t="shared" si="59"/>
        <v>#DIV/0!</v>
      </c>
      <c r="AE71" s="1562" t="e">
        <f t="shared" si="59"/>
        <v>#DIV/0!</v>
      </c>
      <c r="AF71" s="1562" t="e">
        <f t="shared" si="59"/>
        <v>#DIV/0!</v>
      </c>
      <c r="AG71" s="255" t="e">
        <f t="shared" si="59"/>
        <v>#DIV/0!</v>
      </c>
    </row>
    <row r="72" spans="2:33">
      <c r="B72" s="1690" t="str">
        <f t="shared" si="44"/>
        <v>Maxim</v>
      </c>
      <c r="C72" s="5">
        <v>2.1743491346464357E-2</v>
      </c>
      <c r="D72" s="5">
        <v>2.1887259311030235E-2</v>
      </c>
      <c r="E72" s="5">
        <v>2.1473741408487974E-2</v>
      </c>
      <c r="F72" s="255">
        <v>2.1542895017851612E-2</v>
      </c>
      <c r="G72" s="5">
        <f t="shared" si="54"/>
        <v>4.2194891425989693E-2</v>
      </c>
      <c r="H72" s="5">
        <f t="shared" si="55"/>
        <v>4.167476694509472E-2</v>
      </c>
      <c r="I72" s="5">
        <f t="shared" si="56"/>
        <v>4.0860560940164548E-2</v>
      </c>
      <c r="J72" s="255">
        <f t="shared" si="57"/>
        <v>4.0186870850624418E-2</v>
      </c>
      <c r="K72" s="359"/>
      <c r="L72" s="359"/>
      <c r="M72" s="359"/>
      <c r="N72" s="255">
        <f>SUM(K20:P20)/SUM(K$27:P$27)</f>
        <v>2.9205299196473754E-2</v>
      </c>
      <c r="O72" s="5">
        <f t="shared" ref="O72:Z74" si="60">SUM(L20:O20)/SUM(L$27:O$27)</f>
        <v>2.8512454368100942E-2</v>
      </c>
      <c r="P72" s="5">
        <f t="shared" si="60"/>
        <v>2.7947462778377685E-2</v>
      </c>
      <c r="Q72" s="5">
        <f t="shared" si="60"/>
        <v>2.7632085815035408E-2</v>
      </c>
      <c r="R72" s="255">
        <f t="shared" si="60"/>
        <v>2.8198764873287648E-2</v>
      </c>
      <c r="S72" s="5" t="e">
        <f t="shared" si="60"/>
        <v>#DIV/0!</v>
      </c>
      <c r="T72" s="5" t="e">
        <f t="shared" si="60"/>
        <v>#DIV/0!</v>
      </c>
      <c r="U72" s="5" t="e">
        <f t="shared" si="60"/>
        <v>#DIV/0!</v>
      </c>
      <c r="V72" s="255" t="e">
        <f t="shared" si="60"/>
        <v>#DIV/0!</v>
      </c>
      <c r="W72" s="5" t="e">
        <f t="shared" si="60"/>
        <v>#DIV/0!</v>
      </c>
      <c r="X72" s="5" t="e">
        <f t="shared" si="60"/>
        <v>#DIV/0!</v>
      </c>
      <c r="Y72" s="5" t="e">
        <f t="shared" si="60"/>
        <v>#DIV/0!</v>
      </c>
      <c r="Z72" s="255" t="e">
        <f t="shared" si="60"/>
        <v>#DIV/0!</v>
      </c>
      <c r="AA72" s="1565"/>
      <c r="AB72" s="1548"/>
      <c r="AC72" s="1548"/>
      <c r="AD72" s="406"/>
      <c r="AE72" s="1548"/>
      <c r="AF72" s="1548"/>
      <c r="AG72" s="406"/>
    </row>
    <row r="73" spans="2:33">
      <c r="B73" s="1690" t="str">
        <f t="shared" si="44"/>
        <v>Maxlinear</v>
      </c>
      <c r="C73" s="5">
        <v>1.02174349134646</v>
      </c>
      <c r="D73" s="5">
        <v>1.02188725931103</v>
      </c>
      <c r="E73" s="5">
        <v>1.02147374140849</v>
      </c>
      <c r="F73" s="255">
        <v>1.02154289501785</v>
      </c>
      <c r="G73" s="5">
        <f t="shared" si="54"/>
        <v>0</v>
      </c>
      <c r="H73" s="5">
        <f t="shared" si="55"/>
        <v>0</v>
      </c>
      <c r="I73" s="5">
        <f t="shared" si="56"/>
        <v>0</v>
      </c>
      <c r="J73" s="255">
        <f t="shared" si="57"/>
        <v>0</v>
      </c>
      <c r="K73" s="359"/>
      <c r="L73" s="359"/>
      <c r="M73" s="359"/>
      <c r="N73" s="255">
        <f>SUM(K21:P21)/SUM(K$27:P$27)</f>
        <v>4.5133015097522161E-3</v>
      </c>
      <c r="O73" s="5">
        <f t="shared" si="60"/>
        <v>4.2794913705876854E-3</v>
      </c>
      <c r="P73" s="5">
        <f t="shared" si="60"/>
        <v>4.0912731367253987E-3</v>
      </c>
      <c r="Q73" s="5">
        <f t="shared" si="60"/>
        <v>4.2522298278365482E-3</v>
      </c>
      <c r="R73" s="255">
        <f t="shared" si="60"/>
        <v>4.4015046278231265E-3</v>
      </c>
      <c r="S73" s="5" t="e">
        <f t="shared" si="60"/>
        <v>#DIV/0!</v>
      </c>
      <c r="T73" s="5" t="e">
        <f t="shared" si="60"/>
        <v>#DIV/0!</v>
      </c>
      <c r="U73" s="5" t="e">
        <f t="shared" si="60"/>
        <v>#DIV/0!</v>
      </c>
      <c r="V73" s="255" t="e">
        <f t="shared" si="60"/>
        <v>#DIV/0!</v>
      </c>
      <c r="W73" s="5" t="e">
        <f t="shared" si="60"/>
        <v>#DIV/0!</v>
      </c>
      <c r="X73" s="5" t="e">
        <f t="shared" si="60"/>
        <v>#DIV/0!</v>
      </c>
      <c r="Y73" s="5" t="e">
        <f t="shared" si="60"/>
        <v>#DIV/0!</v>
      </c>
      <c r="Z73" s="255" t="e">
        <f t="shared" si="60"/>
        <v>#DIV/0!</v>
      </c>
      <c r="AA73" s="5" t="e">
        <f t="shared" ref="AA73:AG74" si="61">SUM(X21:AA21)/SUM(X$27:AA$27)</f>
        <v>#DIV/0!</v>
      </c>
      <c r="AB73" s="5" t="e">
        <f t="shared" si="61"/>
        <v>#DIV/0!</v>
      </c>
      <c r="AC73" s="5" t="e">
        <f t="shared" si="61"/>
        <v>#DIV/0!</v>
      </c>
      <c r="AD73" s="255" t="e">
        <f t="shared" si="61"/>
        <v>#DIV/0!</v>
      </c>
      <c r="AE73" s="1562" t="e">
        <f t="shared" si="61"/>
        <v>#DIV/0!</v>
      </c>
      <c r="AF73" s="1562" t="e">
        <f t="shared" si="61"/>
        <v>#DIV/0!</v>
      </c>
      <c r="AG73" s="255" t="e">
        <f t="shared" si="61"/>
        <v>#DIV/0!</v>
      </c>
    </row>
    <row r="74" spans="2:33">
      <c r="B74" s="1690" t="str">
        <f t="shared" si="44"/>
        <v>Microchip</v>
      </c>
      <c r="C74" s="5">
        <v>2.0217434913464598</v>
      </c>
      <c r="D74" s="5">
        <v>2.02188725931103</v>
      </c>
      <c r="E74" s="5">
        <v>2.02147374140849</v>
      </c>
      <c r="F74" s="255">
        <v>2.0215428950178498</v>
      </c>
      <c r="G74" s="5">
        <f t="shared" si="54"/>
        <v>6.3621948828860297E-2</v>
      </c>
      <c r="H74" s="5">
        <f t="shared" si="55"/>
        <v>6.4990271915579489E-2</v>
      </c>
      <c r="I74" s="5">
        <f t="shared" si="56"/>
        <v>6.5820371657929352E-2</v>
      </c>
      <c r="J74" s="255">
        <f t="shared" si="57"/>
        <v>6.5479769140274702E-2</v>
      </c>
      <c r="K74" s="359"/>
      <c r="L74" s="359"/>
      <c r="M74" s="359"/>
      <c r="N74" s="255">
        <f>SUM(K22:P22)/SUM(K$27:P$27)</f>
        <v>6.1058357094241539E-2</v>
      </c>
      <c r="O74" s="5">
        <f t="shared" si="60"/>
        <v>6.3832766978072608E-2</v>
      </c>
      <c r="P74" s="5">
        <f t="shared" si="60"/>
        <v>6.582049002670852E-2</v>
      </c>
      <c r="Q74" s="5">
        <f t="shared" si="60"/>
        <v>6.6796060884424288E-2</v>
      </c>
      <c r="R74" s="255">
        <f t="shared" si="60"/>
        <v>6.9196231146628359E-2</v>
      </c>
      <c r="S74" s="5" t="e">
        <f t="shared" si="60"/>
        <v>#DIV/0!</v>
      </c>
      <c r="T74" s="5" t="e">
        <f t="shared" si="60"/>
        <v>#DIV/0!</v>
      </c>
      <c r="U74" s="5" t="e">
        <f t="shared" si="60"/>
        <v>#DIV/0!</v>
      </c>
      <c r="V74" s="255" t="e">
        <f t="shared" si="60"/>
        <v>#DIV/0!</v>
      </c>
      <c r="W74" s="5" t="e">
        <f t="shared" si="60"/>
        <v>#DIV/0!</v>
      </c>
      <c r="X74" s="5" t="e">
        <f t="shared" si="60"/>
        <v>#DIV/0!</v>
      </c>
      <c r="Y74" s="5" t="e">
        <f t="shared" si="60"/>
        <v>#DIV/0!</v>
      </c>
      <c r="Z74" s="255" t="e">
        <f t="shared" si="60"/>
        <v>#DIV/0!</v>
      </c>
      <c r="AA74" s="5" t="e">
        <f t="shared" si="61"/>
        <v>#DIV/0!</v>
      </c>
      <c r="AB74" s="5" t="e">
        <f t="shared" si="61"/>
        <v>#DIV/0!</v>
      </c>
      <c r="AC74" s="5" t="e">
        <f t="shared" si="61"/>
        <v>#DIV/0!</v>
      </c>
      <c r="AD74" s="255" t="e">
        <f t="shared" si="61"/>
        <v>#DIV/0!</v>
      </c>
      <c r="AE74" s="1562" t="e">
        <f t="shared" si="61"/>
        <v>#DIV/0!</v>
      </c>
      <c r="AF74" s="1562" t="e">
        <f t="shared" si="61"/>
        <v>#DIV/0!</v>
      </c>
      <c r="AG74" s="255" t="e">
        <f t="shared" si="61"/>
        <v>#DIV/0!</v>
      </c>
    </row>
    <row r="75" spans="2:33">
      <c r="B75" s="1690" t="str">
        <f t="shared" si="44"/>
        <v>Microsemi</v>
      </c>
      <c r="C75" s="5">
        <v>1.8283656867248924E-2</v>
      </c>
      <c r="D75" s="5">
        <v>1.7959296473240405E-2</v>
      </c>
      <c r="E75" s="5">
        <v>1.7508752953325782E-2</v>
      </c>
      <c r="F75" s="255">
        <v>1.6991052136938717E-2</v>
      </c>
      <c r="G75" s="5">
        <f t="shared" si="54"/>
        <v>3.2870842733183872E-2</v>
      </c>
      <c r="H75" s="5">
        <f t="shared" si="55"/>
        <v>3.2443076819150721E-2</v>
      </c>
      <c r="I75" s="5">
        <f t="shared" si="56"/>
        <v>3.2058410678169148E-2</v>
      </c>
      <c r="J75" s="255">
        <f t="shared" si="57"/>
        <v>3.1133530926899088E-2</v>
      </c>
      <c r="K75" s="359"/>
      <c r="L75" s="359"/>
      <c r="M75" s="359"/>
      <c r="N75" s="1564"/>
      <c r="O75" s="359"/>
      <c r="P75" s="359"/>
      <c r="Q75" s="359"/>
      <c r="R75" s="1564"/>
      <c r="S75" s="359"/>
      <c r="T75" s="359"/>
      <c r="U75" s="359"/>
      <c r="V75" s="1564"/>
      <c r="W75" s="359"/>
      <c r="X75" s="359"/>
      <c r="Y75" s="359"/>
      <c r="Z75" s="1564"/>
      <c r="AA75" s="359"/>
      <c r="AB75" s="359"/>
      <c r="AC75" s="359"/>
      <c r="AD75" s="406"/>
      <c r="AE75" s="1548"/>
      <c r="AF75" s="1548"/>
      <c r="AG75" s="406"/>
    </row>
    <row r="76" spans="2:33">
      <c r="B76" s="1690" t="str">
        <f t="shared" si="44"/>
        <v>Nvidia</v>
      </c>
      <c r="C76" s="5">
        <v>-0.77583478978310305</v>
      </c>
      <c r="D76" s="5">
        <v>-0.77232351731846405</v>
      </c>
      <c r="E76" s="5">
        <v>-0.76946375601410799</v>
      </c>
      <c r="F76" s="255">
        <v>-0.77075870740434005</v>
      </c>
      <c r="G76" s="5">
        <f t="shared" si="54"/>
        <v>0</v>
      </c>
      <c r="H76" s="5">
        <f t="shared" si="55"/>
        <v>0</v>
      </c>
      <c r="I76" s="5">
        <f t="shared" si="56"/>
        <v>0</v>
      </c>
      <c r="J76" s="255">
        <f t="shared" si="57"/>
        <v>0</v>
      </c>
      <c r="K76" s="359"/>
      <c r="L76" s="359"/>
      <c r="M76" s="359"/>
      <c r="N76" s="255">
        <f>SUM(K24:P24)/SUM(K$27:P$27)</f>
        <v>0.13393818109009131</v>
      </c>
      <c r="O76" s="5">
        <f t="shared" ref="O76:X77" si="62">SUM(L24:O24)/SUM(L$27:O$27)</f>
        <v>0.12798762042753523</v>
      </c>
      <c r="P76" s="5">
        <f t="shared" si="62"/>
        <v>0.12098372333087118</v>
      </c>
      <c r="Q76" s="5">
        <f t="shared" si="62"/>
        <v>0.10926897205677541</v>
      </c>
      <c r="R76" s="255">
        <f t="shared" si="62"/>
        <v>0.11550047604925937</v>
      </c>
      <c r="S76" s="5" t="e">
        <f t="shared" si="62"/>
        <v>#DIV/0!</v>
      </c>
      <c r="T76" s="5" t="e">
        <f t="shared" si="62"/>
        <v>#DIV/0!</v>
      </c>
      <c r="U76" s="5" t="e">
        <f t="shared" si="62"/>
        <v>#DIV/0!</v>
      </c>
      <c r="V76" s="255" t="e">
        <f t="shared" si="62"/>
        <v>#DIV/0!</v>
      </c>
      <c r="W76" s="5" t="e">
        <f t="shared" si="62"/>
        <v>#DIV/0!</v>
      </c>
      <c r="X76" s="5" t="e">
        <f t="shared" si="62"/>
        <v>#DIV/0!</v>
      </c>
      <c r="Y76" s="5" t="e">
        <f t="shared" ref="Y76:AG77" si="63">SUM(V24:Y24)/SUM(V$27:Y$27)</f>
        <v>#DIV/0!</v>
      </c>
      <c r="Z76" s="255" t="e">
        <f t="shared" si="63"/>
        <v>#DIV/0!</v>
      </c>
      <c r="AA76" s="5" t="e">
        <f t="shared" si="63"/>
        <v>#DIV/0!</v>
      </c>
      <c r="AB76" s="5" t="e">
        <f t="shared" si="63"/>
        <v>#DIV/0!</v>
      </c>
      <c r="AC76" s="5" t="e">
        <f t="shared" si="63"/>
        <v>#DIV/0!</v>
      </c>
      <c r="AD76" s="255" t="e">
        <f t="shared" si="63"/>
        <v>#DIV/0!</v>
      </c>
      <c r="AE76" s="1562" t="e">
        <f t="shared" si="63"/>
        <v>#DIV/0!</v>
      </c>
      <c r="AF76" s="1562" t="e">
        <f t="shared" si="63"/>
        <v>#DIV/0!</v>
      </c>
      <c r="AG76" s="255" t="e">
        <f t="shared" si="63"/>
        <v>#DIV/0!</v>
      </c>
    </row>
    <row r="77" spans="2:33">
      <c r="B77" s="1690" t="str">
        <f t="shared" si="44"/>
        <v>Semtech</v>
      </c>
      <c r="C77" s="5">
        <v>4.8795652787416068E-3</v>
      </c>
      <c r="D77" s="5">
        <v>5.0002063798377247E-3</v>
      </c>
      <c r="E77" s="5">
        <v>5.1175130474948862E-3</v>
      </c>
      <c r="F77" s="255">
        <v>5.2479571636034582E-3</v>
      </c>
      <c r="G77" s="5">
        <f t="shared" si="54"/>
        <v>1.0398681015562126E-2</v>
      </c>
      <c r="H77" s="5">
        <f t="shared" si="55"/>
        <v>1.0422631161974399E-2</v>
      </c>
      <c r="I77" s="5">
        <f t="shared" si="56"/>
        <v>1.0387823678753703E-2</v>
      </c>
      <c r="J77" s="255">
        <f t="shared" si="57"/>
        <v>9.9178509109329929E-3</v>
      </c>
      <c r="K77" s="359"/>
      <c r="L77" s="359"/>
      <c r="M77" s="359"/>
      <c r="N77" s="255">
        <f>SUM(K25:P25)/SUM(K$27:P$27)</f>
        <v>7.2907695747081204E-3</v>
      </c>
      <c r="O77" s="5">
        <f t="shared" si="62"/>
        <v>7.4934133316600761E-3</v>
      </c>
      <c r="P77" s="5">
        <f t="shared" si="62"/>
        <v>7.3956589748472995E-3</v>
      </c>
      <c r="Q77" s="5">
        <f t="shared" si="62"/>
        <v>7.1957013462925091E-3</v>
      </c>
      <c r="R77" s="255">
        <f t="shared" si="62"/>
        <v>6.8363795283210276E-3</v>
      </c>
      <c r="S77" s="5" t="e">
        <f t="shared" si="62"/>
        <v>#DIV/0!</v>
      </c>
      <c r="T77" s="5" t="e">
        <f t="shared" si="62"/>
        <v>#DIV/0!</v>
      </c>
      <c r="U77" s="5" t="e">
        <f t="shared" si="62"/>
        <v>#DIV/0!</v>
      </c>
      <c r="V77" s="255" t="e">
        <f t="shared" si="62"/>
        <v>#DIV/0!</v>
      </c>
      <c r="W77" s="5" t="e">
        <f t="shared" si="62"/>
        <v>#DIV/0!</v>
      </c>
      <c r="X77" s="5" t="e">
        <f t="shared" si="62"/>
        <v>#DIV/0!</v>
      </c>
      <c r="Y77" s="5" t="e">
        <f t="shared" si="63"/>
        <v>#DIV/0!</v>
      </c>
      <c r="Z77" s="255" t="e">
        <f t="shared" si="63"/>
        <v>#DIV/0!</v>
      </c>
      <c r="AA77" s="5" t="e">
        <f t="shared" si="63"/>
        <v>#DIV/0!</v>
      </c>
      <c r="AB77" s="5" t="e">
        <f t="shared" si="63"/>
        <v>#DIV/0!</v>
      </c>
      <c r="AC77" s="5" t="e">
        <f t="shared" si="63"/>
        <v>#DIV/0!</v>
      </c>
      <c r="AD77" s="255" t="e">
        <f t="shared" si="63"/>
        <v>#DIV/0!</v>
      </c>
      <c r="AE77" s="1562" t="e">
        <f t="shared" si="63"/>
        <v>#DIV/0!</v>
      </c>
      <c r="AF77" s="1562" t="e">
        <f t="shared" si="63"/>
        <v>#DIV/0!</v>
      </c>
      <c r="AG77" s="255" t="e">
        <f t="shared" si="63"/>
        <v>#DIV/0!</v>
      </c>
    </row>
    <row r="78" spans="2:33">
      <c r="B78" s="1690" t="str">
        <f t="shared" si="44"/>
        <v>Xilinx</v>
      </c>
      <c r="C78" s="5">
        <v>2.2228003286831912E-2</v>
      </c>
      <c r="D78" s="5">
        <v>2.2337426478277043E-2</v>
      </c>
      <c r="E78" s="5">
        <v>2.243200862393506E-2</v>
      </c>
      <c r="F78" s="255">
        <v>2.2290123261449076E-2</v>
      </c>
      <c r="G78" s="5">
        <f t="shared" si="54"/>
        <v>4.3873350897295028E-2</v>
      </c>
      <c r="H78" s="5">
        <f t="shared" si="55"/>
        <v>4.3390141758278961E-2</v>
      </c>
      <c r="I78" s="5">
        <f t="shared" si="56"/>
        <v>4.2992251551870191E-2</v>
      </c>
      <c r="J78" s="255">
        <f t="shared" si="57"/>
        <v>4.1764502171483656E-2</v>
      </c>
      <c r="K78" s="359"/>
      <c r="L78" s="359"/>
      <c r="M78" s="359"/>
      <c r="N78" s="255">
        <f>SUM(K26:P26)/SUM(K$27:P$27)</f>
        <v>3.5863101300716009E-2</v>
      </c>
      <c r="O78" s="5">
        <f t="shared" ref="O78:AB78" si="64">SUM(L26:O26)/SUM(L$27:O$27)</f>
        <v>3.648669508503203E-2</v>
      </c>
      <c r="P78" s="5">
        <f t="shared" si="64"/>
        <v>3.7765691176146143E-2</v>
      </c>
      <c r="Q78" s="5">
        <f t="shared" si="64"/>
        <v>4.020110429569048E-2</v>
      </c>
      <c r="R78" s="255">
        <f t="shared" si="64"/>
        <v>4.3078555931885927E-2</v>
      </c>
      <c r="S78" s="5" t="e">
        <f t="shared" si="64"/>
        <v>#DIV/0!</v>
      </c>
      <c r="T78" s="5" t="e">
        <f t="shared" si="64"/>
        <v>#DIV/0!</v>
      </c>
      <c r="U78" s="5" t="e">
        <f t="shared" si="64"/>
        <v>#DIV/0!</v>
      </c>
      <c r="V78" s="255" t="e">
        <f t="shared" si="64"/>
        <v>#DIV/0!</v>
      </c>
      <c r="W78" s="5" t="e">
        <f t="shared" si="64"/>
        <v>#DIV/0!</v>
      </c>
      <c r="X78" s="5" t="e">
        <f t="shared" si="64"/>
        <v>#DIV/0!</v>
      </c>
      <c r="Y78" s="5" t="e">
        <f t="shared" si="64"/>
        <v>#DIV/0!</v>
      </c>
      <c r="Z78" s="255" t="e">
        <f t="shared" si="64"/>
        <v>#DIV/0!</v>
      </c>
      <c r="AA78" s="5" t="e">
        <f t="shared" si="64"/>
        <v>#DIV/0!</v>
      </c>
      <c r="AB78" s="5" t="e">
        <f t="shared" si="64"/>
        <v>#DIV/0!</v>
      </c>
      <c r="AC78" s="359"/>
      <c r="AD78" s="406"/>
      <c r="AE78" s="1548"/>
      <c r="AF78" s="1548"/>
      <c r="AG78" s="406"/>
    </row>
    <row r="79" spans="2:33">
      <c r="B79" s="1439" t="str">
        <f t="shared" si="44"/>
        <v>Total</v>
      </c>
      <c r="C79" s="1574">
        <v>0.45144300577944629</v>
      </c>
      <c r="D79" s="1574">
        <v>0.44966347665938389</v>
      </c>
      <c r="E79" s="1574">
        <v>0.45096172629637549</v>
      </c>
      <c r="F79" s="1575">
        <v>0.45412246788452526</v>
      </c>
      <c r="G79" s="1574">
        <f>SUM(G62:G75)</f>
        <v>0.84759173473901028</v>
      </c>
      <c r="H79" s="1574">
        <f>SUM(H62:H75)</f>
        <v>0.84834852177038211</v>
      </c>
      <c r="I79" s="1574">
        <f>SUM(I62:I75)</f>
        <v>0.8493482360072433</v>
      </c>
      <c r="J79" s="1575">
        <f>SUM(G27:J27)/SUM(G$27:J$27)</f>
        <v>1</v>
      </c>
      <c r="K79" s="1576"/>
      <c r="L79" s="1576"/>
      <c r="M79" s="1576"/>
      <c r="N79" s="1575">
        <f t="shared" ref="N79:T79" si="65">SUM(N60:N78)</f>
        <v>1</v>
      </c>
      <c r="O79" s="1574">
        <f t="shared" si="65"/>
        <v>1.0000000000000002</v>
      </c>
      <c r="P79" s="1574">
        <f t="shared" si="65"/>
        <v>0.99242698518566541</v>
      </c>
      <c r="Q79" s="1574">
        <f t="shared" si="65"/>
        <v>0.99405873114647225</v>
      </c>
      <c r="R79" s="1575">
        <f t="shared" si="65"/>
        <v>0.99999999999999978</v>
      </c>
      <c r="S79" s="1574" t="e">
        <f t="shared" si="65"/>
        <v>#DIV/0!</v>
      </c>
      <c r="T79" s="1574" t="e">
        <f t="shared" si="65"/>
        <v>#DIV/0!</v>
      </c>
      <c r="U79" s="1574" t="e">
        <f t="shared" ref="U79:Z79" si="66">SUM(U60:U78)</f>
        <v>#DIV/0!</v>
      </c>
      <c r="V79" s="1575" t="e">
        <f t="shared" si="66"/>
        <v>#DIV/0!</v>
      </c>
      <c r="W79" s="1574" t="e">
        <f>SUM(W60:W78)</f>
        <v>#DIV/0!</v>
      </c>
      <c r="X79" s="1574" t="e">
        <f t="shared" si="66"/>
        <v>#DIV/0!</v>
      </c>
      <c r="Y79" s="1574" t="e">
        <f t="shared" si="66"/>
        <v>#DIV/0!</v>
      </c>
      <c r="Z79" s="1575" t="e">
        <f t="shared" si="66"/>
        <v>#DIV/0!</v>
      </c>
      <c r="AA79" s="1574" t="e">
        <f>SUM(AA60:AA78)</f>
        <v>#DIV/0!</v>
      </c>
      <c r="AB79" s="1574" t="e">
        <f t="shared" ref="AB79:AF79" si="67">SUM(AB60:AB78)</f>
        <v>#DIV/0!</v>
      </c>
      <c r="AC79" s="1574" t="e">
        <f t="shared" si="67"/>
        <v>#DIV/0!</v>
      </c>
      <c r="AD79" s="1575" t="e">
        <f t="shared" si="67"/>
        <v>#DIV/0!</v>
      </c>
      <c r="AE79" s="1574" t="e">
        <f t="shared" si="67"/>
        <v>#DIV/0!</v>
      </c>
      <c r="AF79" s="1934" t="e">
        <f t="shared" si="67"/>
        <v>#DIV/0!</v>
      </c>
      <c r="AG79" s="1575" t="e">
        <f t="shared" ref="AG79" si="68">SUM(AG60:AG78)</f>
        <v>#DIV/0!</v>
      </c>
    </row>
    <row r="84" spans="2:16">
      <c r="B84" s="1476"/>
      <c r="C84" s="23"/>
      <c r="D84" s="23"/>
      <c r="E84" s="23"/>
      <c r="F84" s="23"/>
    </row>
    <row r="85" spans="2:16">
      <c r="C85" s="248"/>
      <c r="D85" s="248"/>
      <c r="E85" s="248"/>
      <c r="F85" s="248"/>
    </row>
    <row r="86" spans="2:16">
      <c r="C86" s="248"/>
      <c r="D86" s="248"/>
      <c r="E86" s="248"/>
      <c r="F86" s="248"/>
    </row>
    <row r="87" spans="2:16">
      <c r="C87" s="248"/>
      <c r="D87" s="248"/>
      <c r="E87" s="248"/>
      <c r="F87" s="248"/>
    </row>
    <row r="88" spans="2:16">
      <c r="C88" s="248"/>
      <c r="D88" s="248"/>
      <c r="E88" s="248"/>
      <c r="F88" s="248"/>
    </row>
    <row r="89" spans="2:16">
      <c r="C89" s="248"/>
      <c r="D89" s="248"/>
      <c r="E89" s="248"/>
      <c r="F89" s="248"/>
    </row>
    <row r="90" spans="2:16">
      <c r="C90" s="248"/>
      <c r="D90" s="248"/>
      <c r="E90" s="248"/>
      <c r="F90" s="248"/>
    </row>
    <row r="91" spans="2:16">
      <c r="C91" s="248"/>
      <c r="D91" s="248"/>
      <c r="E91" s="248"/>
      <c r="F91" s="248"/>
    </row>
    <row r="92" spans="2:16">
      <c r="B92" s="1517"/>
      <c r="C92" s="1577"/>
      <c r="D92" s="1577"/>
      <c r="E92" s="1577"/>
      <c r="F92" s="1577"/>
    </row>
    <row r="93" spans="2:16">
      <c r="P93" s="5"/>
    </row>
    <row r="94" spans="2:16">
      <c r="P94" s="5"/>
    </row>
    <row r="95" spans="2:16">
      <c r="P95" s="5"/>
    </row>
    <row r="96" spans="2:16">
      <c r="P96" s="5"/>
    </row>
    <row r="97" spans="16:16">
      <c r="P97" s="5"/>
    </row>
    <row r="98" spans="16:16">
      <c r="P98" s="5"/>
    </row>
    <row r="99" spans="16:16">
      <c r="P99" s="5"/>
    </row>
  </sheetData>
  <phoneticPr fontId="6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BJ296"/>
  <sheetViews>
    <sheetView showGridLines="0" zoomScale="80" zoomScaleNormal="80" zoomScalePageLayoutView="70" workbookViewId="0"/>
  </sheetViews>
  <sheetFormatPr defaultColWidth="8.44140625" defaultRowHeight="15.6"/>
  <cols>
    <col min="1" max="1" width="4.44140625" customWidth="1"/>
    <col min="2" max="2" width="23.44140625" style="63" customWidth="1"/>
    <col min="3" max="12" width="11.109375" customWidth="1"/>
    <col min="13" max="14" width="12.44140625" customWidth="1"/>
    <col min="15" max="16" width="11.109375" customWidth="1"/>
    <col min="17" max="19" width="12.44140625" customWidth="1"/>
    <col min="20" max="22" width="12.109375" customWidth="1"/>
    <col min="23" max="23" width="12.44140625" customWidth="1"/>
    <col min="24" max="40" width="12.109375" customWidth="1"/>
    <col min="41" max="42" width="12.109375" style="963" customWidth="1"/>
    <col min="43" max="43" width="13.77734375" customWidth="1"/>
    <col min="44" max="44" width="11.44140625" customWidth="1"/>
    <col min="45" max="45" width="10.44140625" customWidth="1"/>
    <col min="46" max="46" width="8.77734375" customWidth="1"/>
    <col min="47" max="47" width="10.109375" customWidth="1"/>
    <col min="48" max="48" width="4.109375" customWidth="1"/>
    <col min="49" max="49" width="18.109375" customWidth="1"/>
    <col min="50" max="50" width="7.109375" customWidth="1"/>
    <col min="57" max="57" width="11.109375" bestFit="1" customWidth="1"/>
  </cols>
  <sheetData>
    <row r="1" spans="2:2" ht="20.25" customHeight="1">
      <c r="B1" s="69" t="str">
        <f>Introduction!$B$1</f>
        <v>Vendor Survey Results through H1 2023</v>
      </c>
    </row>
    <row r="2" spans="2:2">
      <c r="B2" s="249" t="str">
        <f>Introduction!$B$2</f>
        <v>December 2023 QMU - Sample template for illustrative purposes only</v>
      </c>
    </row>
    <row r="3" spans="2:2">
      <c r="B3" s="218" t="s">
        <v>155</v>
      </c>
    </row>
    <row r="9" spans="2:2" ht="17.399999999999999">
      <c r="B9" s="1237" t="s">
        <v>156</v>
      </c>
    </row>
    <row r="29" ht="12.75" customHeight="1"/>
    <row r="35" spans="2:42" ht="15" thickBot="1">
      <c r="I35" s="30"/>
      <c r="J35" s="13"/>
      <c r="L35" s="13"/>
      <c r="M35" s="30"/>
      <c r="N35" s="13"/>
      <c r="P35" s="13"/>
      <c r="Q35" s="30"/>
      <c r="R35" s="13"/>
      <c r="S35" s="13"/>
      <c r="T35" s="13"/>
      <c r="U35" s="13"/>
      <c r="V35" s="13"/>
      <c r="AC35" s="30"/>
      <c r="AD35" s="13"/>
      <c r="AF35" s="13"/>
      <c r="AG35" s="30"/>
      <c r="AH35" s="13"/>
      <c r="AJ35" s="13"/>
      <c r="AK35" s="30"/>
      <c r="AL35" s="13"/>
      <c r="AM35" s="13"/>
      <c r="AN35" s="13"/>
      <c r="AO35" s="13"/>
      <c r="AP35" s="13"/>
    </row>
    <row r="36" spans="2:42" ht="15" customHeight="1" thickBot="1">
      <c r="B36" s="1886"/>
      <c r="C36" s="2218" t="s">
        <v>157</v>
      </c>
      <c r="D36" s="2219"/>
      <c r="E36" s="2219"/>
      <c r="F36" s="2219"/>
      <c r="G36" s="2219"/>
      <c r="H36" s="2219"/>
      <c r="I36" s="2219"/>
      <c r="J36" s="2219"/>
      <c r="K36" s="2219"/>
      <c r="L36" s="2219"/>
      <c r="M36" s="2219"/>
      <c r="N36" s="2219"/>
      <c r="O36" s="2219"/>
      <c r="P36" s="2219"/>
      <c r="Q36" s="2219"/>
      <c r="R36" s="2219"/>
      <c r="S36" s="2219"/>
      <c r="T36" s="2219"/>
      <c r="U36" s="2225" t="s">
        <v>369</v>
      </c>
      <c r="V36" s="2226"/>
      <c r="W36" s="2220" t="s">
        <v>158</v>
      </c>
      <c r="X36" s="2221"/>
      <c r="Y36" s="2221"/>
      <c r="Z36" s="2221"/>
      <c r="AA36" s="2221"/>
      <c r="AB36" s="2221"/>
      <c r="AC36" s="2221"/>
      <c r="AD36" s="2221"/>
      <c r="AE36" s="2221"/>
      <c r="AF36" s="2221"/>
      <c r="AG36" s="2221"/>
      <c r="AH36" s="2221"/>
      <c r="AI36" s="2221"/>
      <c r="AJ36" s="2221"/>
      <c r="AK36" s="2221"/>
      <c r="AL36" s="2221"/>
      <c r="AM36" s="2221"/>
      <c r="AN36" s="2221"/>
      <c r="AO36" s="2225" t="s">
        <v>369</v>
      </c>
      <c r="AP36" s="2226"/>
    </row>
    <row r="37" spans="2:42" ht="13.8" thickBot="1">
      <c r="B37" s="1238" t="s">
        <v>159</v>
      </c>
      <c r="C37" s="293" t="s">
        <v>108</v>
      </c>
      <c r="D37" s="354" t="s">
        <v>109</v>
      </c>
      <c r="E37" s="293" t="s">
        <v>110</v>
      </c>
      <c r="F37" s="294" t="s">
        <v>111</v>
      </c>
      <c r="G37" s="293" t="s">
        <v>112</v>
      </c>
      <c r="H37" s="354" t="s">
        <v>113</v>
      </c>
      <c r="I37" s="293" t="s">
        <v>114</v>
      </c>
      <c r="J37" s="294" t="s">
        <v>115</v>
      </c>
      <c r="K37" s="64" t="s">
        <v>463</v>
      </c>
      <c r="L37" s="65" t="s">
        <v>489</v>
      </c>
      <c r="M37" s="293" t="s">
        <v>465</v>
      </c>
      <c r="N37" s="294" t="s">
        <v>466</v>
      </c>
      <c r="O37" s="64" t="s">
        <v>467</v>
      </c>
      <c r="P37" s="65" t="s">
        <v>468</v>
      </c>
      <c r="Q37" s="293" t="s">
        <v>469</v>
      </c>
      <c r="R37" s="1887" t="s">
        <v>470</v>
      </c>
      <c r="S37" s="1894" t="s">
        <v>568</v>
      </c>
      <c r="T37" s="1887" t="s">
        <v>594</v>
      </c>
      <c r="U37" s="1975" t="s">
        <v>621</v>
      </c>
      <c r="V37" s="1974" t="s">
        <v>622</v>
      </c>
      <c r="W37" s="1732" t="str">
        <f t="shared" ref="W37:AF37" si="0">C37</f>
        <v>1Q 19</v>
      </c>
      <c r="X37" s="393" t="str">
        <f t="shared" si="0"/>
        <v>2Q 19</v>
      </c>
      <c r="Y37" s="393" t="str">
        <f t="shared" si="0"/>
        <v>3Q 19</v>
      </c>
      <c r="Z37" s="394" t="str">
        <f t="shared" si="0"/>
        <v>4Q 19</v>
      </c>
      <c r="AA37" s="393" t="str">
        <f t="shared" si="0"/>
        <v>1Q 20</v>
      </c>
      <c r="AB37" s="393" t="str">
        <f t="shared" si="0"/>
        <v>2Q 20</v>
      </c>
      <c r="AC37" s="393" t="str">
        <f t="shared" si="0"/>
        <v>3Q 20</v>
      </c>
      <c r="AD37" s="394" t="str">
        <f t="shared" si="0"/>
        <v>4Q 20</v>
      </c>
      <c r="AE37" s="393" t="str">
        <f t="shared" si="0"/>
        <v>1Q 21</v>
      </c>
      <c r="AF37" s="393" t="str">
        <f t="shared" si="0"/>
        <v>2Q21</v>
      </c>
      <c r="AG37" s="393" t="s">
        <v>465</v>
      </c>
      <c r="AH37" s="394" t="s">
        <v>466</v>
      </c>
      <c r="AI37" s="393" t="s">
        <v>467</v>
      </c>
      <c r="AJ37" s="393" t="s">
        <v>468</v>
      </c>
      <c r="AK37" s="393" t="s">
        <v>469</v>
      </c>
      <c r="AL37" s="394" t="s">
        <v>470</v>
      </c>
      <c r="AM37" s="1892" t="s">
        <v>568</v>
      </c>
      <c r="AN37" s="1887" t="s">
        <v>594</v>
      </c>
      <c r="AO37" s="1975" t="s">
        <v>621</v>
      </c>
      <c r="AP37" s="2210" t="s">
        <v>622</v>
      </c>
    </row>
    <row r="38" spans="2:42" ht="13.2">
      <c r="B38" s="1239" t="s">
        <v>160</v>
      </c>
      <c r="C38" s="350">
        <f t="shared" ref="C38:H38" si="1">C75</f>
        <v>33583104.857142858</v>
      </c>
      <c r="D38" s="358">
        <f t="shared" si="1"/>
        <v>34397543.769230768</v>
      </c>
      <c r="E38" s="358">
        <f t="shared" si="1"/>
        <v>33520963</v>
      </c>
      <c r="F38" s="296">
        <f t="shared" si="1"/>
        <v>35550975.328561611</v>
      </c>
      <c r="G38" s="350">
        <f t="shared" si="1"/>
        <v>25916078</v>
      </c>
      <c r="H38" s="358">
        <f t="shared" si="1"/>
        <v>0</v>
      </c>
      <c r="I38" s="358">
        <f t="shared" ref="I38:N38" si="2">I75</f>
        <v>0</v>
      </c>
      <c r="J38" s="296">
        <f t="shared" si="2"/>
        <v>0</v>
      </c>
      <c r="K38" s="350">
        <f t="shared" si="2"/>
        <v>0</v>
      </c>
      <c r="L38" s="358">
        <f t="shared" si="2"/>
        <v>0</v>
      </c>
      <c r="M38" s="358">
        <f t="shared" si="2"/>
        <v>0</v>
      </c>
      <c r="N38" s="296">
        <f t="shared" si="2"/>
        <v>0</v>
      </c>
      <c r="O38" s="350">
        <f t="shared" ref="O38:R38" si="3">O75</f>
        <v>0</v>
      </c>
      <c r="P38" s="358">
        <f t="shared" si="3"/>
        <v>0</v>
      </c>
      <c r="Q38" s="358">
        <f t="shared" si="3"/>
        <v>0</v>
      </c>
      <c r="R38" s="1888">
        <f t="shared" si="3"/>
        <v>0</v>
      </c>
      <c r="S38" s="1895">
        <f>S75</f>
        <v>0</v>
      </c>
      <c r="T38" s="1888">
        <f t="shared" ref="T38" si="4">T75</f>
        <v>0</v>
      </c>
      <c r="U38" s="1888">
        <f t="shared" ref="U38:V38" si="5">U75</f>
        <v>0</v>
      </c>
      <c r="V38" s="761">
        <f t="shared" si="5"/>
        <v>0</v>
      </c>
      <c r="W38" s="759">
        <f t="shared" ref="W38:AB38" si="6">W75</f>
        <v>1290.5626814312532</v>
      </c>
      <c r="X38" s="762">
        <f t="shared" si="6"/>
        <v>1373.0390357217766</v>
      </c>
      <c r="Y38" s="762">
        <f t="shared" si="6"/>
        <v>1437.803196756154</v>
      </c>
      <c r="Z38" s="761">
        <f t="shared" si="6"/>
        <v>1645.6340858693904</v>
      </c>
      <c r="AA38" s="760">
        <f t="shared" si="6"/>
        <v>1255.1067706752262</v>
      </c>
      <c r="AB38" s="762">
        <f t="shared" si="6"/>
        <v>0</v>
      </c>
      <c r="AC38" s="762">
        <f t="shared" ref="AC38:AH38" si="7">AC75</f>
        <v>0</v>
      </c>
      <c r="AD38" s="761">
        <f t="shared" si="7"/>
        <v>0</v>
      </c>
      <c r="AE38" s="760">
        <f t="shared" si="7"/>
        <v>0</v>
      </c>
      <c r="AF38" s="762">
        <f t="shared" si="7"/>
        <v>0</v>
      </c>
      <c r="AG38" s="762">
        <f t="shared" si="7"/>
        <v>0</v>
      </c>
      <c r="AH38" s="761">
        <f t="shared" si="7"/>
        <v>0</v>
      </c>
      <c r="AI38" s="760">
        <f t="shared" ref="AI38:AP38" si="8">AI75</f>
        <v>0</v>
      </c>
      <c r="AJ38" s="762">
        <f t="shared" si="8"/>
        <v>0</v>
      </c>
      <c r="AK38" s="762">
        <f t="shared" si="8"/>
        <v>0</v>
      </c>
      <c r="AL38" s="761">
        <f t="shared" si="8"/>
        <v>0</v>
      </c>
      <c r="AM38" s="760">
        <f t="shared" si="8"/>
        <v>0</v>
      </c>
      <c r="AN38" s="1999">
        <f t="shared" si="8"/>
        <v>0</v>
      </c>
      <c r="AO38" s="1999">
        <f t="shared" si="8"/>
        <v>0</v>
      </c>
      <c r="AP38" s="761">
        <f t="shared" si="8"/>
        <v>0</v>
      </c>
    </row>
    <row r="39" spans="2:42" ht="13.2">
      <c r="B39" s="1239" t="s">
        <v>474</v>
      </c>
      <c r="C39" s="68"/>
      <c r="D39" s="353"/>
      <c r="E39" s="353"/>
      <c r="F39" s="295"/>
      <c r="G39" s="68">
        <f t="shared" ref="G39:AJ39" si="9">G38/C38-1</f>
        <v>-0.22830011965115082</v>
      </c>
      <c r="H39" s="353">
        <f t="shared" si="9"/>
        <v>-1</v>
      </c>
      <c r="I39" s="353">
        <f t="shared" si="9"/>
        <v>-1</v>
      </c>
      <c r="J39" s="295">
        <f t="shared" si="9"/>
        <v>-1</v>
      </c>
      <c r="K39" s="68">
        <f t="shared" si="9"/>
        <v>-1</v>
      </c>
      <c r="L39" s="353" t="e">
        <f t="shared" si="9"/>
        <v>#DIV/0!</v>
      </c>
      <c r="M39" s="353" t="e">
        <f t="shared" si="9"/>
        <v>#DIV/0!</v>
      </c>
      <c r="N39" s="295" t="e">
        <f t="shared" si="9"/>
        <v>#DIV/0!</v>
      </c>
      <c r="O39" s="68" t="e">
        <f t="shared" si="9"/>
        <v>#DIV/0!</v>
      </c>
      <c r="P39" s="353" t="e">
        <f t="shared" si="9"/>
        <v>#DIV/0!</v>
      </c>
      <c r="Q39" s="353" t="e">
        <f>Q38/M38-1</f>
        <v>#DIV/0!</v>
      </c>
      <c r="R39" s="1889" t="e">
        <f>R38/N38-1</f>
        <v>#DIV/0!</v>
      </c>
      <c r="S39" s="1896" t="e">
        <f>S38/O38-1</f>
        <v>#DIV/0!</v>
      </c>
      <c r="T39" s="1889" t="e">
        <f>T38/P38-1</f>
        <v>#DIV/0!</v>
      </c>
      <c r="U39" s="1889" t="e">
        <f t="shared" ref="U39:V39" si="10">U38/Q38-1</f>
        <v>#DIV/0!</v>
      </c>
      <c r="V39" s="295" t="e">
        <f t="shared" si="10"/>
        <v>#DIV/0!</v>
      </c>
      <c r="W39" s="1890"/>
      <c r="X39" s="353"/>
      <c r="Y39" s="353"/>
      <c r="Z39" s="295"/>
      <c r="AA39" s="68">
        <f t="shared" si="9"/>
        <v>-2.747321867133623E-2</v>
      </c>
      <c r="AB39" s="353">
        <f t="shared" si="9"/>
        <v>-1</v>
      </c>
      <c r="AC39" s="353">
        <f t="shared" si="9"/>
        <v>-1</v>
      </c>
      <c r="AD39" s="295">
        <f t="shared" si="9"/>
        <v>-1</v>
      </c>
      <c r="AE39" s="68">
        <f t="shared" si="9"/>
        <v>-1</v>
      </c>
      <c r="AF39" s="353" t="e">
        <f t="shared" si="9"/>
        <v>#DIV/0!</v>
      </c>
      <c r="AG39" s="353" t="e">
        <f t="shared" si="9"/>
        <v>#DIV/0!</v>
      </c>
      <c r="AH39" s="295" t="e">
        <f t="shared" si="9"/>
        <v>#DIV/0!</v>
      </c>
      <c r="AI39" s="68" t="e">
        <f t="shared" si="9"/>
        <v>#DIV/0!</v>
      </c>
      <c r="AJ39" s="353" t="e">
        <f t="shared" si="9"/>
        <v>#DIV/0!</v>
      </c>
      <c r="AK39" s="353" t="e">
        <f>AK38/AG38-1</f>
        <v>#DIV/0!</v>
      </c>
      <c r="AL39" s="295" t="e">
        <f>AL38/AH38-1</f>
        <v>#DIV/0!</v>
      </c>
      <c r="AM39" s="68" t="e">
        <f>AM38/AI38-1</f>
        <v>#DIV/0!</v>
      </c>
      <c r="AN39" s="1889" t="e">
        <f>AN38/AJ38-1</f>
        <v>#DIV/0!</v>
      </c>
      <c r="AO39" s="1977" t="e">
        <f t="shared" ref="AO39" si="11">AO38/AK38-1</f>
        <v>#DIV/0!</v>
      </c>
      <c r="AP39" s="2211" t="e">
        <f>AP38/AL38-1</f>
        <v>#DIV/0!</v>
      </c>
    </row>
    <row r="40" spans="2:42" ht="13.2">
      <c r="B40" s="1239" t="s">
        <v>473</v>
      </c>
      <c r="C40" s="68"/>
      <c r="D40" s="353">
        <f t="shared" ref="D40:P40" si="12">D38/C38-1</f>
        <v>2.4251447731006515E-2</v>
      </c>
      <c r="E40" s="353">
        <f t="shared" si="12"/>
        <v>-2.5483818702627392E-2</v>
      </c>
      <c r="F40" s="295">
        <f t="shared" si="12"/>
        <v>6.055948716513937E-2</v>
      </c>
      <c r="G40" s="68">
        <f t="shared" si="12"/>
        <v>-0.27101639939596667</v>
      </c>
      <c r="H40" s="353">
        <f t="shared" si="12"/>
        <v>-1</v>
      </c>
      <c r="I40" s="353" t="e">
        <f t="shared" si="12"/>
        <v>#DIV/0!</v>
      </c>
      <c r="J40" s="295" t="e">
        <f t="shared" si="12"/>
        <v>#DIV/0!</v>
      </c>
      <c r="K40" s="68" t="e">
        <f t="shared" si="12"/>
        <v>#DIV/0!</v>
      </c>
      <c r="L40" s="353" t="e">
        <f t="shared" si="12"/>
        <v>#DIV/0!</v>
      </c>
      <c r="M40" s="353" t="e">
        <f t="shared" si="12"/>
        <v>#DIV/0!</v>
      </c>
      <c r="N40" s="295" t="e">
        <f t="shared" si="12"/>
        <v>#DIV/0!</v>
      </c>
      <c r="O40" s="68" t="e">
        <f t="shared" si="12"/>
        <v>#DIV/0!</v>
      </c>
      <c r="P40" s="353" t="e">
        <f t="shared" si="12"/>
        <v>#DIV/0!</v>
      </c>
      <c r="Q40" s="353" t="e">
        <f>Q38/P38-1</f>
        <v>#DIV/0!</v>
      </c>
      <c r="R40" s="1889" t="e">
        <f>R38/Q38-1</f>
        <v>#DIV/0!</v>
      </c>
      <c r="S40" s="1896" t="e">
        <f>S38/R38-1</f>
        <v>#DIV/0!</v>
      </c>
      <c r="T40" s="1889" t="e">
        <f>T38/S38-1</f>
        <v>#DIV/0!</v>
      </c>
      <c r="U40" s="1889" t="e">
        <f t="shared" ref="U40:V40" si="13">U38/T38-1</f>
        <v>#DIV/0!</v>
      </c>
      <c r="V40" s="295" t="e">
        <f t="shared" si="13"/>
        <v>#DIV/0!</v>
      </c>
      <c r="W40" s="1890"/>
      <c r="X40" s="353">
        <f t="shared" ref="X40:AJ40" si="14">X38/W38-1</f>
        <v>6.3907282828801426E-2</v>
      </c>
      <c r="Y40" s="353">
        <f t="shared" si="14"/>
        <v>4.7168477624769167E-2</v>
      </c>
      <c r="Z40" s="295">
        <f t="shared" si="14"/>
        <v>0.14454752192937548</v>
      </c>
      <c r="AA40" s="68">
        <f t="shared" si="14"/>
        <v>-0.23731114866148884</v>
      </c>
      <c r="AB40" s="353">
        <f t="shared" si="14"/>
        <v>-1</v>
      </c>
      <c r="AC40" s="353" t="e">
        <f t="shared" si="14"/>
        <v>#DIV/0!</v>
      </c>
      <c r="AD40" s="295" t="e">
        <f t="shared" si="14"/>
        <v>#DIV/0!</v>
      </c>
      <c r="AE40" s="68" t="e">
        <f t="shared" si="14"/>
        <v>#DIV/0!</v>
      </c>
      <c r="AF40" s="353" t="e">
        <f t="shared" si="14"/>
        <v>#DIV/0!</v>
      </c>
      <c r="AG40" s="353" t="e">
        <f t="shared" si="14"/>
        <v>#DIV/0!</v>
      </c>
      <c r="AH40" s="295" t="e">
        <f t="shared" si="14"/>
        <v>#DIV/0!</v>
      </c>
      <c r="AI40" s="68" t="e">
        <f t="shared" si="14"/>
        <v>#DIV/0!</v>
      </c>
      <c r="AJ40" s="353" t="e">
        <f t="shared" si="14"/>
        <v>#DIV/0!</v>
      </c>
      <c r="AK40" s="353" t="e">
        <f>AK38/AJ38-1</f>
        <v>#DIV/0!</v>
      </c>
      <c r="AL40" s="295" t="e">
        <f>AL38/AK38-1</f>
        <v>#DIV/0!</v>
      </c>
      <c r="AM40" s="68" t="e">
        <f>AM38/AL38-1</f>
        <v>#DIV/0!</v>
      </c>
      <c r="AN40" s="1889" t="e">
        <f>AN38/AM38-1</f>
        <v>#DIV/0!</v>
      </c>
      <c r="AO40" s="1977" t="e">
        <f t="shared" ref="AO40:AP40" si="15">AO38/AN38-1</f>
        <v>#DIV/0!</v>
      </c>
      <c r="AP40" s="2211" t="e">
        <f t="shared" si="15"/>
        <v>#DIV/0!</v>
      </c>
    </row>
    <row r="41" spans="2:42">
      <c r="C41" s="963"/>
      <c r="D41" s="963"/>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1474"/>
      <c r="AG41" s="1474"/>
      <c r="AH41" s="1474"/>
      <c r="AI41" s="963"/>
      <c r="AJ41" s="1474"/>
      <c r="AK41" s="1474"/>
      <c r="AL41" s="1474"/>
      <c r="AM41" s="1474"/>
      <c r="AN41" s="1474"/>
    </row>
    <row r="42" spans="2:42">
      <c r="C42" s="963"/>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1433"/>
      <c r="AG42" s="963"/>
      <c r="AH42" s="1433"/>
      <c r="AI42" s="963"/>
      <c r="AJ42" s="1433"/>
      <c r="AK42" s="963"/>
      <c r="AL42" s="1433"/>
      <c r="AM42" s="963"/>
      <c r="AN42" s="1433"/>
      <c r="AP42" s="1433"/>
    </row>
    <row r="43" spans="2:42" ht="17.399999999999999">
      <c r="B43" s="1237" t="s">
        <v>161</v>
      </c>
      <c r="AN43" s="5"/>
      <c r="AP43" s="1474"/>
    </row>
    <row r="66" spans="2:62" ht="15" thickBot="1">
      <c r="I66" s="30"/>
      <c r="J66" s="13"/>
      <c r="L66" s="13"/>
      <c r="M66" s="30"/>
      <c r="N66" s="13"/>
      <c r="O66" s="1"/>
      <c r="P66" s="13"/>
      <c r="Q66" s="30"/>
      <c r="R66" s="13"/>
      <c r="S66" s="13"/>
      <c r="T66" s="13"/>
      <c r="U66" s="13"/>
      <c r="V66" s="13"/>
      <c r="AC66" s="30"/>
      <c r="AD66" s="13"/>
      <c r="AF66" s="13"/>
      <c r="AG66" s="30"/>
      <c r="AH66" s="13"/>
      <c r="AJ66" s="13"/>
      <c r="AK66" s="30"/>
      <c r="AL66" s="13"/>
      <c r="AM66" s="13"/>
      <c r="AN66" s="13"/>
      <c r="AO66" s="13"/>
      <c r="AP66" s="13"/>
    </row>
    <row r="67" spans="2:62" ht="17.25" customHeight="1" thickBot="1">
      <c r="B67" s="1893"/>
      <c r="C67" s="2218" t="s">
        <v>157</v>
      </c>
      <c r="D67" s="2219"/>
      <c r="E67" s="2219"/>
      <c r="F67" s="2219"/>
      <c r="G67" s="2219"/>
      <c r="H67" s="2219"/>
      <c r="I67" s="2219"/>
      <c r="J67" s="2219"/>
      <c r="K67" s="2219"/>
      <c r="L67" s="2219"/>
      <c r="M67" s="2219"/>
      <c r="N67" s="2219"/>
      <c r="O67" s="2219"/>
      <c r="P67" s="2219"/>
      <c r="Q67" s="2219"/>
      <c r="R67" s="2219"/>
      <c r="S67" s="2219"/>
      <c r="T67" s="2219"/>
      <c r="U67" s="2225" t="s">
        <v>369</v>
      </c>
      <c r="V67" s="2226"/>
      <c r="W67" s="2220" t="s">
        <v>158</v>
      </c>
      <c r="X67" s="2221"/>
      <c r="Y67" s="2221"/>
      <c r="Z67" s="2221"/>
      <c r="AA67" s="2221"/>
      <c r="AB67" s="2221"/>
      <c r="AC67" s="2221"/>
      <c r="AD67" s="2221"/>
      <c r="AE67" s="2221"/>
      <c r="AF67" s="2221"/>
      <c r="AG67" s="2221"/>
      <c r="AH67" s="2221"/>
      <c r="AI67" s="2221"/>
      <c r="AJ67" s="2221"/>
      <c r="AK67" s="2221"/>
      <c r="AL67" s="2221"/>
      <c r="AM67" s="2221"/>
      <c r="AN67" s="2221"/>
      <c r="AO67" s="2225" t="s">
        <v>369</v>
      </c>
      <c r="AP67" s="2226"/>
      <c r="AQ67" s="963"/>
      <c r="AR67" s="963"/>
      <c r="AU67" s="1370"/>
    </row>
    <row r="68" spans="2:62" ht="15.45" customHeight="1" thickBot="1">
      <c r="B68" s="1897" t="s">
        <v>120</v>
      </c>
      <c r="C68" s="64" t="str">
        <f t="shared" ref="C68:F68" si="16">C37</f>
        <v>1Q 19</v>
      </c>
      <c r="D68" s="65" t="str">
        <f t="shared" si="16"/>
        <v>2Q 19</v>
      </c>
      <c r="E68" s="64" t="str">
        <f t="shared" si="16"/>
        <v>3Q 19</v>
      </c>
      <c r="F68" s="294" t="str">
        <f t="shared" si="16"/>
        <v>4Q 19</v>
      </c>
      <c r="G68" s="64" t="str">
        <f t="shared" ref="G68:L68" si="17">G37</f>
        <v>1Q 20</v>
      </c>
      <c r="H68" s="65" t="str">
        <f t="shared" si="17"/>
        <v>2Q 20</v>
      </c>
      <c r="I68" s="64" t="str">
        <f t="shared" si="17"/>
        <v>3Q 20</v>
      </c>
      <c r="J68" s="294" t="str">
        <f t="shared" si="17"/>
        <v>4Q 20</v>
      </c>
      <c r="K68" s="64" t="str">
        <f t="shared" si="17"/>
        <v>1Q 21</v>
      </c>
      <c r="L68" s="65" t="str">
        <f t="shared" si="17"/>
        <v>2Q21</v>
      </c>
      <c r="M68" s="293" t="s">
        <v>465</v>
      </c>
      <c r="N68" s="294" t="s">
        <v>466</v>
      </c>
      <c r="O68" s="64" t="s">
        <v>467</v>
      </c>
      <c r="P68" s="65" t="s">
        <v>468</v>
      </c>
      <c r="Q68" s="293" t="str">
        <f t="shared" ref="Q68:R68" si="18">Q37</f>
        <v>3Q 22</v>
      </c>
      <c r="R68" s="294" t="str">
        <f t="shared" si="18"/>
        <v>4Q 22</v>
      </c>
      <c r="S68" s="1891" t="s">
        <v>568</v>
      </c>
      <c r="T68" s="1887" t="s">
        <v>594</v>
      </c>
      <c r="U68" s="1975" t="s">
        <v>621</v>
      </c>
      <c r="V68" s="1974" t="s">
        <v>622</v>
      </c>
      <c r="W68" s="1732" t="str">
        <f t="shared" ref="W68:AF68" si="19">C68</f>
        <v>1Q 19</v>
      </c>
      <c r="X68" s="293" t="str">
        <f t="shared" si="19"/>
        <v>2Q 19</v>
      </c>
      <c r="Y68" s="393" t="str">
        <f t="shared" si="19"/>
        <v>3Q 19</v>
      </c>
      <c r="Z68" s="394" t="str">
        <f t="shared" si="19"/>
        <v>4Q 19</v>
      </c>
      <c r="AA68" s="393" t="str">
        <f t="shared" si="19"/>
        <v>1Q 20</v>
      </c>
      <c r="AB68" s="293" t="str">
        <f t="shared" si="19"/>
        <v>2Q 20</v>
      </c>
      <c r="AC68" s="393" t="str">
        <f t="shared" si="19"/>
        <v>3Q 20</v>
      </c>
      <c r="AD68" s="394" t="str">
        <f t="shared" si="19"/>
        <v>4Q 20</v>
      </c>
      <c r="AE68" s="393" t="str">
        <f t="shared" si="19"/>
        <v>1Q 21</v>
      </c>
      <c r="AF68" s="293" t="str">
        <f t="shared" si="19"/>
        <v>2Q21</v>
      </c>
      <c r="AG68" s="293" t="s">
        <v>465</v>
      </c>
      <c r="AH68" s="294" t="s">
        <v>466</v>
      </c>
      <c r="AI68" s="393" t="str">
        <f>AI37</f>
        <v>1Q 22</v>
      </c>
      <c r="AJ68" s="293" t="str">
        <f>AJ37</f>
        <v>2Q 22</v>
      </c>
      <c r="AK68" s="293" t="str">
        <f t="shared" ref="AK68:AL68" si="20">AK37</f>
        <v>3Q 22</v>
      </c>
      <c r="AL68" s="294" t="str">
        <f t="shared" si="20"/>
        <v>4Q 22</v>
      </c>
      <c r="AM68" s="1892" t="s">
        <v>568</v>
      </c>
      <c r="AN68" s="1887" t="s">
        <v>594</v>
      </c>
      <c r="AO68" s="1975" t="s">
        <v>621</v>
      </c>
      <c r="AP68" s="1974" t="s">
        <v>622</v>
      </c>
      <c r="AQ68" s="1845"/>
      <c r="AR68" s="964"/>
      <c r="AS68" s="13"/>
      <c r="AU68" s="1370"/>
      <c r="AV68" s="1370"/>
      <c r="AW68" s="1370"/>
      <c r="AZ68" s="1370"/>
      <c r="BA68" s="1370"/>
      <c r="BC68" s="1370"/>
      <c r="BD68" s="1370"/>
      <c r="BG68" s="1370"/>
      <c r="BH68" s="1370"/>
    </row>
    <row r="69" spans="2:62">
      <c r="B69" s="1241" t="s">
        <v>162</v>
      </c>
      <c r="C69" s="345">
        <f>Ethernet!M67</f>
        <v>10851376.857142856</v>
      </c>
      <c r="D69" s="355">
        <f>Ethernet!N67</f>
        <v>11271000.76923077</v>
      </c>
      <c r="E69" s="355">
        <f>Ethernet!O67</f>
        <v>11066643</v>
      </c>
      <c r="F69" s="344">
        <f>Ethernet!P67</f>
        <v>12593613</v>
      </c>
      <c r="G69" s="345">
        <f>Ethernet!Q67</f>
        <v>9541657</v>
      </c>
      <c r="H69" s="355">
        <f>Ethernet!R67</f>
        <v>0</v>
      </c>
      <c r="I69" s="355">
        <f>Ethernet!S67</f>
        <v>0</v>
      </c>
      <c r="J69" s="344">
        <f>Ethernet!T67</f>
        <v>0</v>
      </c>
      <c r="K69" s="345">
        <f>Ethernet!U67</f>
        <v>0</v>
      </c>
      <c r="L69" s="355">
        <f>Ethernet!V67</f>
        <v>0</v>
      </c>
      <c r="M69" s="355">
        <f>Ethernet!W67</f>
        <v>0</v>
      </c>
      <c r="N69" s="344">
        <f>Ethernet!X67</f>
        <v>0</v>
      </c>
      <c r="O69" s="345">
        <f>Ethernet!Y67</f>
        <v>0</v>
      </c>
      <c r="P69" s="355">
        <f>Ethernet!Z67</f>
        <v>0</v>
      </c>
      <c r="Q69" s="355">
        <f>Ethernet!AA67</f>
        <v>0</v>
      </c>
      <c r="R69" s="344">
        <f>Ethernet!AB67</f>
        <v>0</v>
      </c>
      <c r="S69" s="1388">
        <f>Ethernet!AC67</f>
        <v>0</v>
      </c>
      <c r="T69" s="355">
        <f>Ethernet!AD67</f>
        <v>0</v>
      </c>
      <c r="U69" s="1981">
        <f>Ethernet!AE67</f>
        <v>0</v>
      </c>
      <c r="V69" s="1978">
        <f>Ethernet!AF67</f>
        <v>0</v>
      </c>
      <c r="W69" s="763">
        <f>Ethernet!M195/10^6</f>
        <v>621.50911974132771</v>
      </c>
      <c r="X69" s="766">
        <f>Ethernet!N195/10^6</f>
        <v>653.39323587627814</v>
      </c>
      <c r="Y69" s="767">
        <f>Ethernet!O195/10^6</f>
        <v>646.77647917863715</v>
      </c>
      <c r="Z69" s="765">
        <f>Ethernet!P195/10^6</f>
        <v>771.26596163619001</v>
      </c>
      <c r="AA69" s="763">
        <f>Ethernet!Q195/10^6</f>
        <v>717.2642359701008</v>
      </c>
      <c r="AB69" s="766">
        <f>Ethernet!R195/10^6</f>
        <v>0</v>
      </c>
      <c r="AC69" s="767">
        <f>Ethernet!S195/10^6</f>
        <v>0</v>
      </c>
      <c r="AD69" s="765">
        <f>Ethernet!T195/10^6</f>
        <v>0</v>
      </c>
      <c r="AE69" s="763">
        <f>Ethernet!U195/10^6</f>
        <v>0</v>
      </c>
      <c r="AF69" s="766">
        <f>Ethernet!V195/10^6</f>
        <v>0</v>
      </c>
      <c r="AG69" s="767">
        <f>Ethernet!W195/10^6</f>
        <v>0</v>
      </c>
      <c r="AH69" s="765">
        <f>Ethernet!X195/10^6</f>
        <v>0</v>
      </c>
      <c r="AI69" s="763">
        <f>Ethernet!Y195/10^6</f>
        <v>0</v>
      </c>
      <c r="AJ69" s="766">
        <f>Ethernet!Z195/10^6</f>
        <v>0</v>
      </c>
      <c r="AK69" s="767">
        <f>Ethernet!AA195/10^6</f>
        <v>0</v>
      </c>
      <c r="AL69" s="765">
        <f>Ethernet!AB195/10^6</f>
        <v>0</v>
      </c>
      <c r="AM69" s="2000">
        <f>Ethernet!AC195/10^6</f>
        <v>0</v>
      </c>
      <c r="AN69" s="2004">
        <f>Ethernet!AD195/10^6</f>
        <v>0</v>
      </c>
      <c r="AO69" s="2004">
        <f>Ethernet!AE195/10^6</f>
        <v>0</v>
      </c>
      <c r="AP69" s="2002">
        <f>Ethernet!AF195/10^6</f>
        <v>0</v>
      </c>
      <c r="AQ69" s="965"/>
      <c r="AR69" s="965"/>
      <c r="AS69" s="966"/>
      <c r="AU69" s="1373"/>
      <c r="AV69" s="1373"/>
      <c r="AW69" s="1373"/>
      <c r="AY69" s="1373"/>
      <c r="AZ69" s="248"/>
      <c r="BA69" s="248"/>
      <c r="BC69" s="15"/>
      <c r="BD69" s="15"/>
      <c r="BE69" s="248"/>
      <c r="BF69" s="15"/>
      <c r="BG69" s="648"/>
      <c r="BH69" s="648"/>
      <c r="BI69" s="248"/>
      <c r="BJ69" s="648"/>
    </row>
    <row r="70" spans="2:62">
      <c r="B70" s="1241" t="s">
        <v>15</v>
      </c>
      <c r="C70" s="345">
        <f>'Fibre Channel'!L21</f>
        <v>2234473</v>
      </c>
      <c r="D70" s="356">
        <f>'Fibre Channel'!M21</f>
        <v>1931925</v>
      </c>
      <c r="E70" s="356">
        <f>'Fibre Channel'!N21</f>
        <v>1931925</v>
      </c>
      <c r="F70" s="346">
        <f>'Fibre Channel'!O21</f>
        <v>2223672.3285616133</v>
      </c>
      <c r="G70" s="345">
        <f>'Fibre Channel'!P21</f>
        <v>976510</v>
      </c>
      <c r="H70" s="356">
        <f>'Fibre Channel'!Q21</f>
        <v>0</v>
      </c>
      <c r="I70" s="356">
        <f>'Fibre Channel'!R21</f>
        <v>0</v>
      </c>
      <c r="J70" s="346">
        <f>'Fibre Channel'!S21</f>
        <v>0</v>
      </c>
      <c r="K70" s="345">
        <f>'Fibre Channel'!T21</f>
        <v>0</v>
      </c>
      <c r="L70" s="356">
        <f>'Fibre Channel'!U21</f>
        <v>0</v>
      </c>
      <c r="M70" s="356">
        <f>'Fibre Channel'!V21</f>
        <v>0</v>
      </c>
      <c r="N70" s="346">
        <f>'Fibre Channel'!W21</f>
        <v>0</v>
      </c>
      <c r="O70" s="345">
        <f>'Fibre Channel'!X21</f>
        <v>0</v>
      </c>
      <c r="P70" s="356">
        <f>'Fibre Channel'!Y21</f>
        <v>0</v>
      </c>
      <c r="Q70" s="356">
        <f>'Fibre Channel'!Z21</f>
        <v>0</v>
      </c>
      <c r="R70" s="346">
        <f>'Fibre Channel'!AA21</f>
        <v>0</v>
      </c>
      <c r="S70" s="1384">
        <f>'Fibre Channel'!AB21</f>
        <v>0</v>
      </c>
      <c r="T70" s="356">
        <f>'Fibre Channel'!AC21</f>
        <v>0</v>
      </c>
      <c r="U70" s="1982">
        <f>'Fibre Channel'!AD21</f>
        <v>0</v>
      </c>
      <c r="V70" s="1979">
        <f>'Fibre Channel'!AE21</f>
        <v>0</v>
      </c>
      <c r="W70" s="763">
        <f>'Fibre Channel'!L55/10^6</f>
        <v>82.718587079999978</v>
      </c>
      <c r="X70" s="764">
        <f>'Fibre Channel'!M55/10^6</f>
        <v>67.717933549999998</v>
      </c>
      <c r="Y70" s="767">
        <f>'Fibre Channel'!N55/10^6</f>
        <v>55.810001499999998</v>
      </c>
      <c r="Z70" s="765">
        <f>'Fibre Channel'!O55/10^6</f>
        <v>75.429854943909177</v>
      </c>
      <c r="AA70" s="763">
        <f>'Fibre Channel'!P55/10^6</f>
        <v>37.153192857142855</v>
      </c>
      <c r="AB70" s="764">
        <f>'Fibre Channel'!Q55/10^6</f>
        <v>0</v>
      </c>
      <c r="AC70" s="767">
        <f>'Fibre Channel'!R55/10^6</f>
        <v>0</v>
      </c>
      <c r="AD70" s="765">
        <f>'Fibre Channel'!S55/10^6</f>
        <v>0</v>
      </c>
      <c r="AE70" s="763">
        <f>'Fibre Channel'!T55/10^6</f>
        <v>0</v>
      </c>
      <c r="AF70" s="764">
        <f>'Fibre Channel'!U55/10^6</f>
        <v>0</v>
      </c>
      <c r="AG70" s="767">
        <f>'Fibre Channel'!V55/10^6</f>
        <v>0</v>
      </c>
      <c r="AH70" s="765">
        <f>'Fibre Channel'!W55/10^6</f>
        <v>0</v>
      </c>
      <c r="AI70" s="763">
        <f>'Fibre Channel'!X55/10^6</f>
        <v>0</v>
      </c>
      <c r="AJ70" s="764">
        <f>'Fibre Channel'!Y55/10^6</f>
        <v>0</v>
      </c>
      <c r="AK70" s="767">
        <f>'Fibre Channel'!Z55/10^6</f>
        <v>0</v>
      </c>
      <c r="AL70" s="765">
        <f>'Fibre Channel'!AA55/10^6</f>
        <v>0</v>
      </c>
      <c r="AM70" s="2000">
        <f>'Fibre Channel'!AB55/10^6</f>
        <v>0</v>
      </c>
      <c r="AN70" s="2004">
        <f>'Fibre Channel'!AC55/10^6</f>
        <v>0</v>
      </c>
      <c r="AO70" s="2004">
        <f>'Fibre Channel'!AD55/10^6</f>
        <v>0</v>
      </c>
      <c r="AP70" s="2002">
        <f>'Fibre Channel'!AE55/10^6</f>
        <v>0</v>
      </c>
      <c r="AQ70" s="965"/>
      <c r="AR70" s="965"/>
      <c r="AS70" s="966"/>
      <c r="AU70" s="1373"/>
      <c r="AV70" s="1373"/>
      <c r="AW70" s="1373"/>
      <c r="AY70" s="1373"/>
      <c r="AZ70" s="248"/>
      <c r="BA70" s="248"/>
      <c r="BC70" s="15"/>
      <c r="BD70" s="15"/>
      <c r="BE70" s="248"/>
      <c r="BG70" s="648"/>
      <c r="BH70" s="648"/>
      <c r="BI70" s="248"/>
    </row>
    <row r="71" spans="2:62">
      <c r="B71" s="1242" t="s">
        <v>16</v>
      </c>
      <c r="C71" s="347">
        <f>'Optical Interconnects'!K21</f>
        <v>1182876</v>
      </c>
      <c r="D71" s="357">
        <f>'Optical Interconnects'!L21</f>
        <v>1316779</v>
      </c>
      <c r="E71" s="357">
        <f>'Optical Interconnects'!M21</f>
        <v>1301500</v>
      </c>
      <c r="F71" s="348">
        <f>'Optical Interconnects'!N21</f>
        <v>1356400</v>
      </c>
      <c r="G71" s="347">
        <f>'Optical Interconnects'!O21</f>
        <v>1097542</v>
      </c>
      <c r="H71" s="357">
        <f>'Optical Interconnects'!P21</f>
        <v>0</v>
      </c>
      <c r="I71" s="357">
        <f>'Optical Interconnects'!Q21</f>
        <v>0</v>
      </c>
      <c r="J71" s="348">
        <f>'Optical Interconnects'!R21</f>
        <v>0</v>
      </c>
      <c r="K71" s="347">
        <f>'Optical Interconnects'!S21</f>
        <v>0</v>
      </c>
      <c r="L71" s="357">
        <f>'Optical Interconnects'!T21</f>
        <v>0</v>
      </c>
      <c r="M71" s="357">
        <f>'Optical Interconnects'!U21</f>
        <v>0</v>
      </c>
      <c r="N71" s="348">
        <f>'Optical Interconnects'!V21</f>
        <v>0</v>
      </c>
      <c r="O71" s="347">
        <f>'Optical Interconnects'!W21</f>
        <v>0</v>
      </c>
      <c r="P71" s="357">
        <f>'Optical Interconnects'!X21</f>
        <v>0</v>
      </c>
      <c r="Q71" s="357">
        <f>'Optical Interconnects'!Y21</f>
        <v>0</v>
      </c>
      <c r="R71" s="348">
        <f>'Optical Interconnects'!Z21</f>
        <v>0</v>
      </c>
      <c r="S71" s="1383">
        <f>'Optical Interconnects'!AA21</f>
        <v>0</v>
      </c>
      <c r="T71" s="357">
        <f>'Optical Interconnects'!AB21</f>
        <v>0</v>
      </c>
      <c r="U71" s="1976">
        <f>'Optical Interconnects'!AC21</f>
        <v>0</v>
      </c>
      <c r="V71" s="1973">
        <f>'Optical Interconnects'!AD21</f>
        <v>0</v>
      </c>
      <c r="W71" s="768">
        <f>'Optical Interconnects'!K53/10^6</f>
        <v>84.742637639999998</v>
      </c>
      <c r="X71" s="760">
        <f>'Optical Interconnects'!L53/10^6</f>
        <v>103.29352570000002</v>
      </c>
      <c r="Y71" s="759">
        <f>'Optical Interconnects'!M53/10^6</f>
        <v>104.325</v>
      </c>
      <c r="Z71" s="769">
        <f>'Optical Interconnects'!N53/10^6</f>
        <v>103.94799999999999</v>
      </c>
      <c r="AA71" s="768">
        <f>'Optical Interconnects'!O53/10^6</f>
        <v>66.098707101490291</v>
      </c>
      <c r="AB71" s="760">
        <f>'Optical Interconnects'!P53/10^6</f>
        <v>0</v>
      </c>
      <c r="AC71" s="759">
        <f>'Optical Interconnects'!Q53/10^6</f>
        <v>0</v>
      </c>
      <c r="AD71" s="769">
        <f>'Optical Interconnects'!R53/10^6</f>
        <v>0</v>
      </c>
      <c r="AE71" s="768">
        <f>'Optical Interconnects'!S53/10^6</f>
        <v>0</v>
      </c>
      <c r="AF71" s="760">
        <f>'Optical Interconnects'!T53/10^6</f>
        <v>0</v>
      </c>
      <c r="AG71" s="759">
        <f>'Optical Interconnects'!U53/10^6</f>
        <v>0</v>
      </c>
      <c r="AH71" s="769">
        <f>'Optical Interconnects'!V53/10^6</f>
        <v>0</v>
      </c>
      <c r="AI71" s="768">
        <f>'Optical Interconnects'!W53/10^6</f>
        <v>0</v>
      </c>
      <c r="AJ71" s="760">
        <f>'Optical Interconnects'!X53/10^6</f>
        <v>0</v>
      </c>
      <c r="AK71" s="759">
        <f>'Optical Interconnects'!Y53/10^6</f>
        <v>0</v>
      </c>
      <c r="AL71" s="769">
        <f>'Optical Interconnects'!Z53/10^6</f>
        <v>0</v>
      </c>
      <c r="AM71" s="2001">
        <f>'Optical Interconnects'!AA53/10^6</f>
        <v>0</v>
      </c>
      <c r="AN71" s="2005">
        <f>'Optical Interconnects'!AB53/10^6</f>
        <v>0</v>
      </c>
      <c r="AO71" s="2005">
        <f>'Optical Interconnects'!AC53/10^6</f>
        <v>0</v>
      </c>
      <c r="AP71" s="2003">
        <f>'Optical Interconnects'!AD53/10^6</f>
        <v>0</v>
      </c>
      <c r="AQ71" s="965"/>
      <c r="AR71" s="965"/>
      <c r="AS71" s="966"/>
      <c r="AU71" s="1373"/>
      <c r="AV71" s="1373"/>
      <c r="AW71" s="1373"/>
      <c r="AY71" s="1373"/>
      <c r="AZ71" s="248"/>
      <c r="BA71" s="248"/>
      <c r="BC71" s="15"/>
      <c r="BD71" s="15"/>
      <c r="BE71" s="248"/>
      <c r="BG71" s="648"/>
      <c r="BH71" s="648"/>
      <c r="BI71" s="248"/>
    </row>
    <row r="72" spans="2:62">
      <c r="B72" s="1241" t="s">
        <v>18</v>
      </c>
      <c r="C72" s="345">
        <f>'CWDM and DWDM'!M26</f>
        <v>233479</v>
      </c>
      <c r="D72" s="356">
        <f>'CWDM and DWDM'!N26</f>
        <v>218139</v>
      </c>
      <c r="E72" s="356">
        <f>'CWDM and DWDM'!O26</f>
        <v>282062</v>
      </c>
      <c r="F72" s="346">
        <f>'CWDM and DWDM'!P26</f>
        <v>306275</v>
      </c>
      <c r="G72" s="345">
        <f>'CWDM and DWDM'!Q26</f>
        <v>218525</v>
      </c>
      <c r="H72" s="356">
        <f>'CWDM and DWDM'!R26</f>
        <v>0</v>
      </c>
      <c r="I72" s="356">
        <f>'CWDM and DWDM'!S26</f>
        <v>0</v>
      </c>
      <c r="J72" s="346">
        <f>'CWDM and DWDM'!T26</f>
        <v>0</v>
      </c>
      <c r="K72" s="345">
        <f>'CWDM and DWDM'!U26</f>
        <v>0</v>
      </c>
      <c r="L72" s="356">
        <f>'CWDM and DWDM'!V26</f>
        <v>0</v>
      </c>
      <c r="M72" s="356">
        <f>'CWDM and DWDM'!W26</f>
        <v>0</v>
      </c>
      <c r="N72" s="346">
        <f>'CWDM and DWDM'!X26</f>
        <v>0</v>
      </c>
      <c r="O72" s="345">
        <f>'CWDM and DWDM'!Y26</f>
        <v>0</v>
      </c>
      <c r="P72" s="356">
        <f>'CWDM and DWDM'!Z26</f>
        <v>0</v>
      </c>
      <c r="Q72" s="356">
        <f>'CWDM and DWDM'!AA26</f>
        <v>0</v>
      </c>
      <c r="R72" s="346">
        <f>'CWDM and DWDM'!AB26</f>
        <v>0</v>
      </c>
      <c r="S72" s="1384">
        <f>'CWDM and DWDM'!AC26</f>
        <v>0</v>
      </c>
      <c r="T72" s="356">
        <f>'CWDM and DWDM'!AD26</f>
        <v>0</v>
      </c>
      <c r="U72" s="1982">
        <f>'CWDM and DWDM'!AE26</f>
        <v>0</v>
      </c>
      <c r="V72" s="1979">
        <f>'CWDM and DWDM'!AF26</f>
        <v>0</v>
      </c>
      <c r="W72" s="763">
        <f>'CWDM and DWDM'!M70/10^6</f>
        <v>235.24660455351167</v>
      </c>
      <c r="X72" s="222">
        <f>'CWDM and DWDM'!N70/10^6</f>
        <v>245.91406112484921</v>
      </c>
      <c r="Y72" s="222">
        <f>'CWDM and DWDM'!O70/10^6</f>
        <v>291.10020571723675</v>
      </c>
      <c r="Z72" s="765">
        <f>'CWDM and DWDM'!P70/10^6</f>
        <v>328.08760742024697</v>
      </c>
      <c r="AA72" s="763">
        <f>'CWDM and DWDM'!Q70/10^6</f>
        <v>195.56157702314923</v>
      </c>
      <c r="AB72" s="222">
        <f>'CWDM and DWDM'!R70/10^6</f>
        <v>0</v>
      </c>
      <c r="AC72" s="222">
        <f>'CWDM and DWDM'!S70/10^6</f>
        <v>0</v>
      </c>
      <c r="AD72" s="765">
        <f>'CWDM and DWDM'!T70/10^6</f>
        <v>0</v>
      </c>
      <c r="AE72" s="763">
        <f>'CWDM and DWDM'!U70/10^6</f>
        <v>0</v>
      </c>
      <c r="AF72" s="222">
        <f>'CWDM and DWDM'!V70/10^6</f>
        <v>0</v>
      </c>
      <c r="AG72" s="222">
        <f>'CWDM and DWDM'!W70/10^6</f>
        <v>0</v>
      </c>
      <c r="AH72" s="765">
        <f>'CWDM and DWDM'!X70/10^6</f>
        <v>0</v>
      </c>
      <c r="AI72" s="763">
        <f>'CWDM and DWDM'!Y70/10^6</f>
        <v>0</v>
      </c>
      <c r="AJ72" s="222">
        <f>'CWDM and DWDM'!Z70/10^6</f>
        <v>0</v>
      </c>
      <c r="AK72" s="222">
        <f>'CWDM and DWDM'!AA70/10^6</f>
        <v>0</v>
      </c>
      <c r="AL72" s="765">
        <f>'CWDM and DWDM'!AB70/10^6</f>
        <v>0</v>
      </c>
      <c r="AM72" s="2000">
        <f>'CWDM and DWDM'!AC70/10^6</f>
        <v>0</v>
      </c>
      <c r="AN72" s="2004">
        <f>'CWDM and DWDM'!AD70/10^6</f>
        <v>0</v>
      </c>
      <c r="AO72" s="2004">
        <f>'CWDM and DWDM'!AE70/10^6</f>
        <v>0</v>
      </c>
      <c r="AP72" s="2002">
        <f>'CWDM and DWDM'!AF70/10^6</f>
        <v>0</v>
      </c>
      <c r="AQ72" s="965"/>
      <c r="AR72" s="965"/>
      <c r="AS72" s="966"/>
      <c r="AU72" s="1373"/>
      <c r="AV72" s="1373"/>
      <c r="AW72" s="1373"/>
      <c r="AY72" s="1373"/>
      <c r="AZ72" s="248"/>
      <c r="BA72" s="248"/>
      <c r="BC72" s="15"/>
      <c r="BD72" s="15"/>
      <c r="BE72" s="248"/>
      <c r="BG72" s="648"/>
      <c r="BH72" s="648"/>
      <c r="BI72" s="248"/>
    </row>
    <row r="73" spans="2:62">
      <c r="B73" s="1241" t="s">
        <v>25</v>
      </c>
      <c r="C73" s="345">
        <f>Wireless!L34</f>
        <v>7130885</v>
      </c>
      <c r="D73" s="356">
        <f>Wireless!M34</f>
        <v>8314492</v>
      </c>
      <c r="E73" s="356">
        <f>Wireless!N34</f>
        <v>8091389</v>
      </c>
      <c r="F73" s="346">
        <f>Wireless!O34</f>
        <v>8153389</v>
      </c>
      <c r="G73" s="345">
        <f>Wireless!P34</f>
        <v>6439700</v>
      </c>
      <c r="H73" s="356">
        <f>Wireless!Q34</f>
        <v>0</v>
      </c>
      <c r="I73" s="356">
        <f>Wireless!R34</f>
        <v>0</v>
      </c>
      <c r="J73" s="346">
        <f>Wireless!S34</f>
        <v>0</v>
      </c>
      <c r="K73" s="345">
        <f>Wireless!T34</f>
        <v>0</v>
      </c>
      <c r="L73" s="356">
        <f>Wireless!U34</f>
        <v>0</v>
      </c>
      <c r="M73" s="356">
        <f>Wireless!V34</f>
        <v>0</v>
      </c>
      <c r="N73" s="346">
        <f>Wireless!W34</f>
        <v>0</v>
      </c>
      <c r="O73" s="345">
        <f>Wireless!X34</f>
        <v>0</v>
      </c>
      <c r="P73" s="356">
        <f>Wireless!Y34</f>
        <v>0</v>
      </c>
      <c r="Q73" s="356">
        <f>Wireless!Z34</f>
        <v>0</v>
      </c>
      <c r="R73" s="346">
        <f>Wireless!AA34</f>
        <v>0</v>
      </c>
      <c r="S73" s="1384">
        <f>Wireless!AB34</f>
        <v>0</v>
      </c>
      <c r="T73" s="356">
        <f>Wireless!AC34</f>
        <v>0</v>
      </c>
      <c r="U73" s="1982">
        <f>Wireless!AD34</f>
        <v>0</v>
      </c>
      <c r="V73" s="1979">
        <f>Wireless!AE34</f>
        <v>0</v>
      </c>
      <c r="W73" s="763">
        <f>Wireless!L94/10^6</f>
        <v>158.9100122209687</v>
      </c>
      <c r="X73" s="764">
        <f>Wireless!M94/10^6</f>
        <v>196.46550526560742</v>
      </c>
      <c r="Y73" s="767">
        <f>Wireless!N94/10^6</f>
        <v>223.88148596368694</v>
      </c>
      <c r="Z73" s="765">
        <f>Wireless!O94/10^6</f>
        <v>243.43234168856131</v>
      </c>
      <c r="AA73" s="763">
        <f>Wireless!P94/10^6</f>
        <v>169.72976611778057</v>
      </c>
      <c r="AB73" s="764">
        <f>Wireless!Q94/10^6</f>
        <v>0</v>
      </c>
      <c r="AC73" s="767">
        <f>Wireless!R94/10^6</f>
        <v>0</v>
      </c>
      <c r="AD73" s="765">
        <f>Wireless!S94/10^6</f>
        <v>0</v>
      </c>
      <c r="AE73" s="763">
        <f>Wireless!T94/10^6</f>
        <v>0</v>
      </c>
      <c r="AF73" s="764">
        <f>Wireless!U94/10^6</f>
        <v>0</v>
      </c>
      <c r="AG73" s="767">
        <f>Wireless!V94/10^6</f>
        <v>0</v>
      </c>
      <c r="AH73" s="765">
        <f>Wireless!W94/10^6</f>
        <v>0</v>
      </c>
      <c r="AI73" s="763">
        <f>Wireless!X94/10^6</f>
        <v>0</v>
      </c>
      <c r="AJ73" s="764">
        <f>Wireless!Y94/10^6</f>
        <v>0</v>
      </c>
      <c r="AK73" s="767">
        <f>Wireless!Z94/10^6</f>
        <v>0</v>
      </c>
      <c r="AL73" s="765">
        <f>Wireless!AA94/10^6</f>
        <v>0</v>
      </c>
      <c r="AM73" s="2000">
        <f>Wireless!AB94/10^6</f>
        <v>0</v>
      </c>
      <c r="AN73" s="2004">
        <f>Wireless!AC94/10^6</f>
        <v>0</v>
      </c>
      <c r="AO73" s="2004">
        <f>Wireless!AD94/10^6</f>
        <v>0</v>
      </c>
      <c r="AP73" s="2002">
        <f>Wireless!AE94/10^6</f>
        <v>0</v>
      </c>
      <c r="AQ73" s="965"/>
      <c r="AR73" s="965"/>
      <c r="AS73" s="966"/>
      <c r="AU73" s="1373"/>
      <c r="AV73" s="1373"/>
      <c r="AW73" s="1373"/>
      <c r="AY73" s="1373"/>
      <c r="AZ73" s="248"/>
      <c r="BA73" s="248"/>
      <c r="BC73" s="15"/>
      <c r="BD73" s="15"/>
      <c r="BE73" s="248"/>
      <c r="BG73" s="648"/>
      <c r="BH73" s="648"/>
      <c r="BI73" s="248"/>
    </row>
    <row r="74" spans="2:62">
      <c r="B74" s="1241" t="s">
        <v>163</v>
      </c>
      <c r="C74" s="345">
        <f>FTTX!M24</f>
        <v>11950015</v>
      </c>
      <c r="D74" s="356">
        <f>FTTX!N24</f>
        <v>11345208</v>
      </c>
      <c r="E74" s="356">
        <f>FTTX!O24</f>
        <v>10847444</v>
      </c>
      <c r="F74" s="346">
        <f>FTTX!P24</f>
        <v>10917626</v>
      </c>
      <c r="G74" s="345">
        <f>FTTX!Q24</f>
        <v>7642144</v>
      </c>
      <c r="H74" s="356">
        <f>FTTX!R24</f>
        <v>0</v>
      </c>
      <c r="I74" s="356">
        <f>FTTX!S24</f>
        <v>0</v>
      </c>
      <c r="J74" s="346">
        <f>FTTX!T24</f>
        <v>0</v>
      </c>
      <c r="K74" s="345">
        <f>FTTX!U24</f>
        <v>0</v>
      </c>
      <c r="L74" s="356">
        <f>FTTX!V24</f>
        <v>0</v>
      </c>
      <c r="M74" s="356">
        <f>FTTX!W24</f>
        <v>0</v>
      </c>
      <c r="N74" s="346">
        <f>FTTX!X24</f>
        <v>0</v>
      </c>
      <c r="O74" s="345">
        <f>FTTX!Y24</f>
        <v>0</v>
      </c>
      <c r="P74" s="356">
        <f>FTTX!Z24</f>
        <v>0</v>
      </c>
      <c r="Q74" s="356">
        <f>FTTX!AA24</f>
        <v>0</v>
      </c>
      <c r="R74" s="346">
        <f>FTTX!AB24</f>
        <v>0</v>
      </c>
      <c r="S74" s="1384">
        <f>FTTX!AC24</f>
        <v>0</v>
      </c>
      <c r="T74" s="356">
        <f>FTTX!AD24</f>
        <v>0</v>
      </c>
      <c r="U74" s="1982">
        <f>FTTX!AE24</f>
        <v>0</v>
      </c>
      <c r="V74" s="1979">
        <f>FTTX!AF24</f>
        <v>0</v>
      </c>
      <c r="W74" s="763">
        <f>FTTX!M64/10^6</f>
        <v>107.43572019544501</v>
      </c>
      <c r="X74" s="764">
        <f>FTTX!N64/10^6</f>
        <v>106.25477420504185</v>
      </c>
      <c r="Y74" s="767">
        <f>FTTX!O64/10^6</f>
        <v>115.91002439659283</v>
      </c>
      <c r="Z74" s="765">
        <f>FTTX!P64/10^6</f>
        <v>123.47032018048293</v>
      </c>
      <c r="AA74" s="763">
        <f>FTTX!Q64/10^6</f>
        <v>69.299291605562587</v>
      </c>
      <c r="AB74" s="764">
        <f>FTTX!R64/10^6</f>
        <v>0</v>
      </c>
      <c r="AC74" s="767">
        <f>FTTX!S64/10^6</f>
        <v>0</v>
      </c>
      <c r="AD74" s="765">
        <f>FTTX!T64/10^6</f>
        <v>0</v>
      </c>
      <c r="AE74" s="763">
        <f>FTTX!U64/10^6</f>
        <v>0</v>
      </c>
      <c r="AF74" s="764">
        <f>FTTX!V64/10^6</f>
        <v>0</v>
      </c>
      <c r="AG74" s="767">
        <f>FTTX!W64/10^6</f>
        <v>0</v>
      </c>
      <c r="AH74" s="765">
        <f>FTTX!X64/10^6</f>
        <v>0</v>
      </c>
      <c r="AI74" s="763">
        <f>FTTX!Y64/10^6</f>
        <v>0</v>
      </c>
      <c r="AJ74" s="764">
        <f>FTTX!Z64/10^6</f>
        <v>0</v>
      </c>
      <c r="AK74" s="767">
        <f>FTTX!AA64/10^6</f>
        <v>0</v>
      </c>
      <c r="AL74" s="765">
        <f>FTTX!AB64/10^6</f>
        <v>0</v>
      </c>
      <c r="AM74" s="2000">
        <f>FTTX!AC64/10^6</f>
        <v>0</v>
      </c>
      <c r="AN74" s="2005">
        <f>FTTX!AD64/10^6</f>
        <v>0</v>
      </c>
      <c r="AO74" s="2005">
        <f>FTTX!AE64/10^6</f>
        <v>0</v>
      </c>
      <c r="AP74" s="2002">
        <f>FTTX!AF64/10^6</f>
        <v>0</v>
      </c>
      <c r="AQ74" s="965"/>
      <c r="AR74" s="965"/>
      <c r="AS74" s="966"/>
      <c r="AU74" s="1373"/>
      <c r="AV74" s="1373"/>
      <c r="AW74" s="1373"/>
      <c r="AY74" s="1373"/>
      <c r="AZ74" s="248"/>
      <c r="BA74" s="248"/>
      <c r="BC74" s="15"/>
      <c r="BD74" s="15"/>
      <c r="BE74" s="248"/>
      <c r="BG74" s="648"/>
      <c r="BH74" s="648"/>
      <c r="BI74" s="248"/>
    </row>
    <row r="75" spans="2:62">
      <c r="B75" s="1243" t="s">
        <v>121</v>
      </c>
      <c r="C75" s="242">
        <f t="shared" ref="C75:H75" si="21">SUM(C69:C74)</f>
        <v>33583104.857142858</v>
      </c>
      <c r="D75" s="75">
        <f t="shared" si="21"/>
        <v>34397543.769230768</v>
      </c>
      <c r="E75" s="242">
        <f t="shared" si="21"/>
        <v>33520963</v>
      </c>
      <c r="F75" s="300">
        <f t="shared" si="21"/>
        <v>35550975.328561611</v>
      </c>
      <c r="G75" s="242">
        <f t="shared" si="21"/>
        <v>25916078</v>
      </c>
      <c r="H75" s="75">
        <f t="shared" si="21"/>
        <v>0</v>
      </c>
      <c r="I75" s="242">
        <f>SUM(I69:I74)</f>
        <v>0</v>
      </c>
      <c r="J75" s="300">
        <f>SUM(J69:J74)</f>
        <v>0</v>
      </c>
      <c r="K75" s="242">
        <f>SUM(K69:K74)</f>
        <v>0</v>
      </c>
      <c r="L75" s="75">
        <f>SUM(L69:L74)</f>
        <v>0</v>
      </c>
      <c r="M75" s="242">
        <f t="shared" ref="M75:R75" si="22">SUM(M69:M74)</f>
        <v>0</v>
      </c>
      <c r="N75" s="300">
        <f t="shared" si="22"/>
        <v>0</v>
      </c>
      <c r="O75" s="242">
        <f t="shared" si="22"/>
        <v>0</v>
      </c>
      <c r="P75" s="75">
        <f t="shared" si="22"/>
        <v>0</v>
      </c>
      <c r="Q75" s="242">
        <f t="shared" si="22"/>
        <v>0</v>
      </c>
      <c r="R75" s="300">
        <f t="shared" si="22"/>
        <v>0</v>
      </c>
      <c r="S75" s="1240">
        <f t="shared" ref="S75:T75" si="23">SUM(S69:S74)</f>
        <v>0</v>
      </c>
      <c r="T75" s="1972">
        <f t="shared" si="23"/>
        <v>0</v>
      </c>
      <c r="U75" s="1983">
        <f t="shared" ref="U75:V75" si="24">SUM(U69:U74)</f>
        <v>0</v>
      </c>
      <c r="V75" s="1980">
        <f t="shared" si="24"/>
        <v>0</v>
      </c>
      <c r="W75" s="243">
        <f t="shared" ref="W75" si="25">SUM(W69:W74)</f>
        <v>1290.5626814312532</v>
      </c>
      <c r="X75" s="243">
        <f t="shared" ref="X75:AC75" si="26">SUM(X69:X74)</f>
        <v>1373.0390357217766</v>
      </c>
      <c r="Y75" s="349">
        <f t="shared" si="26"/>
        <v>1437.803196756154</v>
      </c>
      <c r="Z75" s="297">
        <f>SUM(Z69:Z74)</f>
        <v>1645.6340858693904</v>
      </c>
      <c r="AA75" s="243">
        <f>SUM(AA69:AA74)</f>
        <v>1255.1067706752262</v>
      </c>
      <c r="AB75" s="243">
        <f t="shared" si="26"/>
        <v>0</v>
      </c>
      <c r="AC75" s="349">
        <f t="shared" si="26"/>
        <v>0</v>
      </c>
      <c r="AD75" s="297">
        <f t="shared" ref="AD75:AL75" si="27">SUM(AD69:AD74)</f>
        <v>0</v>
      </c>
      <c r="AE75" s="243">
        <f t="shared" si="27"/>
        <v>0</v>
      </c>
      <c r="AF75" s="243">
        <f t="shared" si="27"/>
        <v>0</v>
      </c>
      <c r="AG75" s="349">
        <f t="shared" si="27"/>
        <v>0</v>
      </c>
      <c r="AH75" s="297">
        <f t="shared" si="27"/>
        <v>0</v>
      </c>
      <c r="AI75" s="243">
        <f t="shared" si="27"/>
        <v>0</v>
      </c>
      <c r="AJ75" s="243">
        <f t="shared" si="27"/>
        <v>0</v>
      </c>
      <c r="AK75" s="349">
        <f t="shared" si="27"/>
        <v>0</v>
      </c>
      <c r="AL75" s="297">
        <f t="shared" si="27"/>
        <v>0</v>
      </c>
      <c r="AM75" s="243">
        <f t="shared" ref="AM75:AN75" si="28">SUM(AM69:AM74)</f>
        <v>0</v>
      </c>
      <c r="AN75" s="243">
        <f t="shared" si="28"/>
        <v>0</v>
      </c>
      <c r="AO75" s="243">
        <f t="shared" ref="AO75:AP75" si="29">SUM(AO69:AO74)</f>
        <v>0</v>
      </c>
      <c r="AP75" s="2006">
        <f t="shared" si="29"/>
        <v>0</v>
      </c>
      <c r="AQ75" s="965"/>
      <c r="AR75" s="965"/>
      <c r="AS75" s="966"/>
      <c r="AU75" s="1373"/>
      <c r="AV75" s="1373"/>
      <c r="AW75" s="1373"/>
      <c r="AY75" s="1373"/>
      <c r="AZ75" s="248"/>
      <c r="BA75" s="248"/>
      <c r="BC75" s="15"/>
      <c r="BD75" s="15"/>
      <c r="BE75" s="248"/>
      <c r="BG75" s="648"/>
      <c r="BH75" s="648"/>
      <c r="BI75" s="248"/>
    </row>
    <row r="76" spans="2:62">
      <c r="B76" s="70"/>
    </row>
    <row r="77" spans="2:62">
      <c r="B77" s="70"/>
      <c r="C77" s="15"/>
      <c r="D77" s="15"/>
      <c r="E77" s="15"/>
      <c r="F77" s="15"/>
      <c r="G77" s="15"/>
      <c r="H77" s="15"/>
      <c r="I77" s="15"/>
      <c r="J77" s="15"/>
      <c r="K77" s="15"/>
      <c r="L77" s="15"/>
      <c r="M77" s="15"/>
      <c r="N77" s="15"/>
      <c r="O77" s="15"/>
      <c r="P77" s="15"/>
      <c r="Q77" s="15"/>
      <c r="R77" s="15"/>
      <c r="S77" s="15"/>
      <c r="T77" s="15"/>
      <c r="U77" s="15"/>
      <c r="V77" s="15"/>
      <c r="W77" s="15"/>
    </row>
    <row r="78" spans="2:62">
      <c r="B78" s="70"/>
      <c r="C78" s="71"/>
      <c r="D78" s="71"/>
      <c r="E78" s="71"/>
      <c r="F78" s="71"/>
      <c r="G78" s="71"/>
      <c r="H78" s="71"/>
      <c r="I78" s="71"/>
      <c r="J78" s="71"/>
      <c r="K78" s="71"/>
      <c r="L78" s="71"/>
      <c r="M78" s="71"/>
      <c r="N78" s="71"/>
      <c r="O78" s="71"/>
      <c r="P78" s="71"/>
      <c r="Q78" s="71"/>
      <c r="R78" s="71"/>
      <c r="S78" s="71"/>
      <c r="T78" s="71"/>
      <c r="U78" s="71"/>
      <c r="V78" s="71"/>
      <c r="W78" s="71"/>
    </row>
    <row r="79" spans="2:62" ht="17.399999999999999">
      <c r="B79" s="1237" t="s">
        <v>162</v>
      </c>
    </row>
    <row r="81" spans="2:2">
      <c r="B81"/>
    </row>
    <row r="100" spans="2:44" ht="16.2" thickBot="1">
      <c r="B100" s="479" t="str">
        <f>B79</f>
        <v>Ethernet</v>
      </c>
      <c r="G100" s="479" t="s">
        <v>162</v>
      </c>
      <c r="I100" s="30"/>
      <c r="J100" s="13"/>
      <c r="L100" s="13"/>
      <c r="M100" s="30"/>
      <c r="N100" s="13"/>
      <c r="O100" s="479" t="s">
        <v>162</v>
      </c>
      <c r="P100" s="13"/>
      <c r="Q100" s="30"/>
      <c r="R100" s="13"/>
      <c r="S100" s="13"/>
      <c r="T100" s="13"/>
      <c r="U100" s="13"/>
      <c r="V100" s="13"/>
      <c r="W100" s="479" t="s">
        <v>162</v>
      </c>
      <c r="AE100" s="479" t="s">
        <v>162</v>
      </c>
      <c r="AF100" s="13"/>
      <c r="AG100" s="30"/>
      <c r="AH100" s="13"/>
      <c r="AJ100" s="13"/>
      <c r="AK100" s="30"/>
      <c r="AL100" s="13"/>
      <c r="AM100" s="13"/>
      <c r="AN100" s="13"/>
      <c r="AO100" s="13"/>
    </row>
    <row r="101" spans="2:44" ht="18" customHeight="1" thickBot="1">
      <c r="B101" s="2223" t="s">
        <v>352</v>
      </c>
      <c r="C101" s="379"/>
      <c r="D101" s="379"/>
      <c r="E101" s="379"/>
      <c r="F101" s="379"/>
      <c r="G101" s="379" t="s">
        <v>164</v>
      </c>
      <c r="H101" s="379"/>
      <c r="I101" s="379"/>
      <c r="J101" s="379"/>
      <c r="K101" s="379"/>
      <c r="L101" s="379"/>
      <c r="M101" s="379"/>
      <c r="N101" s="379"/>
      <c r="O101" s="379" t="str">
        <f>G101</f>
        <v>Shipments: Actual Data</v>
      </c>
      <c r="P101" s="379"/>
      <c r="Q101" s="379"/>
      <c r="R101" s="379"/>
      <c r="S101" s="379"/>
      <c r="T101" s="1964"/>
      <c r="U101" s="2225" t="s">
        <v>369</v>
      </c>
      <c r="V101" s="2226"/>
      <c r="W101" s="379"/>
      <c r="X101" s="379"/>
      <c r="Y101" s="379"/>
      <c r="Z101" s="379"/>
      <c r="AA101" s="379" t="s">
        <v>297</v>
      </c>
      <c r="AB101" s="379"/>
      <c r="AC101" s="379"/>
      <c r="AD101" s="379"/>
      <c r="AE101" s="379"/>
      <c r="AF101" s="379"/>
      <c r="AG101" s="379"/>
      <c r="AH101" s="379"/>
      <c r="AI101" s="379" t="s">
        <v>297</v>
      </c>
      <c r="AJ101" s="379"/>
      <c r="AK101" s="379"/>
      <c r="AL101" s="379"/>
      <c r="AM101" s="379"/>
      <c r="AN101" s="1964"/>
      <c r="AO101" s="2225" t="s">
        <v>369</v>
      </c>
      <c r="AP101" s="2226"/>
      <c r="AQ101" s="688"/>
      <c r="AR101" s="958"/>
    </row>
    <row r="102" spans="2:44" ht="15.45" customHeight="1" thickBot="1">
      <c r="B102" s="2224"/>
      <c r="C102" s="276" t="str">
        <f>C$68</f>
        <v>1Q 19</v>
      </c>
      <c r="D102" s="245" t="str">
        <f>D$68</f>
        <v>2Q 19</v>
      </c>
      <c r="E102" s="245" t="s">
        <v>110</v>
      </c>
      <c r="F102" s="277" t="s">
        <v>111</v>
      </c>
      <c r="G102" s="276" t="s">
        <v>112</v>
      </c>
      <c r="H102" s="245" t="s">
        <v>113</v>
      </c>
      <c r="I102" s="245" t="s">
        <v>114</v>
      </c>
      <c r="J102" s="277" t="s">
        <v>115</v>
      </c>
      <c r="K102" s="1390" t="s">
        <v>463</v>
      </c>
      <c r="L102" s="1391" t="s">
        <v>489</v>
      </c>
      <c r="M102" s="1392" t="s">
        <v>465</v>
      </c>
      <c r="N102" s="1393" t="s">
        <v>466</v>
      </c>
      <c r="O102" s="1392" t="s">
        <v>467</v>
      </c>
      <c r="P102" s="1391" t="s">
        <v>468</v>
      </c>
      <c r="Q102" s="1392" t="str">
        <f t="shared" ref="Q102:R102" si="30">Q37</f>
        <v>3Q 22</v>
      </c>
      <c r="R102" s="1393" t="str">
        <f t="shared" si="30"/>
        <v>4Q 22</v>
      </c>
      <c r="S102" s="1392" t="s">
        <v>568</v>
      </c>
      <c r="T102" s="1965" t="s">
        <v>594</v>
      </c>
      <c r="U102" s="1975" t="s">
        <v>621</v>
      </c>
      <c r="V102" s="1974" t="s">
        <v>622</v>
      </c>
      <c r="W102" s="276" t="str">
        <f t="shared" ref="W102:X102" si="31">W$68</f>
        <v>1Q 19</v>
      </c>
      <c r="X102" s="245" t="str">
        <f t="shared" si="31"/>
        <v>2Q 19</v>
      </c>
      <c r="Y102" s="245" t="s">
        <v>110</v>
      </c>
      <c r="Z102" s="277" t="s">
        <v>111</v>
      </c>
      <c r="AA102" s="276" t="s">
        <v>112</v>
      </c>
      <c r="AB102" s="245" t="s">
        <v>113</v>
      </c>
      <c r="AC102" s="245" t="s">
        <v>114</v>
      </c>
      <c r="AD102" s="277" t="s">
        <v>115</v>
      </c>
      <c r="AE102" s="276" t="str">
        <f>K37</f>
        <v>1Q 21</v>
      </c>
      <c r="AF102" s="245" t="str">
        <f>L37</f>
        <v>2Q21</v>
      </c>
      <c r="AG102" s="245" t="str">
        <f t="shared" ref="AG102:AJ102" si="32">AG37</f>
        <v>3Q 21</v>
      </c>
      <c r="AH102" s="277" t="str">
        <f t="shared" si="32"/>
        <v>4Q 21</v>
      </c>
      <c r="AI102" s="276" t="str">
        <f t="shared" si="32"/>
        <v>1Q 22</v>
      </c>
      <c r="AJ102" s="245" t="str">
        <f t="shared" si="32"/>
        <v>2Q 22</v>
      </c>
      <c r="AK102" s="245" t="str">
        <f t="shared" ref="AK102:AN102" si="33">AK37</f>
        <v>3Q 22</v>
      </c>
      <c r="AL102" s="277" t="str">
        <f t="shared" si="33"/>
        <v>4Q 22</v>
      </c>
      <c r="AM102" s="1392" t="str">
        <f t="shared" si="33"/>
        <v>1Q 23</v>
      </c>
      <c r="AN102" s="1965" t="str">
        <f t="shared" si="33"/>
        <v>2Q 23</v>
      </c>
      <c r="AO102" s="1975" t="s">
        <v>621</v>
      </c>
      <c r="AP102" s="1974" t="s">
        <v>622</v>
      </c>
      <c r="AQ102" s="963"/>
      <c r="AR102" s="963"/>
    </row>
    <row r="103" spans="2:44">
      <c r="B103" s="1241" t="s">
        <v>535</v>
      </c>
      <c r="C103" s="1398">
        <f>SUM(Ethernet!M9:M23)</f>
        <v>8116687</v>
      </c>
      <c r="D103" s="1452">
        <f>SUM(Ethernet!N9:N23)</f>
        <v>8357748</v>
      </c>
      <c r="E103" s="1452">
        <f>SUM(Ethernet!O9:O23)</f>
        <v>8385074</v>
      </c>
      <c r="F103" s="1453">
        <f>SUM(Ethernet!P9:P23)</f>
        <v>9054467</v>
      </c>
      <c r="G103" s="1398">
        <f>SUM(Ethernet!Q9:Q23)</f>
        <v>6168726</v>
      </c>
      <c r="H103" s="1452">
        <f>SUM(Ethernet!R9:R23)</f>
        <v>0</v>
      </c>
      <c r="I103" s="1452">
        <f>SUM(Ethernet!S9:S23)</f>
        <v>0</v>
      </c>
      <c r="J103" s="1453">
        <f>SUM(Ethernet!T9:T23)</f>
        <v>0</v>
      </c>
      <c r="K103" s="1398">
        <f>SUM(Ethernet!U9:U23)</f>
        <v>0</v>
      </c>
      <c r="L103" s="1452">
        <f>SUM(Ethernet!V9:V23)</f>
        <v>0</v>
      </c>
      <c r="M103" s="1452">
        <f>SUM(Ethernet!W9:W23)</f>
        <v>0</v>
      </c>
      <c r="N103" s="1453">
        <f>SUM(Ethernet!X9:X23)</f>
        <v>0</v>
      </c>
      <c r="O103" s="1398">
        <f>SUM(Ethernet!Y9:Y23)</f>
        <v>0</v>
      </c>
      <c r="P103" s="1452">
        <f>SUM(Ethernet!Z9:Z23)</f>
        <v>0</v>
      </c>
      <c r="Q103" s="1452">
        <f>SUM(Ethernet!AA9:AA23)</f>
        <v>0</v>
      </c>
      <c r="R103" s="1453">
        <f>SUM(Ethernet!AB9:AB23)</f>
        <v>0</v>
      </c>
      <c r="S103" s="1452">
        <f>SUM(Ethernet!AC9:AC23)</f>
        <v>0</v>
      </c>
      <c r="T103" s="1966">
        <f>SUM(Ethernet!AD9:AD23)</f>
        <v>0</v>
      </c>
      <c r="U103" s="1452">
        <f>SUM(Ethernet!AE9:AE23)</f>
        <v>0</v>
      </c>
      <c r="V103" s="1898">
        <f>SUM(Ethernet!AF9:AF23)</f>
        <v>0</v>
      </c>
      <c r="W103" s="1458">
        <f>SUM(Ethernet!M137:M151)/10^6</f>
        <v>131.07757764791876</v>
      </c>
      <c r="X103" s="1459">
        <f>SUM(Ethernet!N137:N151)/10^6</f>
        <v>136.2503490429726</v>
      </c>
      <c r="Y103" s="1459">
        <f>SUM(Ethernet!O137:O151)/10^6</f>
        <v>124.68369625069046</v>
      </c>
      <c r="Z103" s="1460">
        <f>SUM(Ethernet!P137:P151)/10^6</f>
        <v>128.62227806166163</v>
      </c>
      <c r="AA103" s="1458">
        <f>SUM(Ethernet!Q137:Q151)/10^6</f>
        <v>86.888916568371741</v>
      </c>
      <c r="AB103" s="1459">
        <f>SUM(Ethernet!R137:R151)/10^6</f>
        <v>0</v>
      </c>
      <c r="AC103" s="1459">
        <f>SUM(Ethernet!S137:S151)/10^6</f>
        <v>0</v>
      </c>
      <c r="AD103" s="1460">
        <f>SUM(Ethernet!T137:T151)/10^6</f>
        <v>0</v>
      </c>
      <c r="AE103" s="1458">
        <f>SUM(Ethernet!U137:U151)/10^6</f>
        <v>0</v>
      </c>
      <c r="AF103" s="1459">
        <f>SUM(Ethernet!V137:V151)/10^6</f>
        <v>0</v>
      </c>
      <c r="AG103" s="1459">
        <f>SUM(Ethernet!W137:W151)/10^6</f>
        <v>0</v>
      </c>
      <c r="AH103" s="1460">
        <f>SUM(Ethernet!X137:X151)/10^6</f>
        <v>0</v>
      </c>
      <c r="AI103" s="1458">
        <f>SUM(Ethernet!Y137:Y151)/10^6</f>
        <v>0</v>
      </c>
      <c r="AJ103" s="1459">
        <f>SUM(Ethernet!Z137:Z151)/10^6</f>
        <v>0</v>
      </c>
      <c r="AK103" s="1459">
        <f>SUM(Ethernet!AA137:AA151)/10^6</f>
        <v>0</v>
      </c>
      <c r="AL103" s="1460">
        <f>SUM(Ethernet!AB137:AB151)/10^6</f>
        <v>0</v>
      </c>
      <c r="AM103" s="1459">
        <f>SUM(Ethernet!AC137:AC151)/10^6</f>
        <v>0</v>
      </c>
      <c r="AN103" s="2008">
        <f>SUM(Ethernet!AD137:AD151)/10^6</f>
        <v>0</v>
      </c>
      <c r="AO103" s="1459">
        <f>SUM(Ethernet!AE137:AE151)/10^6</f>
        <v>0</v>
      </c>
      <c r="AP103" s="1901">
        <f>SUM(Ethernet!AF137:AF151)/10^6</f>
        <v>0</v>
      </c>
      <c r="AQ103" s="959"/>
      <c r="AR103" s="960"/>
    </row>
    <row r="104" spans="2:44">
      <c r="B104" s="1244" t="s">
        <v>363</v>
      </c>
      <c r="C104" s="1400">
        <f>SUM(Ethernet!M24:M26)</f>
        <v>122507</v>
      </c>
      <c r="D104" s="1454">
        <f>SUM(Ethernet!N24:N26)</f>
        <v>147677</v>
      </c>
      <c r="E104" s="1454">
        <f>SUM(Ethernet!O24:O26)</f>
        <v>153500</v>
      </c>
      <c r="F104" s="299">
        <f>SUM(Ethernet!P24:P26)</f>
        <v>297500</v>
      </c>
      <c r="G104" s="1400">
        <f>SUM(Ethernet!Q24:Q26)</f>
        <v>305105</v>
      </c>
      <c r="H104" s="1454">
        <f>SUM(Ethernet!R24:R26)</f>
        <v>0</v>
      </c>
      <c r="I104" s="1454">
        <f>SUM(Ethernet!S24:S26)</f>
        <v>0</v>
      </c>
      <c r="J104" s="299">
        <f>SUM(Ethernet!T24:T26)</f>
        <v>0</v>
      </c>
      <c r="K104" s="1400">
        <f>SUM(Ethernet!U24:U26)</f>
        <v>0</v>
      </c>
      <c r="L104" s="1454">
        <f>SUM(Ethernet!V24:V26)</f>
        <v>0</v>
      </c>
      <c r="M104" s="1454">
        <f>SUM(Ethernet!W24:W26)</f>
        <v>0</v>
      </c>
      <c r="N104" s="299">
        <f>SUM(Ethernet!X24:X26)</f>
        <v>0</v>
      </c>
      <c r="O104" s="1400">
        <f>SUM(Ethernet!Y24:Y26)</f>
        <v>0</v>
      </c>
      <c r="P104" s="1454">
        <f>SUM(Ethernet!Z24:Z26)</f>
        <v>0</v>
      </c>
      <c r="Q104" s="1454">
        <f>SUM(Ethernet!AA24:AA26)</f>
        <v>0</v>
      </c>
      <c r="R104" s="299">
        <f>SUM(Ethernet!AB24:AB26)</f>
        <v>0</v>
      </c>
      <c r="S104" s="1454">
        <f>SUM(Ethernet!AC24:AC26)</f>
        <v>0</v>
      </c>
      <c r="T104" s="74">
        <f>SUM(Ethernet!AD24:AD26)</f>
        <v>0</v>
      </c>
      <c r="U104" s="1454">
        <f>SUM(Ethernet!AE24:AE26)</f>
        <v>0</v>
      </c>
      <c r="V104" s="1899">
        <f>SUM(Ethernet!AF24:AF26)</f>
        <v>0</v>
      </c>
      <c r="W104" s="1461">
        <f>SUM(Ethernet!M152:M154)/10^6</f>
        <v>10.564492000000003</v>
      </c>
      <c r="X104" s="1462">
        <f>SUM(Ethernet!N152:N154)/10^6</f>
        <v>11.234676000000002</v>
      </c>
      <c r="Y104" s="1462">
        <f>SUM(Ethernet!O152:O154)/10^6</f>
        <v>11.318</v>
      </c>
      <c r="Z104" s="1463">
        <f>SUM(Ethernet!P152:P154)/10^6</f>
        <v>16.617000000000001</v>
      </c>
      <c r="AA104" s="1461">
        <f>SUM(Ethernet!Q152:Q154)/10^6</f>
        <v>19.550627830995758</v>
      </c>
      <c r="AB104" s="1462">
        <f>SUM(Ethernet!R152:R154)/10^6</f>
        <v>0</v>
      </c>
      <c r="AC104" s="1462">
        <f>SUM(Ethernet!S152:S154)/10^6</f>
        <v>0</v>
      </c>
      <c r="AD104" s="1463">
        <f>SUM(Ethernet!T152:T154)/10^6</f>
        <v>0</v>
      </c>
      <c r="AE104" s="1461">
        <f>SUM(Ethernet!U152:U154)/10^6</f>
        <v>0</v>
      </c>
      <c r="AF104" s="1462">
        <f>SUM(Ethernet!V152:V154)/10^6</f>
        <v>0</v>
      </c>
      <c r="AG104" s="1462">
        <f>SUM(Ethernet!W152:W154)/10^6</f>
        <v>0</v>
      </c>
      <c r="AH104" s="1463">
        <f>SUM(Ethernet!X152:X154)/10^6</f>
        <v>0</v>
      </c>
      <c r="AI104" s="1461">
        <f>SUM(Ethernet!Y152:Y154)/10^6</f>
        <v>0</v>
      </c>
      <c r="AJ104" s="1462">
        <f>SUM(Ethernet!Z152:Z154)/10^6</f>
        <v>0</v>
      </c>
      <c r="AK104" s="1462">
        <f>SUM(Ethernet!AA152:AA154)/10^6</f>
        <v>0</v>
      </c>
      <c r="AL104" s="1463">
        <f>SUM(Ethernet!AB152:AB154)/10^6</f>
        <v>0</v>
      </c>
      <c r="AM104" s="1462">
        <f>SUM(Ethernet!AC152:AC154)/10^6</f>
        <v>0</v>
      </c>
      <c r="AN104" s="2009">
        <f>SUM(Ethernet!AD152:AD154)/10^6</f>
        <v>0</v>
      </c>
      <c r="AO104" s="1462">
        <f>SUM(Ethernet!AE152:AE154)/10^6</f>
        <v>0</v>
      </c>
      <c r="AP104" s="1902">
        <f>SUM(Ethernet!AF152:AF154)/10^6</f>
        <v>0</v>
      </c>
      <c r="AQ104" s="961"/>
      <c r="AR104" s="962"/>
    </row>
    <row r="105" spans="2:44" ht="13.2">
      <c r="B105" s="1241" t="s">
        <v>537</v>
      </c>
      <c r="C105" s="1400">
        <f>SUM(Ethernet!M27:M35)</f>
        <v>719883</v>
      </c>
      <c r="D105" s="1454">
        <f>SUM(Ethernet!N27:N35)</f>
        <v>708537</v>
      </c>
      <c r="E105" s="1454">
        <f>SUM(Ethernet!O27:O35)</f>
        <v>625137</v>
      </c>
      <c r="F105" s="299">
        <f>SUM(Ethernet!P27:P35)</f>
        <v>684769</v>
      </c>
      <c r="G105" s="1400">
        <f>SUM(Ethernet!Q27:Q35)</f>
        <v>653633</v>
      </c>
      <c r="H105" s="1454">
        <f>SUM(Ethernet!R27:R35)</f>
        <v>0</v>
      </c>
      <c r="I105" s="1454">
        <f>SUM(Ethernet!S27:S35)</f>
        <v>0</v>
      </c>
      <c r="J105" s="299">
        <f>SUM(Ethernet!T27:T35)</f>
        <v>0</v>
      </c>
      <c r="K105" s="1400">
        <f>SUM(Ethernet!U27:U35)</f>
        <v>0</v>
      </c>
      <c r="L105" s="1454">
        <f>SUM(Ethernet!V27:V35)</f>
        <v>0</v>
      </c>
      <c r="M105" s="1454">
        <f>SUM(Ethernet!W27:W35)</f>
        <v>0</v>
      </c>
      <c r="N105" s="299">
        <f>SUM(Ethernet!X27:X35)</f>
        <v>0</v>
      </c>
      <c r="O105" s="1400">
        <f>SUM(Ethernet!Y27:Y35)</f>
        <v>0</v>
      </c>
      <c r="P105" s="1454">
        <f>SUM(Ethernet!Z27:Z35)</f>
        <v>0</v>
      </c>
      <c r="Q105" s="1454">
        <f>SUM(Ethernet!AA27:AA35)</f>
        <v>0</v>
      </c>
      <c r="R105" s="299">
        <f>SUM(Ethernet!AB27:AB35)</f>
        <v>0</v>
      </c>
      <c r="S105" s="1454">
        <f>SUM(Ethernet!AC27:AC35)</f>
        <v>0</v>
      </c>
      <c r="T105" s="74">
        <f>SUM(Ethernet!AD27:AD35)</f>
        <v>0</v>
      </c>
      <c r="U105" s="1454">
        <f>SUM(Ethernet!AE27:AE35)</f>
        <v>0</v>
      </c>
      <c r="V105" s="1899">
        <f>SUM(Ethernet!AF27:AF35)</f>
        <v>0</v>
      </c>
      <c r="W105" s="1461">
        <f>SUM(Ethernet!M155:M163)/10^6</f>
        <v>112.4832788863214</v>
      </c>
      <c r="X105" s="1462">
        <f>SUM(Ethernet!N155:N163)/10^6</f>
        <v>108.948688829888</v>
      </c>
      <c r="Y105" s="1462">
        <f>SUM(Ethernet!O155:O163)/10^6</f>
        <v>95.21599877592989</v>
      </c>
      <c r="Z105" s="1463">
        <f>SUM(Ethernet!P155:P163)/10^6</f>
        <v>97.792920893330603</v>
      </c>
      <c r="AA105" s="1461">
        <f>SUM(Ethernet!Q155:Q163)/10^6</f>
        <v>104.26442511670564</v>
      </c>
      <c r="AB105" s="1462">
        <f>SUM(Ethernet!R155:R163)/10^6</f>
        <v>0</v>
      </c>
      <c r="AC105" s="1462">
        <f>SUM(Ethernet!S155:S163)/10^6</f>
        <v>0</v>
      </c>
      <c r="AD105" s="1463">
        <f>SUM(Ethernet!T155:T163)/10^6</f>
        <v>0</v>
      </c>
      <c r="AE105" s="1461">
        <f>SUM(Ethernet!U155:U163)/10^6</f>
        <v>0</v>
      </c>
      <c r="AF105" s="1462">
        <f>SUM(Ethernet!V155:V163)/10^6</f>
        <v>0</v>
      </c>
      <c r="AG105" s="1462">
        <f>SUM(Ethernet!W155:W163)/10^6</f>
        <v>0</v>
      </c>
      <c r="AH105" s="1463">
        <f>SUM(Ethernet!X155:X163)/10^6</f>
        <v>0</v>
      </c>
      <c r="AI105" s="1461">
        <f>SUM(Ethernet!Y155:Y163)/10^6</f>
        <v>0</v>
      </c>
      <c r="AJ105" s="1462">
        <f>SUM(Ethernet!Z155:Z163)/10^6</f>
        <v>0</v>
      </c>
      <c r="AK105" s="1462">
        <f>SUM(Ethernet!AA155:AA163)/10^6</f>
        <v>0</v>
      </c>
      <c r="AL105" s="1463">
        <f>SUM(Ethernet!AB155:AB163)/10^6</f>
        <v>0</v>
      </c>
      <c r="AM105" s="1462">
        <f>SUM(Ethernet!AC155:AC163)/10^6</f>
        <v>0</v>
      </c>
      <c r="AN105" s="2009">
        <f>SUM(Ethernet!AD155:AD163)/10^6</f>
        <v>0</v>
      </c>
      <c r="AO105" s="1462">
        <f>SUM(Ethernet!AE155:AE163)/10^6</f>
        <v>0</v>
      </c>
      <c r="AP105" s="1902">
        <f>SUM(Ethernet!AF155:AF163)/10^6</f>
        <v>0</v>
      </c>
    </row>
    <row r="106" spans="2:44" ht="13.2">
      <c r="B106" s="1244" t="s">
        <v>364</v>
      </c>
      <c r="C106" s="1400">
        <f>SUM(Ethernet!M39:M55)</f>
        <v>1513295</v>
      </c>
      <c r="D106" s="1454">
        <f>SUM(Ethernet!N39:N55)</f>
        <v>1692795</v>
      </c>
      <c r="E106" s="1454">
        <f>SUM(Ethernet!O39:O55)</f>
        <v>1696791</v>
      </c>
      <c r="F106" s="299">
        <f>SUM(Ethernet!P39:P55)</f>
        <v>2335946</v>
      </c>
      <c r="G106" s="1400">
        <f>SUM(Ethernet!Q39:Q55)</f>
        <v>2279539</v>
      </c>
      <c r="H106" s="1454">
        <f>SUM(Ethernet!R39:R55)</f>
        <v>0</v>
      </c>
      <c r="I106" s="1454">
        <f>SUM(Ethernet!S39:S55)</f>
        <v>0</v>
      </c>
      <c r="J106" s="299">
        <f>SUM(Ethernet!T39:T55)</f>
        <v>0</v>
      </c>
      <c r="K106" s="1400">
        <f>SUM(Ethernet!U39:U55)</f>
        <v>0</v>
      </c>
      <c r="L106" s="1454">
        <f>SUM(Ethernet!V39:V55)</f>
        <v>0</v>
      </c>
      <c r="M106" s="1454">
        <f>SUM(Ethernet!W39:W55)</f>
        <v>0</v>
      </c>
      <c r="N106" s="299">
        <f>SUM(Ethernet!X39:X55)</f>
        <v>0</v>
      </c>
      <c r="O106" s="1400">
        <f>SUM(Ethernet!Y39:Y55)</f>
        <v>0</v>
      </c>
      <c r="P106" s="1454">
        <f>SUM(Ethernet!Z39:Z55)</f>
        <v>0</v>
      </c>
      <c r="Q106" s="1454">
        <f>SUM(Ethernet!AA39:AA55)</f>
        <v>0</v>
      </c>
      <c r="R106" s="299">
        <f>SUM(Ethernet!AB39:AB55)</f>
        <v>0</v>
      </c>
      <c r="S106" s="1454">
        <f>SUM(Ethernet!AC39:AC55)</f>
        <v>0</v>
      </c>
      <c r="T106" s="74">
        <f>SUM(Ethernet!AD39:AD55)</f>
        <v>0</v>
      </c>
      <c r="U106" s="1454">
        <f>SUM(Ethernet!AE39:AE55)</f>
        <v>0</v>
      </c>
      <c r="V106" s="1899">
        <f>SUM(Ethernet!AF39:AF55)</f>
        <v>0</v>
      </c>
      <c r="W106" s="1461">
        <f>SUM(Ethernet!M167:M183)/10^6</f>
        <v>336.17580306708754</v>
      </c>
      <c r="X106" s="1462">
        <f>SUM(Ethernet!N167:N183)/10^6</f>
        <v>359.17498048582121</v>
      </c>
      <c r="Y106" s="1462">
        <f>SUM(Ethernet!O167:O183)/10^6</f>
        <v>374.86119659361424</v>
      </c>
      <c r="Z106" s="1463">
        <f>SUM(Ethernet!P167:P183)/10^6</f>
        <v>475.34187058801496</v>
      </c>
      <c r="AA106" s="1461">
        <f>SUM(Ethernet!Q167:Q183)/10^6</f>
        <v>421.0309889746535</v>
      </c>
      <c r="AB106" s="1462">
        <f>SUM(Ethernet!R167:R183)/10^6</f>
        <v>0</v>
      </c>
      <c r="AC106" s="1462">
        <f>SUM(Ethernet!S167:S183)/10^6</f>
        <v>0</v>
      </c>
      <c r="AD106" s="1463">
        <f>SUM(Ethernet!T167:T183)/10^6</f>
        <v>0</v>
      </c>
      <c r="AE106" s="1461">
        <f>SUM(Ethernet!U167:U183)/10^6</f>
        <v>0</v>
      </c>
      <c r="AF106" s="1462">
        <f>SUM(Ethernet!V167:V183)/10^6</f>
        <v>0</v>
      </c>
      <c r="AG106" s="1462">
        <f>SUM(Ethernet!W167:W183)/10^6</f>
        <v>0</v>
      </c>
      <c r="AH106" s="1463">
        <f>SUM(Ethernet!X167:X183)/10^6</f>
        <v>0</v>
      </c>
      <c r="AI106" s="1461">
        <f>SUM(Ethernet!Y167:Y183)/10^6</f>
        <v>0</v>
      </c>
      <c r="AJ106" s="1462">
        <f>SUM(Ethernet!Z167:Z183)/10^6</f>
        <v>0</v>
      </c>
      <c r="AK106" s="1462">
        <f>SUM(Ethernet!AA167:AA183)/10^6</f>
        <v>0</v>
      </c>
      <c r="AL106" s="1463">
        <f>SUM(Ethernet!AB167:AB183)/10^6</f>
        <v>0</v>
      </c>
      <c r="AM106" s="1462">
        <f>SUM(Ethernet!AC167:AC183)/10^6</f>
        <v>0</v>
      </c>
      <c r="AN106" s="2009">
        <f>SUM(Ethernet!AD167:AD183)/10^6</f>
        <v>0</v>
      </c>
      <c r="AO106" s="1462">
        <f>SUM(Ethernet!AE167:AE183)/10^6</f>
        <v>0</v>
      </c>
      <c r="AP106" s="1902">
        <f>SUM(Ethernet!AF167:AF183)/10^6</f>
        <v>0</v>
      </c>
    </row>
    <row r="107" spans="2:44" ht="13.2">
      <c r="B107" s="1241" t="s">
        <v>534</v>
      </c>
      <c r="C107" s="1400">
        <f>SUM(Ethernet!M56:M57)</f>
        <v>106</v>
      </c>
      <c r="D107" s="1454">
        <f>SUM(Ethernet!N56:N57)</f>
        <v>266</v>
      </c>
      <c r="E107" s="1454">
        <f>SUM(Ethernet!O56:O57)</f>
        <v>1550</v>
      </c>
      <c r="F107" s="299">
        <f>SUM(Ethernet!P56:P57)</f>
        <v>4150</v>
      </c>
      <c r="G107" s="1400">
        <f>SUM(Ethernet!Q56:Q57)</f>
        <v>600</v>
      </c>
      <c r="H107" s="1454">
        <f>SUM(Ethernet!R56:R57)</f>
        <v>0</v>
      </c>
      <c r="I107" s="1454">
        <f>SUM(Ethernet!S56:S57)</f>
        <v>0</v>
      </c>
      <c r="J107" s="299">
        <f>SUM(Ethernet!T56:T57)</f>
        <v>0</v>
      </c>
      <c r="K107" s="1400">
        <f>SUM(Ethernet!U56:U57)</f>
        <v>0</v>
      </c>
      <c r="L107" s="1454">
        <f>SUM(Ethernet!V56:V57)</f>
        <v>0</v>
      </c>
      <c r="M107" s="1454">
        <f>SUM(Ethernet!W56:W57)</f>
        <v>0</v>
      </c>
      <c r="N107" s="299">
        <f>SUM(Ethernet!X56:X57)</f>
        <v>0</v>
      </c>
      <c r="O107" s="1400">
        <f>SUM(Ethernet!Y56:Y57)</f>
        <v>0</v>
      </c>
      <c r="P107" s="1454">
        <f>SUM(Ethernet!Z56:Z57)</f>
        <v>0</v>
      </c>
      <c r="Q107" s="1454">
        <f>SUM(Ethernet!AA56:AA57)</f>
        <v>0</v>
      </c>
      <c r="R107" s="299">
        <f>SUM(Ethernet!AB56:AB57)</f>
        <v>0</v>
      </c>
      <c r="S107" s="1454">
        <f>SUM(Ethernet!AC56:AC57)</f>
        <v>0</v>
      </c>
      <c r="T107" s="74">
        <f>SUM(Ethernet!AD56:AD57)</f>
        <v>0</v>
      </c>
      <c r="U107" s="1454">
        <f>SUM(Ethernet!AE56:AE57)</f>
        <v>0</v>
      </c>
      <c r="V107" s="1899">
        <f>SUM(Ethernet!AF56:AF57)</f>
        <v>0</v>
      </c>
      <c r="W107" s="1461">
        <f>SUM(Ethernet!M184:M185)/10^6</f>
        <v>8.5999999999999993E-2</v>
      </c>
      <c r="X107" s="1462">
        <f>SUM(Ethernet!N184:N185)/10^6</f>
        <v>0.17599999999999999</v>
      </c>
      <c r="Y107" s="1462">
        <f>SUM(Ethernet!O184:O185)/10^6</f>
        <v>0.98</v>
      </c>
      <c r="Z107" s="1463">
        <f>SUM(Ethernet!P184:P185)/10^6</f>
        <v>1.8525</v>
      </c>
      <c r="AA107" s="1461">
        <f>SUM(Ethernet!Q184:Q185)/10^6</f>
        <v>0.12</v>
      </c>
      <c r="AB107" s="1462">
        <f>SUM(Ethernet!R184:R185)/10^6</f>
        <v>0</v>
      </c>
      <c r="AC107" s="1462">
        <f>SUM(Ethernet!S184:S185)/10^6</f>
        <v>0</v>
      </c>
      <c r="AD107" s="1463">
        <f>SUM(Ethernet!T184:T185)/10^6</f>
        <v>0</v>
      </c>
      <c r="AE107" s="1461">
        <f>SUM(Ethernet!U184:U185)/10^6</f>
        <v>0</v>
      </c>
      <c r="AF107" s="1462">
        <f>SUM(Ethernet!V184:V185)/10^6</f>
        <v>0</v>
      </c>
      <c r="AG107" s="1462">
        <f>SUM(Ethernet!W184:W185)/10^6</f>
        <v>0</v>
      </c>
      <c r="AH107" s="1463">
        <f>SUM(Ethernet!X184:X185)/10^6</f>
        <v>0</v>
      </c>
      <c r="AI107" s="1461">
        <f>SUM(Ethernet!Y184:Y185)/10^6</f>
        <v>0</v>
      </c>
      <c r="AJ107" s="1462">
        <f>SUM(Ethernet!Z184:Z185)/10^6</f>
        <v>0</v>
      </c>
      <c r="AK107" s="1462">
        <f>SUM(Ethernet!AA184:AA185)/10^6</f>
        <v>0</v>
      </c>
      <c r="AL107" s="1463">
        <f>SUM(Ethernet!AB184:AB185)/10^6</f>
        <v>0</v>
      </c>
      <c r="AM107" s="1462">
        <f>SUM(Ethernet!AC184:AC185)/10^6</f>
        <v>0</v>
      </c>
      <c r="AN107" s="2009">
        <f>SUM(Ethernet!AD184:AD185)/10^6</f>
        <v>0</v>
      </c>
      <c r="AO107" s="1462">
        <f>SUM(Ethernet!AE184:AE185)/10^6</f>
        <v>0</v>
      </c>
      <c r="AP107" s="1902">
        <f>SUM(Ethernet!AF184:AF185)/10^6</f>
        <v>0</v>
      </c>
    </row>
    <row r="108" spans="2:44" ht="13.2">
      <c r="B108" s="1244" t="s">
        <v>525</v>
      </c>
      <c r="C108" s="1400">
        <f>SUM(Ethernet!M58:M64)</f>
        <v>27929.857142857141</v>
      </c>
      <c r="D108" s="1454">
        <f>SUM(Ethernet!N58:N64)</f>
        <v>32533.76923076923</v>
      </c>
      <c r="E108" s="1454">
        <f>SUM(Ethernet!O58:O64)</f>
        <v>54471</v>
      </c>
      <c r="F108" s="299">
        <f>SUM(Ethernet!P58:P64)</f>
        <v>75571</v>
      </c>
      <c r="G108" s="1400">
        <f>SUM(Ethernet!Q58:Q64)</f>
        <v>124994</v>
      </c>
      <c r="H108" s="1454">
        <f>SUM(Ethernet!R58:R64)</f>
        <v>0</v>
      </c>
      <c r="I108" s="1454">
        <f>SUM(Ethernet!S58:S64)</f>
        <v>0</v>
      </c>
      <c r="J108" s="299">
        <f>SUM(Ethernet!T58:T64)</f>
        <v>0</v>
      </c>
      <c r="K108" s="1400">
        <f>SUM(Ethernet!U58:U64)</f>
        <v>0</v>
      </c>
      <c r="L108" s="1454">
        <f>SUM(Ethernet!V58:V64)</f>
        <v>0</v>
      </c>
      <c r="M108" s="1454">
        <f>SUM(Ethernet!W58:W64)</f>
        <v>0</v>
      </c>
      <c r="N108" s="299">
        <f>SUM(Ethernet!X58:X64)</f>
        <v>0</v>
      </c>
      <c r="O108" s="1400">
        <f>SUM(Ethernet!Y58:Y64)</f>
        <v>0</v>
      </c>
      <c r="P108" s="1454">
        <f>SUM(Ethernet!Z58:Z64)</f>
        <v>0</v>
      </c>
      <c r="Q108" s="1454">
        <f>SUM(Ethernet!AA58:AA64)</f>
        <v>0</v>
      </c>
      <c r="R108" s="299">
        <f>SUM(Ethernet!AB58:AB64)</f>
        <v>0</v>
      </c>
      <c r="S108" s="1454">
        <f>SUM(Ethernet!AC58:AC64)</f>
        <v>0</v>
      </c>
      <c r="T108" s="74">
        <f>SUM(Ethernet!AD58:AD64)</f>
        <v>0</v>
      </c>
      <c r="U108" s="1454">
        <f>SUM(Ethernet!AE58:AE64)</f>
        <v>0</v>
      </c>
      <c r="V108" s="1899">
        <f>SUM(Ethernet!AF58:AF64)</f>
        <v>0</v>
      </c>
      <c r="W108" s="1461">
        <f>SUM(Ethernet!M186:M192)/10^6</f>
        <v>26.62731514</v>
      </c>
      <c r="X108" s="1462">
        <f>SUM(Ethernet!N186:N192)/10^6</f>
        <v>33.032674517596291</v>
      </c>
      <c r="Y108" s="1462">
        <f>SUM(Ethernet!O186:O192)/10^6</f>
        <v>38.056587558402569</v>
      </c>
      <c r="Z108" s="1463">
        <f>SUM(Ethernet!P186:P192)/10^6</f>
        <v>49.507392093183029</v>
      </c>
      <c r="AA108" s="1461">
        <f>SUM(Ethernet!Q186:Q192)/10^6</f>
        <v>84.49552747937426</v>
      </c>
      <c r="AB108" s="1462">
        <f>SUM(Ethernet!R186:R192)/10^6</f>
        <v>0</v>
      </c>
      <c r="AC108" s="1462">
        <f>SUM(Ethernet!S186:S192)/10^6</f>
        <v>0</v>
      </c>
      <c r="AD108" s="1463">
        <f>SUM(Ethernet!T186:T192)/10^6</f>
        <v>0</v>
      </c>
      <c r="AE108" s="1461">
        <f>SUM(Ethernet!U186:U192)/10^6</f>
        <v>0</v>
      </c>
      <c r="AF108" s="1462">
        <f>SUM(Ethernet!V186:V192)/10^6</f>
        <v>0</v>
      </c>
      <c r="AG108" s="1462">
        <f>SUM(Ethernet!W186:W192)/10^6</f>
        <v>0</v>
      </c>
      <c r="AH108" s="1463">
        <f>SUM(Ethernet!X186:X192)/10^6</f>
        <v>0</v>
      </c>
      <c r="AI108" s="1461">
        <f>SUM(Ethernet!Y186:Y192)/10^6</f>
        <v>0</v>
      </c>
      <c r="AJ108" s="1462">
        <f>SUM(Ethernet!Z186:Z192)/10^6</f>
        <v>0</v>
      </c>
      <c r="AK108" s="1462">
        <f>SUM(Ethernet!AA186:AA192)/10^6</f>
        <v>0</v>
      </c>
      <c r="AL108" s="1463">
        <f>SUM(Ethernet!AB186:AB192)/10^6</f>
        <v>0</v>
      </c>
      <c r="AM108" s="1462">
        <f>SUM(Ethernet!AC186:AC192)/10^6</f>
        <v>0</v>
      </c>
      <c r="AN108" s="2009">
        <f>SUM(Ethernet!AD186:AD192)/10^6</f>
        <v>0</v>
      </c>
      <c r="AO108" s="1462">
        <f>SUM(Ethernet!AE186:AE192)/10^6</f>
        <v>0</v>
      </c>
      <c r="AP108" s="1902">
        <f>SUM(Ethernet!AF186:AF192)/10^6</f>
        <v>0</v>
      </c>
    </row>
    <row r="109" spans="2:44" ht="13.2">
      <c r="B109" s="1241" t="s">
        <v>536</v>
      </c>
      <c r="C109" s="1367">
        <f>Ethernet!M65</f>
        <v>0</v>
      </c>
      <c r="D109" s="1455">
        <f>Ethernet!N65</f>
        <v>0</v>
      </c>
      <c r="E109" s="1455">
        <f>Ethernet!O65</f>
        <v>0</v>
      </c>
      <c r="F109" s="313">
        <f>Ethernet!P65</f>
        <v>0</v>
      </c>
      <c r="G109" s="1367">
        <f>Ethernet!Q65</f>
        <v>0</v>
      </c>
      <c r="H109" s="1455">
        <f>Ethernet!R65</f>
        <v>0</v>
      </c>
      <c r="I109" s="1455">
        <f>Ethernet!S65</f>
        <v>0</v>
      </c>
      <c r="J109" s="313">
        <f>Ethernet!T65</f>
        <v>0</v>
      </c>
      <c r="K109" s="1367">
        <f>Ethernet!U65</f>
        <v>0</v>
      </c>
      <c r="L109" s="1455">
        <f>Ethernet!V65</f>
        <v>0</v>
      </c>
      <c r="M109" s="1455">
        <f>Ethernet!W65</f>
        <v>0</v>
      </c>
      <c r="N109" s="313">
        <f>Ethernet!X65</f>
        <v>0</v>
      </c>
      <c r="O109" s="1367">
        <f>Ethernet!Y65</f>
        <v>0</v>
      </c>
      <c r="P109" s="1455">
        <f>Ethernet!Z65</f>
        <v>0</v>
      </c>
      <c r="Q109" s="1455">
        <f>Ethernet!AA65</f>
        <v>0</v>
      </c>
      <c r="R109" s="313">
        <f>Ethernet!AB65</f>
        <v>0</v>
      </c>
      <c r="S109" s="1455">
        <f>Ethernet!AC65</f>
        <v>0</v>
      </c>
      <c r="T109" s="1967">
        <f>Ethernet!AD65</f>
        <v>0</v>
      </c>
      <c r="U109" s="1455">
        <f>Ethernet!AE65</f>
        <v>0</v>
      </c>
      <c r="V109" s="1900">
        <f>Ethernet!AF65</f>
        <v>0</v>
      </c>
      <c r="W109" s="1368">
        <f>Ethernet!M193/10^6</f>
        <v>0</v>
      </c>
      <c r="X109" s="1464">
        <f>Ethernet!N193/10^6</f>
        <v>0</v>
      </c>
      <c r="Y109" s="1464">
        <f>Ethernet!O193/10^6</f>
        <v>0</v>
      </c>
      <c r="Z109" s="1465">
        <f>Ethernet!P193/10^6</f>
        <v>0</v>
      </c>
      <c r="AA109" s="1368">
        <f>Ethernet!Q193/10^6</f>
        <v>0</v>
      </c>
      <c r="AB109" s="1464">
        <f>Ethernet!R193/10^6</f>
        <v>0</v>
      </c>
      <c r="AC109" s="1464">
        <f>Ethernet!S193/10^6</f>
        <v>0</v>
      </c>
      <c r="AD109" s="1465">
        <f>Ethernet!T193/10^6</f>
        <v>0</v>
      </c>
      <c r="AE109" s="1368">
        <f>Ethernet!U193/10^6</f>
        <v>0</v>
      </c>
      <c r="AF109" s="1464">
        <f>Ethernet!V193/10^6</f>
        <v>0</v>
      </c>
      <c r="AG109" s="1464">
        <f>Ethernet!W193/10^6</f>
        <v>0</v>
      </c>
      <c r="AH109" s="1465">
        <f>Ethernet!X193/10^6</f>
        <v>0</v>
      </c>
      <c r="AI109" s="1368">
        <f>Ethernet!Y193/10^6</f>
        <v>0</v>
      </c>
      <c r="AJ109" s="1464">
        <f>Ethernet!Z193/10^6</f>
        <v>0</v>
      </c>
      <c r="AK109" s="1464">
        <f>Ethernet!AA193/10^6</f>
        <v>0</v>
      </c>
      <c r="AL109" s="1465">
        <f>Ethernet!AB193/10^6</f>
        <v>0</v>
      </c>
      <c r="AM109" s="1464">
        <f>Ethernet!AC193/10^6</f>
        <v>0</v>
      </c>
      <c r="AN109" s="2010">
        <f>Ethernet!AD193/10^6</f>
        <v>0</v>
      </c>
      <c r="AO109" s="2010">
        <f>Ethernet!AE193/10^6</f>
        <v>0</v>
      </c>
      <c r="AP109" s="1902">
        <f>Ethernet!AF193/10^6</f>
        <v>0</v>
      </c>
    </row>
    <row r="110" spans="2:44" ht="13.2">
      <c r="B110" s="1245" t="s">
        <v>167</v>
      </c>
      <c r="C110" s="1389">
        <f t="shared" ref="C110:H110" si="34">SUM(C103:C109)</f>
        <v>10500407.857142856</v>
      </c>
      <c r="D110" s="1470">
        <f t="shared" si="34"/>
        <v>10939556.76923077</v>
      </c>
      <c r="E110" s="1470">
        <f t="shared" si="34"/>
        <v>10916523</v>
      </c>
      <c r="F110" s="314">
        <f t="shared" si="34"/>
        <v>12452403</v>
      </c>
      <c r="G110" s="1389">
        <f t="shared" si="34"/>
        <v>9532597</v>
      </c>
      <c r="H110" s="1470">
        <f t="shared" si="34"/>
        <v>0</v>
      </c>
      <c r="I110" s="1470">
        <f t="shared" ref="I110:R110" si="35">SUM(I103:I109)</f>
        <v>0</v>
      </c>
      <c r="J110" s="314">
        <f t="shared" si="35"/>
        <v>0</v>
      </c>
      <c r="K110" s="1389">
        <f t="shared" si="35"/>
        <v>0</v>
      </c>
      <c r="L110" s="1470">
        <f t="shared" si="35"/>
        <v>0</v>
      </c>
      <c r="M110" s="1470">
        <f t="shared" si="35"/>
        <v>0</v>
      </c>
      <c r="N110" s="314">
        <f t="shared" si="35"/>
        <v>0</v>
      </c>
      <c r="O110" s="1389">
        <f t="shared" si="35"/>
        <v>0</v>
      </c>
      <c r="P110" s="1470">
        <f t="shared" si="35"/>
        <v>0</v>
      </c>
      <c r="Q110" s="1470">
        <f t="shared" si="35"/>
        <v>0</v>
      </c>
      <c r="R110" s="314">
        <f t="shared" si="35"/>
        <v>0</v>
      </c>
      <c r="S110" s="1470">
        <f>SUM(S103:S109)</f>
        <v>0</v>
      </c>
      <c r="T110" s="1968">
        <f t="shared" ref="T110:V110" si="36">SUM(T103:T109)</f>
        <v>0</v>
      </c>
      <c r="U110" s="1470">
        <f t="shared" si="36"/>
        <v>0</v>
      </c>
      <c r="V110" s="1984">
        <f t="shared" si="36"/>
        <v>0</v>
      </c>
      <c r="W110" s="1471">
        <f t="shared" ref="W110:AD110" si="37">SUM(W103:W109)</f>
        <v>617.01446674132774</v>
      </c>
      <c r="X110" s="1472">
        <f t="shared" si="37"/>
        <v>648.81736887627812</v>
      </c>
      <c r="Y110" s="1472">
        <f t="shared" si="37"/>
        <v>645.1154791786372</v>
      </c>
      <c r="Z110" s="1473">
        <f t="shared" si="37"/>
        <v>769.7339616361902</v>
      </c>
      <c r="AA110" s="1471">
        <f t="shared" si="37"/>
        <v>716.35048597010086</v>
      </c>
      <c r="AB110" s="1472">
        <f t="shared" si="37"/>
        <v>0</v>
      </c>
      <c r="AC110" s="1472">
        <f t="shared" si="37"/>
        <v>0</v>
      </c>
      <c r="AD110" s="1473">
        <f t="shared" si="37"/>
        <v>0</v>
      </c>
      <c r="AE110" s="1471">
        <f t="shared" ref="AE110:AL110" si="38">SUM(AE103:AE109)</f>
        <v>0</v>
      </c>
      <c r="AF110" s="1472">
        <f t="shared" si="38"/>
        <v>0</v>
      </c>
      <c r="AG110" s="1472">
        <f t="shared" si="38"/>
        <v>0</v>
      </c>
      <c r="AH110" s="1473">
        <f t="shared" si="38"/>
        <v>0</v>
      </c>
      <c r="AI110" s="1471">
        <f t="shared" si="38"/>
        <v>0</v>
      </c>
      <c r="AJ110" s="1472">
        <f t="shared" si="38"/>
        <v>0</v>
      </c>
      <c r="AK110" s="1472">
        <f t="shared" si="38"/>
        <v>0</v>
      </c>
      <c r="AL110" s="1473">
        <f t="shared" si="38"/>
        <v>0</v>
      </c>
      <c r="AM110" s="1472">
        <f t="shared" ref="AM110:AN110" si="39">SUM(AM103:AM109)</f>
        <v>0</v>
      </c>
      <c r="AN110" s="2011">
        <f t="shared" si="39"/>
        <v>0</v>
      </c>
      <c r="AO110" s="1472">
        <f t="shared" ref="AO110:AP110" si="40">SUM(AO103:AO109)</f>
        <v>0</v>
      </c>
      <c r="AP110" s="2012">
        <f t="shared" si="40"/>
        <v>0</v>
      </c>
    </row>
    <row r="111" spans="2:44">
      <c r="C111" s="642"/>
      <c r="D111" s="642"/>
      <c r="E111" s="642"/>
      <c r="F111" s="642"/>
      <c r="G111" s="642"/>
      <c r="H111" s="642"/>
      <c r="I111" s="642"/>
      <c r="J111" s="642"/>
      <c r="K111" s="642"/>
      <c r="L111" s="642"/>
      <c r="M111" s="642"/>
      <c r="N111" s="642"/>
      <c r="O111" s="642"/>
      <c r="P111" s="642"/>
      <c r="Q111" s="642"/>
      <c r="R111" s="642"/>
      <c r="S111" s="642"/>
      <c r="T111" s="642"/>
      <c r="U111" s="642"/>
      <c r="V111" s="642"/>
    </row>
    <row r="112" spans="2:44">
      <c r="C112" s="80"/>
      <c r="D112" s="80"/>
      <c r="E112" s="80"/>
      <c r="F112" s="80"/>
      <c r="G112" s="80"/>
      <c r="H112" s="80"/>
      <c r="I112" s="80"/>
      <c r="J112" s="80"/>
      <c r="K112" s="80"/>
      <c r="L112" s="80"/>
      <c r="M112" s="80"/>
      <c r="N112" s="80"/>
      <c r="O112" s="80"/>
      <c r="P112" s="80"/>
      <c r="Q112" s="80"/>
      <c r="R112" s="80"/>
      <c r="S112" s="80"/>
      <c r="T112" s="80"/>
      <c r="U112" s="80"/>
      <c r="V112" s="80"/>
    </row>
    <row r="113" spans="2:42" ht="17.399999999999999">
      <c r="B113" s="1237" t="s">
        <v>15</v>
      </c>
    </row>
    <row r="114" spans="2:42">
      <c r="AP114" s="2007"/>
    </row>
    <row r="134" spans="2:46">
      <c r="AO134"/>
      <c r="AP134"/>
      <c r="AR134" s="963"/>
      <c r="AS134" s="963"/>
    </row>
    <row r="135" spans="2:46" ht="16.2" thickBot="1">
      <c r="B135" s="479" t="s">
        <v>15</v>
      </c>
      <c r="G135" s="479" t="s">
        <v>15</v>
      </c>
      <c r="I135" s="30"/>
      <c r="J135" s="13"/>
      <c r="L135" s="13"/>
      <c r="M135" s="30"/>
      <c r="N135" s="13"/>
      <c r="O135" s="479" t="str">
        <f>G135</f>
        <v>Fibre Channel</v>
      </c>
      <c r="P135" s="13"/>
      <c r="Q135" s="30"/>
      <c r="R135" s="13"/>
      <c r="S135" s="13"/>
      <c r="T135" s="13"/>
      <c r="U135" s="13"/>
      <c r="V135" s="13"/>
      <c r="W135" s="479" t="str">
        <f>B135</f>
        <v>Fibre Channel</v>
      </c>
      <c r="AE135" s="479" t="s">
        <v>15</v>
      </c>
      <c r="AF135" s="13"/>
      <c r="AG135" s="30"/>
      <c r="AH135" s="13"/>
      <c r="AI135" s="479"/>
      <c r="AJ135" s="13"/>
      <c r="AK135" s="30"/>
      <c r="AL135" s="13"/>
      <c r="AM135" s="13"/>
      <c r="AN135" s="13"/>
      <c r="AO135" s="13"/>
      <c r="AQ135" s="13"/>
      <c r="AR135" s="2217"/>
      <c r="AS135" s="2217"/>
      <c r="AT135" s="2217"/>
    </row>
    <row r="136" spans="2:46" ht="16.2" thickBot="1">
      <c r="B136" s="2223" t="s">
        <v>352</v>
      </c>
      <c r="C136" s="379"/>
      <c r="D136" s="379"/>
      <c r="E136" s="379"/>
      <c r="F136" s="379"/>
      <c r="G136" s="379" t="s">
        <v>164</v>
      </c>
      <c r="H136" s="379"/>
      <c r="I136" s="379"/>
      <c r="J136" s="379"/>
      <c r="K136" s="379"/>
      <c r="L136" s="379"/>
      <c r="M136" s="379"/>
      <c r="N136" s="379"/>
      <c r="O136" s="379" t="str">
        <f>G136</f>
        <v>Shipments: Actual Data</v>
      </c>
      <c r="P136" s="379"/>
      <c r="Q136" s="379"/>
      <c r="R136" s="379"/>
      <c r="S136" s="379"/>
      <c r="T136" s="1964"/>
      <c r="U136" s="2225" t="s">
        <v>369</v>
      </c>
      <c r="V136" s="2226"/>
      <c r="W136" s="379"/>
      <c r="X136" s="379"/>
      <c r="Y136" s="379"/>
      <c r="Z136" s="379"/>
      <c r="AA136" s="379" t="s">
        <v>297</v>
      </c>
      <c r="AB136" s="379"/>
      <c r="AC136" s="379"/>
      <c r="AD136" s="379"/>
      <c r="AE136" s="379"/>
      <c r="AF136" s="379"/>
      <c r="AG136" s="379"/>
      <c r="AH136" s="379"/>
      <c r="AI136" s="379" t="s">
        <v>297</v>
      </c>
      <c r="AJ136" s="379"/>
      <c r="AK136" s="379"/>
      <c r="AL136" s="379"/>
      <c r="AM136" s="379"/>
      <c r="AN136" s="1964"/>
      <c r="AO136" s="2225" t="s">
        <v>369</v>
      </c>
      <c r="AP136" s="2226"/>
      <c r="AQ136" s="458"/>
      <c r="AR136" s="958"/>
      <c r="AS136" s="958"/>
    </row>
    <row r="137" spans="2:46" ht="16.2" thickBot="1">
      <c r="B137" s="2224" t="s">
        <v>166</v>
      </c>
      <c r="C137" s="276" t="str">
        <f>C$68</f>
        <v>1Q 19</v>
      </c>
      <c r="D137" s="245" t="str">
        <f>D$68</f>
        <v>2Q 19</v>
      </c>
      <c r="E137" s="245" t="s">
        <v>110</v>
      </c>
      <c r="F137" s="277" t="s">
        <v>111</v>
      </c>
      <c r="G137" s="276" t="s">
        <v>112</v>
      </c>
      <c r="H137" s="245" t="s">
        <v>113</v>
      </c>
      <c r="I137" s="245" t="s">
        <v>114</v>
      </c>
      <c r="J137" s="277" t="s">
        <v>115</v>
      </c>
      <c r="K137" s="1390" t="str">
        <f>K37</f>
        <v>1Q 21</v>
      </c>
      <c r="L137" s="1391" t="str">
        <f>L37</f>
        <v>2Q21</v>
      </c>
      <c r="M137" s="1392" t="s">
        <v>465</v>
      </c>
      <c r="N137" s="1393" t="s">
        <v>466</v>
      </c>
      <c r="O137" s="1390" t="s">
        <v>467</v>
      </c>
      <c r="P137" s="1391" t="s">
        <v>468</v>
      </c>
      <c r="Q137" s="1392" t="str">
        <f t="shared" ref="Q137:R137" si="41">Q37</f>
        <v>3Q 22</v>
      </c>
      <c r="R137" s="1393" t="str">
        <f t="shared" si="41"/>
        <v>4Q 22</v>
      </c>
      <c r="S137" s="1392" t="s">
        <v>568</v>
      </c>
      <c r="T137" s="1965" t="s">
        <v>594</v>
      </c>
      <c r="U137" s="1975" t="s">
        <v>621</v>
      </c>
      <c r="V137" s="1974" t="s">
        <v>622</v>
      </c>
      <c r="W137" s="276" t="str">
        <f t="shared" ref="W137:X137" si="42">W$68</f>
        <v>1Q 19</v>
      </c>
      <c r="X137" s="245" t="str">
        <f t="shared" si="42"/>
        <v>2Q 19</v>
      </c>
      <c r="Y137" s="245" t="s">
        <v>110</v>
      </c>
      <c r="Z137" s="277" t="s">
        <v>111</v>
      </c>
      <c r="AA137" s="276" t="s">
        <v>112</v>
      </c>
      <c r="AB137" s="245" t="s">
        <v>113</v>
      </c>
      <c r="AC137" s="245" t="s">
        <v>114</v>
      </c>
      <c r="AD137" s="277" t="s">
        <v>115</v>
      </c>
      <c r="AE137" s="276" t="str">
        <f>K137</f>
        <v>1Q 21</v>
      </c>
      <c r="AF137" s="245" t="str">
        <f>L137</f>
        <v>2Q21</v>
      </c>
      <c r="AG137" s="245" t="str">
        <f>M137</f>
        <v>3Q 21</v>
      </c>
      <c r="AH137" s="277" t="str">
        <f>N137</f>
        <v>4Q 21</v>
      </c>
      <c r="AI137" s="276" t="str">
        <f>O37</f>
        <v>1Q 22</v>
      </c>
      <c r="AJ137" s="245" t="str">
        <f>P37</f>
        <v>2Q 22</v>
      </c>
      <c r="AK137" s="245" t="str">
        <f t="shared" ref="AK137:AL137" si="43">AK37</f>
        <v>3Q 22</v>
      </c>
      <c r="AL137" s="277" t="str">
        <f t="shared" si="43"/>
        <v>4Q 22</v>
      </c>
      <c r="AM137" s="1392" t="s">
        <v>568</v>
      </c>
      <c r="AN137" s="1965" t="s">
        <v>594</v>
      </c>
      <c r="AO137" s="1975" t="s">
        <v>621</v>
      </c>
      <c r="AP137" s="1974" t="s">
        <v>622</v>
      </c>
      <c r="AQ137" s="2014"/>
      <c r="AR137" s="963"/>
      <c r="AS137" s="963"/>
    </row>
    <row r="138" spans="2:46">
      <c r="B138" s="1246" t="s">
        <v>365</v>
      </c>
      <c r="C138" s="81">
        <f>SUM('Fibre Channel'!L9:L11)</f>
        <v>114612</v>
      </c>
      <c r="D138" s="81">
        <f>SUM('Fibre Channel'!M9:M11)</f>
        <v>217567</v>
      </c>
      <c r="E138" s="81">
        <f>SUM('Fibre Channel'!N9:N11)</f>
        <v>217567</v>
      </c>
      <c r="F138" s="430">
        <f>SUM('Fibre Channel'!O9:O11)</f>
        <v>180000</v>
      </c>
      <c r="G138" s="81">
        <f>SUM('Fibre Channel'!P9:P11)</f>
        <v>0</v>
      </c>
      <c r="H138" s="81">
        <f>SUM('Fibre Channel'!Q9:Q11)</f>
        <v>0</v>
      </c>
      <c r="I138" s="81">
        <f>SUM('Fibre Channel'!R9:R11)</f>
        <v>0</v>
      </c>
      <c r="J138" s="430">
        <f>SUM('Fibre Channel'!S9:S11)</f>
        <v>0</v>
      </c>
      <c r="K138" s="74">
        <f>SUM('Fibre Channel'!T9:T11)</f>
        <v>0</v>
      </c>
      <c r="L138" s="74">
        <f>SUM('Fibre Channel'!U9:U11)</f>
        <v>0</v>
      </c>
      <c r="M138" s="74">
        <f>SUM('Fibre Channel'!V9:V11)</f>
        <v>0</v>
      </c>
      <c r="N138" s="299">
        <f>SUM('Fibre Channel'!W9:W11)</f>
        <v>0</v>
      </c>
      <c r="O138" s="74">
        <f>SUM('Fibre Channel'!X9:X11)</f>
        <v>0</v>
      </c>
      <c r="P138" s="74">
        <f>SUM('Fibre Channel'!Y9:Y11)</f>
        <v>0</v>
      </c>
      <c r="Q138" s="74">
        <f>SUM('Fibre Channel'!Z9:Z11)</f>
        <v>0</v>
      </c>
      <c r="R138" s="299">
        <f>SUM('Fibre Channel'!AA9:AA11)</f>
        <v>0</v>
      </c>
      <c r="S138" s="1985">
        <f>SUM('Fibre Channel'!AB9:AB11)</f>
        <v>0</v>
      </c>
      <c r="T138" s="1452">
        <f>SUM('Fibre Channel'!AC9:AC11)</f>
        <v>0</v>
      </c>
      <c r="U138" s="1452">
        <f>SUM('Fibre Channel'!AD9:AD11)</f>
        <v>0</v>
      </c>
      <c r="V138" s="1453">
        <f>SUM('Fibre Channel'!AE9:AE11)</f>
        <v>0</v>
      </c>
      <c r="W138" s="306">
        <f>SUM('Fibre Channel'!L43:L45)/10^6</f>
        <v>1.715009</v>
      </c>
      <c r="X138" s="303">
        <f>SUM('Fibre Channel'!M43:M45)/10^6</f>
        <v>3.0234755999999954</v>
      </c>
      <c r="Y138" s="303">
        <f>SUM('Fibre Channel'!N43:N45)/10^6</f>
        <v>2.9371545000000001</v>
      </c>
      <c r="Z138" s="659">
        <f>SUM('Fibre Channel'!O43:O45)/10^6</f>
        <v>2.4300000000000002</v>
      </c>
      <c r="AA138" s="306">
        <f>SUM('Fibre Channel'!P43:P45)/10^6</f>
        <v>0</v>
      </c>
      <c r="AB138" s="303">
        <f>SUM('Fibre Channel'!Q43:Q45)/10^6</f>
        <v>0</v>
      </c>
      <c r="AC138" s="303">
        <f>SUM('Fibre Channel'!R43:R45)/10^6</f>
        <v>0</v>
      </c>
      <c r="AD138" s="659">
        <f>SUM('Fibre Channel'!S43:S45)/10^6</f>
        <v>0</v>
      </c>
      <c r="AE138" s="329">
        <f>SUM('Fibre Channel'!T43:T45)/10^6</f>
        <v>0</v>
      </c>
      <c r="AF138" s="77">
        <f>SUM('Fibre Channel'!U43:U45)/10^6</f>
        <v>0</v>
      </c>
      <c r="AG138" s="77">
        <f>SUM('Fibre Channel'!V43:V45)/10^6</f>
        <v>0</v>
      </c>
      <c r="AH138" s="330">
        <f>SUM('Fibre Channel'!W43:W45)/10^6</f>
        <v>0</v>
      </c>
      <c r="AI138" s="329">
        <f>SUM('Fibre Channel'!X43:X45)/10^6</f>
        <v>0</v>
      </c>
      <c r="AJ138" s="77">
        <f>SUM('Fibre Channel'!Y43:Y45)/10^6</f>
        <v>0</v>
      </c>
      <c r="AK138" s="77">
        <f>SUM('Fibre Channel'!Z43:Z45)/10^6</f>
        <v>0</v>
      </c>
      <c r="AL138" s="330">
        <f>SUM('Fibre Channel'!AA43:AA45)/10^6</f>
        <v>0</v>
      </c>
      <c r="AM138" s="77">
        <f>SUM('Fibre Channel'!AB43:AB45)/10^6</f>
        <v>0</v>
      </c>
      <c r="AN138" s="78">
        <f>SUM('Fibre Channel'!AC43:AC45)/10^6</f>
        <v>0</v>
      </c>
      <c r="AO138" s="2019">
        <f>SUM('Fibre Channel'!AD43:AD45)/10^6</f>
        <v>0</v>
      </c>
      <c r="AP138" s="2017">
        <f>SUM('Fibre Channel'!AE43:AE45)/10^6</f>
        <v>0</v>
      </c>
      <c r="AQ138" s="2015"/>
      <c r="AR138" s="959"/>
      <c r="AS138" s="960"/>
    </row>
    <row r="139" spans="2:46">
      <c r="B139" s="1247" t="s">
        <v>366</v>
      </c>
      <c r="C139" s="82">
        <f>SUM('Fibre Channel'!L12:L13)</f>
        <v>142177</v>
      </c>
      <c r="D139" s="82">
        <f>SUM('Fibre Channel'!M12:M13)</f>
        <v>100365</v>
      </c>
      <c r="E139" s="82">
        <f>SUM('Fibre Channel'!N12:N13)</f>
        <v>100365</v>
      </c>
      <c r="F139" s="428">
        <f>SUM('Fibre Channel'!O12:O13)</f>
        <v>113253</v>
      </c>
      <c r="G139" s="82">
        <f>SUM('Fibre Channel'!P12:P13)</f>
        <v>56000</v>
      </c>
      <c r="H139" s="82">
        <f>SUM('Fibre Channel'!Q12:Q13)</f>
        <v>0</v>
      </c>
      <c r="I139" s="82">
        <f>SUM('Fibre Channel'!R12:R13)</f>
        <v>0</v>
      </c>
      <c r="J139" s="428">
        <f>SUM('Fibre Channel'!S12:S13)</f>
        <v>0</v>
      </c>
      <c r="K139" s="74">
        <f>SUM('Fibre Channel'!T12:T13)</f>
        <v>0</v>
      </c>
      <c r="L139" s="74">
        <f>SUM('Fibre Channel'!U12:U13)</f>
        <v>0</v>
      </c>
      <c r="M139" s="74">
        <f>SUM('Fibre Channel'!V12:V13)</f>
        <v>0</v>
      </c>
      <c r="N139" s="299">
        <f>SUM('Fibre Channel'!W12:W13)</f>
        <v>0</v>
      </c>
      <c r="O139" s="74">
        <f>SUM('Fibre Channel'!X12:X13)</f>
        <v>0</v>
      </c>
      <c r="P139" s="74">
        <f>SUM('Fibre Channel'!Y12:Y13)</f>
        <v>0</v>
      </c>
      <c r="Q139" s="74">
        <f>SUM('Fibre Channel'!Z12:Z13)</f>
        <v>0</v>
      </c>
      <c r="R139" s="299">
        <f>SUM('Fibre Channel'!AA12:AA13)</f>
        <v>0</v>
      </c>
      <c r="S139" s="1986">
        <f>SUM('Fibre Channel'!AB12:AB13)</f>
        <v>0</v>
      </c>
      <c r="T139" s="1454">
        <f>SUM('Fibre Channel'!AC12:AC13)</f>
        <v>0</v>
      </c>
      <c r="U139" s="1454">
        <f>SUM('Fibre Channel'!AD12:AD13)</f>
        <v>0</v>
      </c>
      <c r="V139" s="299">
        <f>SUM('Fibre Channel'!AE12:AE13)</f>
        <v>0</v>
      </c>
      <c r="W139" s="306">
        <f>SUM('Fibre Channel'!L46:L47)/10^6</f>
        <v>2.1043691999999998</v>
      </c>
      <c r="X139" s="303">
        <f>SUM('Fibre Channel'!M46:M47)/10^6</f>
        <v>1.7077340000000012</v>
      </c>
      <c r="Y139" s="303">
        <f>SUM('Fibre Channel'!N46:N47)/10^6</f>
        <v>1.6573709999999999</v>
      </c>
      <c r="Z139" s="659">
        <f>SUM('Fibre Channel'!O46:O47)/10^6</f>
        <v>1.61477575</v>
      </c>
      <c r="AA139" s="306">
        <f>SUM('Fibre Channel'!P46:P47)/10^6</f>
        <v>0.64800000000000002</v>
      </c>
      <c r="AB139" s="303">
        <f>SUM('Fibre Channel'!Q46:Q47)/10^6</f>
        <v>0</v>
      </c>
      <c r="AC139" s="303">
        <f>SUM('Fibre Channel'!R46:R47)/10^6</f>
        <v>0</v>
      </c>
      <c r="AD139" s="659">
        <f>SUM('Fibre Channel'!S46:S47)/10^6</f>
        <v>0</v>
      </c>
      <c r="AE139" s="331">
        <f>SUM('Fibre Channel'!T46:T47)/10^6</f>
        <v>0</v>
      </c>
      <c r="AF139" s="78">
        <f>SUM('Fibre Channel'!U46:U47)/10^6</f>
        <v>0</v>
      </c>
      <c r="AG139" s="78">
        <f>SUM('Fibre Channel'!V46:V47)/10^6</f>
        <v>0</v>
      </c>
      <c r="AH139" s="330">
        <f>SUM('Fibre Channel'!W46:W47)/10^6</f>
        <v>0</v>
      </c>
      <c r="AI139" s="331">
        <f>SUM('Fibre Channel'!X46:X47)/10^6</f>
        <v>0</v>
      </c>
      <c r="AJ139" s="78">
        <f>SUM('Fibre Channel'!Y46:Y47)/10^6</f>
        <v>0</v>
      </c>
      <c r="AK139" s="78">
        <f>SUM('Fibre Channel'!Z46:Z47)/10^6</f>
        <v>0</v>
      </c>
      <c r="AL139" s="330">
        <f>SUM('Fibre Channel'!AA46:AA47)/10^6</f>
        <v>0</v>
      </c>
      <c r="AM139" s="78">
        <f>SUM('Fibre Channel'!AB46:AB47)/10^6</f>
        <v>0</v>
      </c>
      <c r="AN139" s="78">
        <f>SUM('Fibre Channel'!AC46:AC47)/10^6</f>
        <v>0</v>
      </c>
      <c r="AO139" s="77">
        <f>SUM('Fibre Channel'!AD46:AD47)/10^6</f>
        <v>0</v>
      </c>
      <c r="AP139" s="2017">
        <f>SUM('Fibre Channel'!AE46:AE47)/10^6</f>
        <v>0</v>
      </c>
      <c r="AQ139" s="2013"/>
      <c r="AR139" s="961"/>
      <c r="AS139" s="962"/>
    </row>
    <row r="140" spans="2:46" ht="13.2">
      <c r="B140" s="1247" t="s">
        <v>367</v>
      </c>
      <c r="C140" s="82">
        <f>SUM('Fibre Channel'!L14:L15)</f>
        <v>1524652</v>
      </c>
      <c r="D140" s="82">
        <f>SUM('Fibre Channel'!M14:M15)</f>
        <v>1162955</v>
      </c>
      <c r="E140" s="82">
        <f>SUM('Fibre Channel'!N14:N15)</f>
        <v>1162955</v>
      </c>
      <c r="F140" s="428">
        <f>SUM('Fibre Channel'!O14:O15)</f>
        <v>1155000</v>
      </c>
      <c r="G140" s="82">
        <f>SUM('Fibre Channel'!P14:P15)</f>
        <v>578105</v>
      </c>
      <c r="H140" s="82">
        <f>SUM('Fibre Channel'!Q14:Q15)</f>
        <v>0</v>
      </c>
      <c r="I140" s="82">
        <f>SUM('Fibre Channel'!R14:R15)</f>
        <v>0</v>
      </c>
      <c r="J140" s="428">
        <f>SUM('Fibre Channel'!S14:S15)</f>
        <v>0</v>
      </c>
      <c r="K140" s="82">
        <f>SUM('Fibre Channel'!T14:T15)</f>
        <v>0</v>
      </c>
      <c r="L140" s="82">
        <f>SUM('Fibre Channel'!U14:U15)</f>
        <v>0</v>
      </c>
      <c r="M140" s="82">
        <f>SUM('Fibre Channel'!V14:V15)</f>
        <v>0</v>
      </c>
      <c r="N140" s="428">
        <f>SUM('Fibre Channel'!W14:W15)</f>
        <v>0</v>
      </c>
      <c r="O140" s="82">
        <f>SUM('Fibre Channel'!X14:X15)</f>
        <v>0</v>
      </c>
      <c r="P140" s="82">
        <f>SUM('Fibre Channel'!Y14:Y15)</f>
        <v>0</v>
      </c>
      <c r="Q140" s="82">
        <f>SUM('Fibre Channel'!Z14:Z15)</f>
        <v>0</v>
      </c>
      <c r="R140" s="428">
        <f>SUM('Fibre Channel'!AA14:AA15)</f>
        <v>0</v>
      </c>
      <c r="S140" s="1987">
        <f>SUM('Fibre Channel'!AB14:AB15)</f>
        <v>0</v>
      </c>
      <c r="T140" s="82">
        <f>SUM('Fibre Channel'!AC14:AC15)</f>
        <v>0</v>
      </c>
      <c r="U140" s="82">
        <f>SUM('Fibre Channel'!AD14:AD15)</f>
        <v>0</v>
      </c>
      <c r="V140" s="428">
        <f>SUM('Fibre Channel'!AE14:AE15)</f>
        <v>0</v>
      </c>
      <c r="W140" s="306">
        <f>SUM('Fibre Channel'!L48:L49)/10^6</f>
        <v>46.571722999999977</v>
      </c>
      <c r="X140" s="303">
        <f>SUM('Fibre Channel'!M48:M49)/10^6</f>
        <v>34.387763999999997</v>
      </c>
      <c r="Y140" s="303">
        <f>SUM('Fibre Channel'!N48:N49)/10^6</f>
        <v>25.525276000000002</v>
      </c>
      <c r="Z140" s="659">
        <f>SUM('Fibre Channel'!O48:O49)/10^6</f>
        <v>27.17</v>
      </c>
      <c r="AA140" s="306">
        <f>SUM('Fibre Channel'!P48:P49)/10^6</f>
        <v>13.899392857142857</v>
      </c>
      <c r="AB140" s="303">
        <f>SUM('Fibre Channel'!Q48:Q49)/10^6</f>
        <v>0</v>
      </c>
      <c r="AC140" s="303">
        <f>SUM('Fibre Channel'!R48:R49)/10^6</f>
        <v>0</v>
      </c>
      <c r="AD140" s="659">
        <f>SUM('Fibre Channel'!S48:S49)/10^6</f>
        <v>0</v>
      </c>
      <c r="AE140" s="331">
        <f>SUM('Fibre Channel'!T48:T49)/10^6</f>
        <v>0</v>
      </c>
      <c r="AF140" s="78">
        <f>SUM('Fibre Channel'!U48:U49)/10^6</f>
        <v>0</v>
      </c>
      <c r="AG140" s="78">
        <f>SUM('Fibre Channel'!V48:V49)/10^6</f>
        <v>0</v>
      </c>
      <c r="AH140" s="330">
        <f>SUM('Fibre Channel'!W48:W49)/10^6</f>
        <v>0</v>
      </c>
      <c r="AI140" s="331">
        <f>SUM('Fibre Channel'!X48:X49)/10^6</f>
        <v>0</v>
      </c>
      <c r="AJ140" s="78">
        <f>SUM('Fibre Channel'!Y48:Y49)/10^6</f>
        <v>0</v>
      </c>
      <c r="AK140" s="78">
        <f>SUM('Fibre Channel'!Z48:Z49)/10^6</f>
        <v>0</v>
      </c>
      <c r="AL140" s="330">
        <f>SUM('Fibre Channel'!AA48:AA49)/10^6</f>
        <v>0</v>
      </c>
      <c r="AM140" s="78">
        <f>SUM('Fibre Channel'!AB48:AB49)/10^6</f>
        <v>0</v>
      </c>
      <c r="AN140" s="78">
        <f>SUM('Fibre Channel'!AC48:AC49)/10^6</f>
        <v>0</v>
      </c>
      <c r="AO140" s="77">
        <f>SUM('Fibre Channel'!AD48:AD49)/10^6</f>
        <v>0</v>
      </c>
      <c r="AP140" s="2017">
        <f>SUM('Fibre Channel'!AE48:AE49)/10^6</f>
        <v>0</v>
      </c>
    </row>
    <row r="141" spans="2:46" ht="13.2">
      <c r="B141" s="1247" t="s">
        <v>368</v>
      </c>
      <c r="C141" s="315">
        <f>SUM('Fibre Channel'!L16:L17)</f>
        <v>431897</v>
      </c>
      <c r="D141" s="315">
        <f>SUM('Fibre Channel'!M16:M17)</f>
        <v>440276</v>
      </c>
      <c r="E141" s="315">
        <f>SUM('Fibre Channel'!N16:N17)</f>
        <v>440276</v>
      </c>
      <c r="F141" s="428">
        <f>SUM('Fibre Channel'!O16:O17)</f>
        <v>775258.21267123602</v>
      </c>
      <c r="G141" s="315">
        <f>SUM('Fibre Channel'!P16:P17)</f>
        <v>335405</v>
      </c>
      <c r="H141" s="315">
        <f>SUM('Fibre Channel'!Q16:Q17)</f>
        <v>0</v>
      </c>
      <c r="I141" s="315">
        <f>SUM('Fibre Channel'!R16:R17)</f>
        <v>0</v>
      </c>
      <c r="J141" s="428">
        <f>SUM('Fibre Channel'!S16:S17)</f>
        <v>0</v>
      </c>
      <c r="K141" s="315">
        <f>SUM('Fibre Channel'!T16:T17)</f>
        <v>0</v>
      </c>
      <c r="L141" s="315">
        <f>SUM('Fibre Channel'!U16:U17)</f>
        <v>0</v>
      </c>
      <c r="M141" s="315">
        <f>SUM('Fibre Channel'!V16:V17)</f>
        <v>0</v>
      </c>
      <c r="N141" s="428">
        <f>SUM('Fibre Channel'!W16:W17)</f>
        <v>0</v>
      </c>
      <c r="O141" s="315">
        <f>SUM('Fibre Channel'!X16:X17)</f>
        <v>0</v>
      </c>
      <c r="P141" s="315">
        <f>SUM('Fibre Channel'!Y16:Y17)</f>
        <v>0</v>
      </c>
      <c r="Q141" s="315">
        <f>SUM('Fibre Channel'!Z16:Z17)</f>
        <v>0</v>
      </c>
      <c r="R141" s="428">
        <f>SUM('Fibre Channel'!AA16:AA17)</f>
        <v>0</v>
      </c>
      <c r="S141" s="1987">
        <f>SUM('Fibre Channel'!AB16:AB17)</f>
        <v>0</v>
      </c>
      <c r="T141" s="82">
        <f>SUM('Fibre Channel'!AC16:AC17)</f>
        <v>0</v>
      </c>
      <c r="U141" s="82">
        <f>SUM('Fibre Channel'!AD16:AD17)</f>
        <v>0</v>
      </c>
      <c r="V141" s="428">
        <f>SUM('Fibre Channel'!AE16:AE17)</f>
        <v>0</v>
      </c>
      <c r="W141" s="306">
        <f>SUM('Fibre Channel'!L50:L51)/10^6</f>
        <v>25.934014919999992</v>
      </c>
      <c r="X141" s="303">
        <f>SUM('Fibre Channel'!M50:M51)/10^6</f>
        <v>25.287491680000009</v>
      </c>
      <c r="Y141" s="303">
        <f>SUM('Fibre Channel'!N50:N51)/10^6</f>
        <v>24.291139999999999</v>
      </c>
      <c r="Z141" s="659">
        <f>SUM('Fibre Channel'!O50:O51)/10^6</f>
        <v>44.194134128160144</v>
      </c>
      <c r="AA141" s="306">
        <f>SUM('Fibre Channel'!P50:P51)/10^6</f>
        <v>19.105799999999999</v>
      </c>
      <c r="AB141" s="303">
        <f>SUM('Fibre Channel'!Q50:Q51)/10^6</f>
        <v>0</v>
      </c>
      <c r="AC141" s="303">
        <f>SUM('Fibre Channel'!R50:R51)/10^6</f>
        <v>0</v>
      </c>
      <c r="AD141" s="659">
        <f>SUM('Fibre Channel'!S50:S51)/10^6</f>
        <v>0</v>
      </c>
      <c r="AE141" s="331">
        <f>SUM('Fibre Channel'!T50:T51)/10^6</f>
        <v>0</v>
      </c>
      <c r="AF141" s="78">
        <f>SUM('Fibre Channel'!U50:U51)/10^6</f>
        <v>0</v>
      </c>
      <c r="AG141" s="78">
        <f>SUM('Fibre Channel'!V50:V51)/10^6</f>
        <v>0</v>
      </c>
      <c r="AH141" s="330">
        <f>SUM('Fibre Channel'!W50:W51)/10^6</f>
        <v>0</v>
      </c>
      <c r="AI141" s="331">
        <f>SUM('Fibre Channel'!X50:X51)/10^6</f>
        <v>0</v>
      </c>
      <c r="AJ141" s="78">
        <f>SUM('Fibre Channel'!Y50:Y51)/10^6</f>
        <v>0</v>
      </c>
      <c r="AK141" s="78">
        <f>SUM('Fibre Channel'!Z50:Z51)/10^6</f>
        <v>0</v>
      </c>
      <c r="AL141" s="330">
        <f>SUM('Fibre Channel'!AA50:AA51)/10^6</f>
        <v>0</v>
      </c>
      <c r="AM141" s="78">
        <f>SUM('Fibre Channel'!AB50:AB51)/10^6</f>
        <v>0</v>
      </c>
      <c r="AN141" s="78">
        <f>SUM('Fibre Channel'!AC50:AC51)/10^6</f>
        <v>0</v>
      </c>
      <c r="AO141" s="77">
        <f>SUM('Fibre Channel'!AD50:AD51)/10^6</f>
        <v>0</v>
      </c>
      <c r="AP141" s="2017">
        <f>SUM('Fibre Channel'!AE50:AE51)/10^6</f>
        <v>0</v>
      </c>
    </row>
    <row r="142" spans="2:46" ht="13.2">
      <c r="B142" s="1248" t="s">
        <v>435</v>
      </c>
      <c r="C142" s="315">
        <f>'Fibre Channel'!L18+'Fibre Channel'!L19</f>
        <v>0</v>
      </c>
      <c r="D142" s="315">
        <f>'Fibre Channel'!M18+'Fibre Channel'!M19</f>
        <v>0</v>
      </c>
      <c r="E142" s="315">
        <f>'Fibre Channel'!N18+'Fibre Channel'!N19</f>
        <v>0</v>
      </c>
      <c r="F142" s="428">
        <f>'Fibre Channel'!O18+'Fibre Channel'!O19</f>
        <v>0</v>
      </c>
      <c r="G142" s="315">
        <f>'Fibre Channel'!P18+'Fibre Channel'!P19</f>
        <v>0</v>
      </c>
      <c r="H142" s="315">
        <f>'Fibre Channel'!Q18+'Fibre Channel'!Q19</f>
        <v>0</v>
      </c>
      <c r="I142" s="315">
        <f>'Fibre Channel'!R18+'Fibre Channel'!R19</f>
        <v>0</v>
      </c>
      <c r="J142" s="428">
        <f>'Fibre Channel'!S18+'Fibre Channel'!S19</f>
        <v>0</v>
      </c>
      <c r="K142" s="315">
        <f>'Fibre Channel'!T18+'Fibre Channel'!T19</f>
        <v>0</v>
      </c>
      <c r="L142" s="315">
        <f>'Fibre Channel'!U18+'Fibre Channel'!U19</f>
        <v>0</v>
      </c>
      <c r="M142" s="315">
        <f>'Fibre Channel'!V18+'Fibre Channel'!V19</f>
        <v>0</v>
      </c>
      <c r="N142" s="428">
        <f>'Fibre Channel'!W18+'Fibre Channel'!W19</f>
        <v>0</v>
      </c>
      <c r="O142" s="315">
        <f>'Fibre Channel'!X18+'Fibre Channel'!X19</f>
        <v>0</v>
      </c>
      <c r="P142" s="315">
        <f>'Fibre Channel'!Y18+'Fibre Channel'!Y19</f>
        <v>0</v>
      </c>
      <c r="Q142" s="315">
        <f>'Fibre Channel'!Z18+'Fibre Channel'!Z19</f>
        <v>0</v>
      </c>
      <c r="R142" s="428">
        <f>'Fibre Channel'!AA18+'Fibre Channel'!AA19</f>
        <v>0</v>
      </c>
      <c r="S142" s="1988">
        <f>'Fibre Channel'!AB18+'Fibre Channel'!AB19</f>
        <v>0</v>
      </c>
      <c r="T142" s="307">
        <f>'Fibre Channel'!AC18+'Fibre Channel'!AC19</f>
        <v>0</v>
      </c>
      <c r="U142" s="307">
        <f>'Fibre Channel'!AD18+'Fibre Channel'!AD19</f>
        <v>0</v>
      </c>
      <c r="V142" s="1832">
        <f>'Fibre Channel'!AE18+'Fibre Channel'!AE19</f>
        <v>0</v>
      </c>
      <c r="W142" s="306">
        <f>('Fibre Channel'!L52+'Fibre Channel'!L53)/10^6</f>
        <v>0</v>
      </c>
      <c r="X142" s="303">
        <f>('Fibre Channel'!M52+'Fibre Channel'!M53)/10^6</f>
        <v>0</v>
      </c>
      <c r="Y142" s="303">
        <f>('Fibre Channel'!N52+'Fibre Channel'!N53)/10^6</f>
        <v>0</v>
      </c>
      <c r="Z142" s="659">
        <f>('Fibre Channel'!O52+'Fibre Channel'!O53)/10^6</f>
        <v>0</v>
      </c>
      <c r="AA142" s="306">
        <f>('Fibre Channel'!P52+'Fibre Channel'!P53)/10^6</f>
        <v>0</v>
      </c>
      <c r="AB142" s="303">
        <f>('Fibre Channel'!Q52+'Fibre Channel'!Q53)/10^6</f>
        <v>0</v>
      </c>
      <c r="AC142" s="303">
        <f>('Fibre Channel'!R52+'Fibre Channel'!R53)/10^6</f>
        <v>0</v>
      </c>
      <c r="AD142" s="659">
        <f>('Fibre Channel'!S52+'Fibre Channel'!S53)/10^6</f>
        <v>0</v>
      </c>
      <c r="AE142" s="331">
        <f>('Fibre Channel'!T52+'Fibre Channel'!T53)/10^6</f>
        <v>0</v>
      </c>
      <c r="AF142" s="78">
        <f>('Fibre Channel'!U52+'Fibre Channel'!U53)/10^6</f>
        <v>0</v>
      </c>
      <c r="AG142" s="78">
        <f>('Fibre Channel'!V52+'Fibre Channel'!V53)/10^6</f>
        <v>0</v>
      </c>
      <c r="AH142" s="330">
        <f>('Fibre Channel'!W52+'Fibre Channel'!W53)/10^6</f>
        <v>0</v>
      </c>
      <c r="AI142" s="331">
        <f>('Fibre Channel'!X52+'Fibre Channel'!X53)/10^6</f>
        <v>0</v>
      </c>
      <c r="AJ142" s="78">
        <f>('Fibre Channel'!Y52+'Fibre Channel'!Y53)/10^6</f>
        <v>0</v>
      </c>
      <c r="AK142" s="78">
        <f>('Fibre Channel'!Z52+'Fibre Channel'!Z53)/10^6</f>
        <v>0</v>
      </c>
      <c r="AL142" s="330">
        <f>('Fibre Channel'!AA52+'Fibre Channel'!AA53)/10^6</f>
        <v>0</v>
      </c>
      <c r="AM142" s="78">
        <f>('Fibre Channel'!AB52+'Fibre Channel'!AB53)/10^6</f>
        <v>0</v>
      </c>
      <c r="AN142" s="78">
        <f>('Fibre Channel'!AC52+'Fibre Channel'!AC53)/10^6</f>
        <v>0</v>
      </c>
      <c r="AO142" s="77">
        <f>('Fibre Channel'!AD52+'Fibre Channel'!AD53)/10^6</f>
        <v>0</v>
      </c>
      <c r="AP142" s="2017">
        <f>('Fibre Channel'!AE52+'Fibre Channel'!AE53)/10^6</f>
        <v>0</v>
      </c>
    </row>
    <row r="143" spans="2:46" ht="13.2">
      <c r="B143" s="1245" t="s">
        <v>121</v>
      </c>
      <c r="C143" s="83">
        <f t="shared" ref="C143:E143" si="44">SUM(C138:C141)</f>
        <v>2213338</v>
      </c>
      <c r="D143" s="83">
        <f t="shared" si="44"/>
        <v>1921163</v>
      </c>
      <c r="E143" s="83">
        <f t="shared" si="44"/>
        <v>1921163</v>
      </c>
      <c r="F143" s="314">
        <f>SUM(F138:F141)</f>
        <v>2223511.2126712361</v>
      </c>
      <c r="G143" s="83">
        <f t="shared" ref="G143:H143" si="45">SUM(G138:G141)</f>
        <v>969510</v>
      </c>
      <c r="H143" s="83">
        <f t="shared" si="45"/>
        <v>0</v>
      </c>
      <c r="I143" s="83">
        <f t="shared" ref="I143:R143" si="46">SUM(I138:I142)</f>
        <v>0</v>
      </c>
      <c r="J143" s="314">
        <f t="shared" si="46"/>
        <v>0</v>
      </c>
      <c r="K143" s="83">
        <f t="shared" si="46"/>
        <v>0</v>
      </c>
      <c r="L143" s="83">
        <f t="shared" si="46"/>
        <v>0</v>
      </c>
      <c r="M143" s="83">
        <f t="shared" si="46"/>
        <v>0</v>
      </c>
      <c r="N143" s="314">
        <f t="shared" si="46"/>
        <v>0</v>
      </c>
      <c r="O143" s="83">
        <f t="shared" si="46"/>
        <v>0</v>
      </c>
      <c r="P143" s="83">
        <f t="shared" si="46"/>
        <v>0</v>
      </c>
      <c r="Q143" s="83">
        <f t="shared" si="46"/>
        <v>0</v>
      </c>
      <c r="R143" s="314">
        <f t="shared" si="46"/>
        <v>0</v>
      </c>
      <c r="S143" s="83">
        <f t="shared" ref="S143" si="47">SUM(S138:S142)</f>
        <v>0</v>
      </c>
      <c r="T143" s="83">
        <f t="shared" ref="T143:V143" si="48">SUM(T138:T142)</f>
        <v>0</v>
      </c>
      <c r="U143" s="83">
        <f t="shared" si="48"/>
        <v>0</v>
      </c>
      <c r="V143" s="1989">
        <f t="shared" si="48"/>
        <v>0</v>
      </c>
      <c r="W143" s="316">
        <f t="shared" ref="W143:AB143" si="49">SUM(W138:W142)</f>
        <v>76.325116119999976</v>
      </c>
      <c r="X143" s="304">
        <f t="shared" si="49"/>
        <v>64.406465279999992</v>
      </c>
      <c r="Y143" s="304">
        <f t="shared" si="49"/>
        <v>54.4109415</v>
      </c>
      <c r="Z143" s="660">
        <f t="shared" si="49"/>
        <v>75.408909878160145</v>
      </c>
      <c r="AA143" s="316">
        <f t="shared" si="49"/>
        <v>33.653192857142855</v>
      </c>
      <c r="AB143" s="304">
        <f t="shared" si="49"/>
        <v>0</v>
      </c>
      <c r="AC143" s="304">
        <f t="shared" ref="AC143:AL143" si="50">SUM(AC138:AC142)</f>
        <v>0</v>
      </c>
      <c r="AD143" s="660">
        <f t="shared" si="50"/>
        <v>0</v>
      </c>
      <c r="AE143" s="316">
        <f t="shared" si="50"/>
        <v>0</v>
      </c>
      <c r="AF143" s="304">
        <f t="shared" si="50"/>
        <v>0</v>
      </c>
      <c r="AG143" s="304">
        <f t="shared" si="50"/>
        <v>0</v>
      </c>
      <c r="AH143" s="660">
        <f t="shared" si="50"/>
        <v>0</v>
      </c>
      <c r="AI143" s="316">
        <f t="shared" si="50"/>
        <v>0</v>
      </c>
      <c r="AJ143" s="304">
        <f t="shared" si="50"/>
        <v>0</v>
      </c>
      <c r="AK143" s="304">
        <f t="shared" si="50"/>
        <v>0</v>
      </c>
      <c r="AL143" s="660">
        <f t="shared" si="50"/>
        <v>0</v>
      </c>
      <c r="AM143" s="304">
        <f t="shared" ref="AM143:AN143" si="51">SUM(AM138:AM142)</f>
        <v>0</v>
      </c>
      <c r="AN143" s="2016">
        <f t="shared" si="51"/>
        <v>0</v>
      </c>
      <c r="AO143" s="2020">
        <f t="shared" ref="AO143:AP143" si="52">SUM(AO138:AO142)</f>
        <v>0</v>
      </c>
      <c r="AP143" s="2018">
        <f t="shared" si="52"/>
        <v>0</v>
      </c>
    </row>
    <row r="144" spans="2:46" ht="13.2">
      <c r="C144" s="1358"/>
      <c r="D144" s="1358"/>
      <c r="E144" s="1358"/>
      <c r="F144" s="1358"/>
      <c r="G144" s="1358"/>
      <c r="H144" s="1358"/>
      <c r="I144" s="1358"/>
      <c r="J144" s="1358"/>
      <c r="K144" s="1358"/>
      <c r="L144" s="1358"/>
      <c r="M144" s="1358"/>
      <c r="N144" s="1358"/>
      <c r="O144" s="1358"/>
      <c r="P144" s="1358"/>
      <c r="Q144" s="1358"/>
      <c r="R144" s="1358"/>
      <c r="S144" s="1358"/>
      <c r="T144" s="1358"/>
      <c r="U144" s="1358"/>
      <c r="V144" s="1358"/>
      <c r="W144" s="63"/>
      <c r="X144" s="63"/>
      <c r="Y144" s="63"/>
      <c r="Z144" s="63"/>
      <c r="AA144" s="63"/>
      <c r="AB144" s="63"/>
      <c r="AC144" s="63"/>
      <c r="AD144" s="63"/>
      <c r="AE144" s="63"/>
      <c r="AF144" s="63"/>
      <c r="AG144" s="63"/>
      <c r="AH144" s="63"/>
      <c r="AI144" s="63"/>
      <c r="AJ144" s="63"/>
      <c r="AK144" s="63"/>
      <c r="AL144" s="63"/>
      <c r="AM144" s="63"/>
      <c r="AN144" s="63"/>
      <c r="AO144" s="63"/>
      <c r="AP144" s="63"/>
    </row>
    <row r="145" spans="2:42" ht="13.2">
      <c r="W145" s="1357"/>
      <c r="X145" s="1357"/>
      <c r="Y145" s="1357"/>
      <c r="Z145" s="1357"/>
      <c r="AA145" s="1357"/>
      <c r="AB145" s="1357"/>
      <c r="AC145" s="1357"/>
      <c r="AD145" s="1357"/>
      <c r="AE145" s="1357"/>
      <c r="AF145" s="1357"/>
      <c r="AG145" s="1357"/>
      <c r="AH145" s="1357"/>
      <c r="AI145" s="1357"/>
      <c r="AJ145" s="1357"/>
      <c r="AK145" s="1357"/>
      <c r="AL145" s="1357"/>
      <c r="AM145" s="1357"/>
      <c r="AN145" s="1357"/>
      <c r="AO145" s="1357"/>
      <c r="AP145" s="1357"/>
    </row>
    <row r="147" spans="2:42" ht="17.399999999999999">
      <c r="B147" s="1237" t="str">
        <f>B170</f>
        <v>DWDM</v>
      </c>
    </row>
    <row r="170" spans="2:44" ht="16.2" thickBot="1">
      <c r="B170" s="479" t="s">
        <v>231</v>
      </c>
      <c r="G170" s="479" t="s">
        <v>119</v>
      </c>
      <c r="I170" s="30"/>
      <c r="J170" s="13"/>
      <c r="L170" s="13"/>
      <c r="M170" s="30"/>
      <c r="N170" s="13"/>
      <c r="O170" s="479" t="str">
        <f>G170</f>
        <v>CWDM/DWDM</v>
      </c>
      <c r="P170" s="13"/>
      <c r="Q170" s="30"/>
      <c r="R170" s="13"/>
      <c r="S170" s="13"/>
      <c r="T170" s="13"/>
      <c r="U170" s="13"/>
      <c r="V170" s="13"/>
      <c r="W170" s="479" t="s">
        <v>119</v>
      </c>
      <c r="AE170" s="479" t="s">
        <v>119</v>
      </c>
      <c r="AF170" s="13"/>
      <c r="AG170" s="30"/>
      <c r="AH170" s="13"/>
      <c r="AI170" s="479"/>
      <c r="AJ170" s="13"/>
      <c r="AK170" s="30"/>
      <c r="AL170" s="13"/>
      <c r="AM170" s="13"/>
      <c r="AN170" s="13"/>
      <c r="AO170" s="13"/>
      <c r="AQ170" s="2217"/>
      <c r="AR170" s="2217"/>
    </row>
    <row r="171" spans="2:44" ht="18" customHeight="1" thickBot="1">
      <c r="B171" s="2223" t="s">
        <v>354</v>
      </c>
      <c r="C171" s="379"/>
      <c r="D171" s="379"/>
      <c r="E171" s="379"/>
      <c r="F171" s="379"/>
      <c r="G171" s="379" t="s">
        <v>164</v>
      </c>
      <c r="H171" s="379"/>
      <c r="I171" s="379"/>
      <c r="J171" s="379"/>
      <c r="K171" s="379"/>
      <c r="L171" s="379"/>
      <c r="M171" s="379"/>
      <c r="N171" s="379"/>
      <c r="O171" s="379" t="str">
        <f>G171</f>
        <v>Shipments: Actual Data</v>
      </c>
      <c r="P171" s="379"/>
      <c r="Q171" s="379"/>
      <c r="R171" s="379"/>
      <c r="S171" s="379"/>
      <c r="T171" s="1964"/>
      <c r="U171" s="2225" t="s">
        <v>369</v>
      </c>
      <c r="V171" s="2226"/>
      <c r="W171" s="379"/>
      <c r="X171" s="379"/>
      <c r="Y171" s="379"/>
      <c r="Z171" s="379"/>
      <c r="AA171" s="379" t="s">
        <v>297</v>
      </c>
      <c r="AB171" s="379"/>
      <c r="AC171" s="379"/>
      <c r="AD171" s="379"/>
      <c r="AE171" s="379"/>
      <c r="AF171" s="379"/>
      <c r="AG171" s="379"/>
      <c r="AH171" s="379"/>
      <c r="AI171" s="379" t="s">
        <v>297</v>
      </c>
      <c r="AJ171" s="379"/>
      <c r="AK171" s="379"/>
      <c r="AL171" s="379"/>
      <c r="AM171" s="379"/>
      <c r="AN171" s="1964"/>
      <c r="AO171" s="2225" t="s">
        <v>369</v>
      </c>
      <c r="AP171" s="2226"/>
      <c r="AQ171" s="958"/>
      <c r="AR171" s="958"/>
    </row>
    <row r="172" spans="2:44" ht="16.2" thickBot="1">
      <c r="B172" s="2224" t="s">
        <v>166</v>
      </c>
      <c r="C172" s="276" t="str">
        <f>C$68</f>
        <v>1Q 19</v>
      </c>
      <c r="D172" s="245" t="str">
        <f>D$68</f>
        <v>2Q 19</v>
      </c>
      <c r="E172" s="245" t="s">
        <v>110</v>
      </c>
      <c r="F172" s="277" t="s">
        <v>111</v>
      </c>
      <c r="G172" s="276" t="s">
        <v>112</v>
      </c>
      <c r="H172" s="245" t="s">
        <v>113</v>
      </c>
      <c r="I172" s="245" t="s">
        <v>114</v>
      </c>
      <c r="J172" s="277" t="s">
        <v>115</v>
      </c>
      <c r="K172" s="276" t="str">
        <f>K37</f>
        <v>1Q 21</v>
      </c>
      <c r="L172" s="245" t="str">
        <f>L37</f>
        <v>2Q21</v>
      </c>
      <c r="M172" s="245" t="s">
        <v>465</v>
      </c>
      <c r="N172" s="277" t="s">
        <v>466</v>
      </c>
      <c r="O172" s="276" t="s">
        <v>467</v>
      </c>
      <c r="P172" s="245" t="s">
        <v>468</v>
      </c>
      <c r="Q172" s="245" t="str">
        <f t="shared" ref="Q172:R172" si="53">Q37</f>
        <v>3Q 22</v>
      </c>
      <c r="R172" s="277" t="str">
        <f t="shared" si="53"/>
        <v>4Q 22</v>
      </c>
      <c r="S172" s="1392" t="s">
        <v>568</v>
      </c>
      <c r="T172" s="1965" t="s">
        <v>594</v>
      </c>
      <c r="U172" s="1975" t="s">
        <v>621</v>
      </c>
      <c r="V172" s="1974" t="s">
        <v>622</v>
      </c>
      <c r="W172" s="276" t="str">
        <f t="shared" ref="W172:X172" si="54">W$68</f>
        <v>1Q 19</v>
      </c>
      <c r="X172" s="245" t="str">
        <f t="shared" si="54"/>
        <v>2Q 19</v>
      </c>
      <c r="Y172" s="245" t="s">
        <v>110</v>
      </c>
      <c r="Z172" s="277" t="s">
        <v>111</v>
      </c>
      <c r="AA172" s="276" t="s">
        <v>112</v>
      </c>
      <c r="AB172" s="245" t="s">
        <v>113</v>
      </c>
      <c r="AC172" s="245" t="s">
        <v>114</v>
      </c>
      <c r="AD172" s="277" t="s">
        <v>115</v>
      </c>
      <c r="AE172" s="276" t="str">
        <f>K172</f>
        <v>1Q 21</v>
      </c>
      <c r="AF172" s="245" t="str">
        <f>L172</f>
        <v>2Q21</v>
      </c>
      <c r="AG172" s="245" t="str">
        <f>M172</f>
        <v>3Q 21</v>
      </c>
      <c r="AH172" s="277" t="str">
        <f>N172</f>
        <v>4Q 21</v>
      </c>
      <c r="AI172" s="276" t="str">
        <f>O37</f>
        <v>1Q 22</v>
      </c>
      <c r="AJ172" s="245" t="str">
        <f>P37</f>
        <v>2Q 22</v>
      </c>
      <c r="AK172" s="245" t="str">
        <f t="shared" ref="AK172:AL172" si="55">AK37</f>
        <v>3Q 22</v>
      </c>
      <c r="AL172" s="277" t="str">
        <f t="shared" si="55"/>
        <v>4Q 22</v>
      </c>
      <c r="AM172" s="1392" t="s">
        <v>568</v>
      </c>
      <c r="AN172" s="1965" t="s">
        <v>594</v>
      </c>
      <c r="AO172" s="1975" t="s">
        <v>621</v>
      </c>
      <c r="AP172" s="1974" t="s">
        <v>622</v>
      </c>
      <c r="AQ172" s="963"/>
      <c r="AR172" s="963"/>
    </row>
    <row r="173" spans="2:44">
      <c r="B173" s="1246" t="s">
        <v>542</v>
      </c>
      <c r="C173" s="1398">
        <f>SUM('CWDM and DWDM'!M15:M18)</f>
        <v>111760</v>
      </c>
      <c r="D173" s="1452">
        <f>SUM('CWDM and DWDM'!N15:N18)</f>
        <v>89860</v>
      </c>
      <c r="E173" s="1452">
        <f>SUM('CWDM and DWDM'!O15:O18)</f>
        <v>141541</v>
      </c>
      <c r="F173" s="1453">
        <f>SUM('CWDM and DWDM'!P15:P18)</f>
        <v>136324</v>
      </c>
      <c r="G173" s="1398">
        <f>SUM('CWDM and DWDM'!Q15:Q18)</f>
        <v>98160</v>
      </c>
      <c r="H173" s="1452">
        <f>SUM('CWDM and DWDM'!R15:R18)</f>
        <v>0</v>
      </c>
      <c r="I173" s="1452">
        <f>SUM('CWDM and DWDM'!S15:S18)</f>
        <v>0</v>
      </c>
      <c r="J173" s="1453">
        <f>SUM('CWDM and DWDM'!T15:T18)</f>
        <v>0</v>
      </c>
      <c r="K173" s="1398">
        <f>SUM('CWDM and DWDM'!U15:U18)</f>
        <v>0</v>
      </c>
      <c r="L173" s="1452">
        <f>SUM('CWDM and DWDM'!V15:V18)</f>
        <v>0</v>
      </c>
      <c r="M173" s="1452">
        <f>SUM('CWDM and DWDM'!W15:W18)</f>
        <v>0</v>
      </c>
      <c r="N173" s="1453">
        <f>SUM('CWDM and DWDM'!X15:X18)</f>
        <v>0</v>
      </c>
      <c r="O173" s="1398">
        <f>SUM('CWDM and DWDM'!Y15:Y18)</f>
        <v>0</v>
      </c>
      <c r="P173" s="1452">
        <f>SUM('CWDM and DWDM'!Z15:Z18)</f>
        <v>0</v>
      </c>
      <c r="Q173" s="1452">
        <f>SUM('CWDM and DWDM'!AA15:AA18)</f>
        <v>0</v>
      </c>
      <c r="R173" s="1453">
        <f>SUM('CWDM and DWDM'!AB15:AB18)</f>
        <v>0</v>
      </c>
      <c r="S173" s="1398">
        <f>SUM('CWDM and DWDM'!AC15:AC18)</f>
        <v>0</v>
      </c>
      <c r="T173" s="1969">
        <f>SUM('CWDM and DWDM'!AD15:AD18)</f>
        <v>0</v>
      </c>
      <c r="U173" s="1452">
        <f>SUM('CWDM and DWDM'!AE15:AE18)</f>
        <v>0</v>
      </c>
      <c r="V173" s="1898">
        <f>SUM('CWDM and DWDM'!AF15:AF18)</f>
        <v>0</v>
      </c>
      <c r="W173" s="1458">
        <f>SUM('CWDM and DWDM'!M59:M62)/10^6</f>
        <v>49.811805206309742</v>
      </c>
      <c r="X173" s="1459">
        <f>SUM('CWDM and DWDM'!N59:N62)/10^6</f>
        <v>38.101462318183628</v>
      </c>
      <c r="Y173" s="1459">
        <f>SUM('CWDM and DWDM'!O59:O62)/10^6</f>
        <v>52.088949930656867</v>
      </c>
      <c r="Z173" s="1460">
        <f>SUM('CWDM and DWDM'!P59:P62)/10^6</f>
        <v>53.358255551426574</v>
      </c>
      <c r="AA173" s="1458">
        <f>SUM('CWDM and DWDM'!Q59:Q62)/10^6</f>
        <v>33.716460714285709</v>
      </c>
      <c r="AB173" s="1459">
        <f>SUM('CWDM and DWDM'!R59:R62)/10^6</f>
        <v>0</v>
      </c>
      <c r="AC173" s="1459">
        <f>SUM('CWDM and DWDM'!S59:S62)/10^6</f>
        <v>0</v>
      </c>
      <c r="AD173" s="1460">
        <f>SUM('CWDM and DWDM'!T59:T62)/10^6</f>
        <v>0</v>
      </c>
      <c r="AE173" s="1458">
        <f>SUM('CWDM and DWDM'!U59:U62)/10^6</f>
        <v>0</v>
      </c>
      <c r="AF173" s="1459">
        <f>SUM('CWDM and DWDM'!V59:V62)/10^6</f>
        <v>0</v>
      </c>
      <c r="AG173" s="1459">
        <f>SUM('CWDM and DWDM'!W59:W62)/10^6</f>
        <v>0</v>
      </c>
      <c r="AH173" s="1460">
        <f>SUM('CWDM and DWDM'!X59:X62)/10^6</f>
        <v>0</v>
      </c>
      <c r="AI173" s="1458">
        <f>SUM('CWDM and DWDM'!Y59:Y62)/10^6</f>
        <v>0</v>
      </c>
      <c r="AJ173" s="1459">
        <f>SUM('CWDM and DWDM'!Z59:Z62)/10^6</f>
        <v>0</v>
      </c>
      <c r="AK173" s="1459">
        <f>SUM('CWDM and DWDM'!AA59:AA62)/10^6</f>
        <v>0</v>
      </c>
      <c r="AL173" s="1460">
        <f>SUM('CWDM and DWDM'!AB59:AB62)/10^6</f>
        <v>0</v>
      </c>
      <c r="AM173" s="1458">
        <f>SUM('CWDM and DWDM'!AC59:AC62)/10^6</f>
        <v>0</v>
      </c>
      <c r="AN173" s="2021">
        <f>SUM('CWDM and DWDM'!AD59:AD62)/10^6</f>
        <v>0</v>
      </c>
      <c r="AO173" s="1459">
        <f>SUM('CWDM and DWDM'!AE59:AE62)/10^6</f>
        <v>0</v>
      </c>
      <c r="AP173" s="1901">
        <f>SUM('CWDM and DWDM'!AF59:AF62)/10^6</f>
        <v>0</v>
      </c>
      <c r="AQ173" s="959"/>
      <c r="AR173" s="960"/>
    </row>
    <row r="174" spans="2:44">
      <c r="B174" s="1247" t="s">
        <v>540</v>
      </c>
      <c r="C174" s="1400">
        <f>SUM('CWDM and DWDM'!M21:M23)</f>
        <v>23585</v>
      </c>
      <c r="D174" s="1454">
        <f>SUM('CWDM and DWDM'!N21:N23)</f>
        <v>27684</v>
      </c>
      <c r="E174" s="1454">
        <f>SUM('CWDM and DWDM'!O21:O23)</f>
        <v>33085</v>
      </c>
      <c r="F174" s="299">
        <f>SUM('CWDM and DWDM'!P21:P23)</f>
        <v>41656</v>
      </c>
      <c r="G174" s="1400">
        <f>SUM('CWDM and DWDM'!Q21:Q23)</f>
        <v>37006</v>
      </c>
      <c r="H174" s="1454">
        <f>SUM('CWDM and DWDM'!R21:R23)</f>
        <v>0</v>
      </c>
      <c r="I174" s="1454">
        <f>SUM('CWDM and DWDM'!S21:S23)</f>
        <v>0</v>
      </c>
      <c r="J174" s="299">
        <f>SUM('CWDM and DWDM'!T21:T23)</f>
        <v>0</v>
      </c>
      <c r="K174" s="1400">
        <f>SUM('CWDM and DWDM'!U21:U23)</f>
        <v>0</v>
      </c>
      <c r="L174" s="1454">
        <f>SUM('CWDM and DWDM'!V21:V23)</f>
        <v>0</v>
      </c>
      <c r="M174" s="1454">
        <f>SUM('CWDM and DWDM'!W21:W23)</f>
        <v>0</v>
      </c>
      <c r="N174" s="299">
        <f>SUM('CWDM and DWDM'!X21:X23)</f>
        <v>0</v>
      </c>
      <c r="O174" s="1400">
        <f>SUM('CWDM and DWDM'!Y21:Y23)</f>
        <v>0</v>
      </c>
      <c r="P174" s="1454">
        <f>SUM('CWDM and DWDM'!Z21:Z23)</f>
        <v>0</v>
      </c>
      <c r="Q174" s="1454">
        <f>SUM('CWDM and DWDM'!AA21:AA23)</f>
        <v>0</v>
      </c>
      <c r="R174" s="299">
        <f>SUM('CWDM and DWDM'!AB21:AB23)</f>
        <v>0</v>
      </c>
      <c r="S174" s="1400">
        <f>SUM('CWDM and DWDM'!AC21:AC23)</f>
        <v>0</v>
      </c>
      <c r="T174" s="1970">
        <f>SUM('CWDM and DWDM'!AD21:AD23)</f>
        <v>0</v>
      </c>
      <c r="U174" s="1454">
        <f>SUM('CWDM and DWDM'!AE21:AE23)</f>
        <v>0</v>
      </c>
      <c r="V174" s="1899">
        <f>SUM('CWDM and DWDM'!AF21:AF23)</f>
        <v>0</v>
      </c>
      <c r="W174" s="1461">
        <f>SUM('CWDM and DWDM'!M66:M67)/10^6</f>
        <v>84.014779000000019</v>
      </c>
      <c r="X174" s="1462">
        <f>SUM('CWDM and DWDM'!N66:N67)/10^6</f>
        <v>87.841660000000019</v>
      </c>
      <c r="Y174" s="1462">
        <f>SUM('CWDM and DWDM'!O66:O67)/10^6</f>
        <v>93.798565454545468</v>
      </c>
      <c r="Z174" s="1463">
        <f>SUM('CWDM and DWDM'!P66:P67)/10^6</f>
        <v>116.84852026110431</v>
      </c>
      <c r="AA174" s="1461">
        <f>SUM('CWDM and DWDM'!Q66:Q67)/10^6</f>
        <v>102.17749999999999</v>
      </c>
      <c r="AB174" s="1462">
        <f>SUM('CWDM and DWDM'!R66:R67)/10^6</f>
        <v>0</v>
      </c>
      <c r="AC174" s="1462">
        <f>SUM('CWDM and DWDM'!S66:S67)/10^6</f>
        <v>0</v>
      </c>
      <c r="AD174" s="1463">
        <f>SUM('CWDM and DWDM'!T66:T67)/10^6</f>
        <v>0</v>
      </c>
      <c r="AE174" s="1461">
        <f>SUM('CWDM and DWDM'!U66:U67)/10^6</f>
        <v>0</v>
      </c>
      <c r="AF174" s="1462">
        <f>SUM('CWDM and DWDM'!V66:V67)/10^6</f>
        <v>0</v>
      </c>
      <c r="AG174" s="1462">
        <f>SUM('CWDM and DWDM'!W66:W67)/10^6</f>
        <v>0</v>
      </c>
      <c r="AH174" s="1463">
        <f>SUM('CWDM and DWDM'!X66:X67)/10^6</f>
        <v>0</v>
      </c>
      <c r="AI174" s="1461">
        <f>SUM('CWDM and DWDM'!Y66:Y67)/10^6</f>
        <v>0</v>
      </c>
      <c r="AJ174" s="1462">
        <f>SUM('CWDM and DWDM'!Z66:Z67)/10^6</f>
        <v>0</v>
      </c>
      <c r="AK174" s="1462">
        <f>SUM('CWDM and DWDM'!AA66:AA67)/10^6</f>
        <v>0</v>
      </c>
      <c r="AL174" s="1463">
        <f>SUM('CWDM and DWDM'!AB66:AB67)/10^6</f>
        <v>0</v>
      </c>
      <c r="AM174" s="1461">
        <f>SUM('CWDM and DWDM'!AC66:AC67)/10^6</f>
        <v>0</v>
      </c>
      <c r="AN174" s="2007">
        <f>SUM('CWDM and DWDM'!AD66:AD67)/10^6</f>
        <v>0</v>
      </c>
      <c r="AO174" s="1462">
        <f>SUM('CWDM and DWDM'!AE66:AE67)/10^6</f>
        <v>0</v>
      </c>
      <c r="AP174" s="1902">
        <f>SUM('CWDM and DWDM'!AF66:AF67)/10^6</f>
        <v>0</v>
      </c>
      <c r="AQ174" s="961"/>
      <c r="AR174" s="962"/>
    </row>
    <row r="175" spans="2:44" ht="13.5" customHeight="1">
      <c r="B175" s="1241" t="s">
        <v>541</v>
      </c>
      <c r="C175" s="1400">
        <f>'CWDM and DWDM'!M24</f>
        <v>0</v>
      </c>
      <c r="D175" s="1454">
        <f>'CWDM and DWDM'!N24</f>
        <v>0</v>
      </c>
      <c r="E175" s="1454">
        <f>'CWDM and DWDM'!O24</f>
        <v>0</v>
      </c>
      <c r="F175" s="299">
        <f>'CWDM and DWDM'!P24</f>
        <v>0</v>
      </c>
      <c r="G175" s="1400">
        <f>'CWDM and DWDM'!Q24</f>
        <v>0</v>
      </c>
      <c r="H175" s="1454">
        <f>'CWDM and DWDM'!R24</f>
        <v>0</v>
      </c>
      <c r="I175" s="1454">
        <f>'CWDM and DWDM'!S24</f>
        <v>0</v>
      </c>
      <c r="J175" s="299">
        <f>'CWDM and DWDM'!T24</f>
        <v>0</v>
      </c>
      <c r="K175" s="1400">
        <f>'CWDM and DWDM'!U24</f>
        <v>0</v>
      </c>
      <c r="L175" s="1454">
        <f>'CWDM and DWDM'!V24</f>
        <v>0</v>
      </c>
      <c r="M175" s="1454">
        <f>'CWDM and DWDM'!W24</f>
        <v>0</v>
      </c>
      <c r="N175" s="299">
        <f>'CWDM and DWDM'!X24</f>
        <v>0</v>
      </c>
      <c r="O175" s="1400">
        <f>'CWDM and DWDM'!Y24</f>
        <v>0</v>
      </c>
      <c r="P175" s="1454">
        <f>'CWDM and DWDM'!Z24</f>
        <v>0</v>
      </c>
      <c r="Q175" s="1454">
        <f>'CWDM and DWDM'!AA24</f>
        <v>0</v>
      </c>
      <c r="R175" s="299">
        <f>'CWDM and DWDM'!AB24</f>
        <v>0</v>
      </c>
      <c r="S175" s="1400">
        <f>'CWDM and DWDM'!AC24</f>
        <v>0</v>
      </c>
      <c r="T175" s="1970">
        <f>'CWDM and DWDM'!AD24</f>
        <v>0</v>
      </c>
      <c r="U175" s="1454">
        <f>'CWDM and DWDM'!AE24</f>
        <v>0</v>
      </c>
      <c r="V175" s="1899">
        <f>'CWDM and DWDM'!AF24</f>
        <v>0</v>
      </c>
      <c r="W175" s="1461">
        <f>'CWDM and DWDM'!M68/10^6</f>
        <v>0</v>
      </c>
      <c r="X175" s="1462">
        <f>'CWDM and DWDM'!N68/10^6</f>
        <v>0</v>
      </c>
      <c r="Y175" s="1462">
        <f>'CWDM and DWDM'!O68/10^6</f>
        <v>0</v>
      </c>
      <c r="Z175" s="1463">
        <f>'CWDM and DWDM'!P68/10^6</f>
        <v>0</v>
      </c>
      <c r="AA175" s="1461">
        <f>'CWDM and DWDM'!Q68/10^6</f>
        <v>0</v>
      </c>
      <c r="AB175" s="1462">
        <f>'CWDM and DWDM'!R68/10^6</f>
        <v>0</v>
      </c>
      <c r="AC175" s="1462">
        <f>'CWDM and DWDM'!S68/10^6</f>
        <v>0</v>
      </c>
      <c r="AD175" s="1463">
        <f>'CWDM and DWDM'!T68/10^6</f>
        <v>0</v>
      </c>
      <c r="AE175" s="1461">
        <f>'CWDM and DWDM'!U68/10^6</f>
        <v>0</v>
      </c>
      <c r="AF175" s="1462">
        <f>'CWDM and DWDM'!V68/10^6</f>
        <v>0</v>
      </c>
      <c r="AG175" s="1462">
        <f>'CWDM and DWDM'!W68/10^6</f>
        <v>0</v>
      </c>
      <c r="AH175" s="1463">
        <f>'CWDM and DWDM'!X68/10^6</f>
        <v>0</v>
      </c>
      <c r="AI175" s="1461">
        <f>'CWDM and DWDM'!Y68/10^6</f>
        <v>0</v>
      </c>
      <c r="AJ175" s="1462">
        <f>'CWDM and DWDM'!Z68/10^6</f>
        <v>0</v>
      </c>
      <c r="AK175" s="1462">
        <f>'CWDM and DWDM'!AA68/10^6</f>
        <v>0</v>
      </c>
      <c r="AL175" s="1463">
        <f>'CWDM and DWDM'!AB68/10^6</f>
        <v>0</v>
      </c>
      <c r="AM175" s="1461">
        <f>'CWDM and DWDM'!AC68/10^6</f>
        <v>0</v>
      </c>
      <c r="AN175" s="2007">
        <f>'CWDM and DWDM'!AD68/10^6</f>
        <v>0</v>
      </c>
      <c r="AO175" s="1462">
        <f>'CWDM and DWDM'!AE68/10^6</f>
        <v>0</v>
      </c>
      <c r="AP175" s="1902">
        <f>'CWDM and DWDM'!AF68/10^6</f>
        <v>0</v>
      </c>
    </row>
    <row r="176" spans="2:44" ht="13.5" customHeight="1">
      <c r="B176" s="1242" t="s">
        <v>539</v>
      </c>
      <c r="C176" s="2090">
        <f>'CWDM and DWDM'!M20</f>
        <v>4550</v>
      </c>
      <c r="D176" s="1455">
        <f>'CWDM and DWDM'!N20</f>
        <v>3950</v>
      </c>
      <c r="E176" s="1455">
        <f>'CWDM and DWDM'!O20</f>
        <v>4700</v>
      </c>
      <c r="F176" s="2091">
        <f>'CWDM and DWDM'!P20</f>
        <v>4500</v>
      </c>
      <c r="G176" s="1367">
        <f>'CWDM and DWDM'!Q20</f>
        <v>3750</v>
      </c>
      <c r="H176" s="1455">
        <f>'CWDM and DWDM'!R20</f>
        <v>0</v>
      </c>
      <c r="I176" s="1455">
        <f>'CWDM and DWDM'!S20</f>
        <v>0</v>
      </c>
      <c r="J176" s="2091">
        <f>'CWDM and DWDM'!T20</f>
        <v>0</v>
      </c>
      <c r="K176" s="1367">
        <f>'CWDM and DWDM'!U20</f>
        <v>0</v>
      </c>
      <c r="L176" s="1455">
        <f>'CWDM and DWDM'!V20</f>
        <v>0</v>
      </c>
      <c r="M176" s="1455">
        <f>'CWDM and DWDM'!W20</f>
        <v>0</v>
      </c>
      <c r="N176" s="2091">
        <f>'CWDM and DWDM'!X20</f>
        <v>0</v>
      </c>
      <c r="O176" s="1367">
        <f>'CWDM and DWDM'!Y20</f>
        <v>0</v>
      </c>
      <c r="P176" s="1455">
        <f>'CWDM and DWDM'!Z20</f>
        <v>0</v>
      </c>
      <c r="Q176" s="1455">
        <f>'CWDM and DWDM'!AA20</f>
        <v>0</v>
      </c>
      <c r="R176" s="2091">
        <f>'CWDM and DWDM'!AB20</f>
        <v>0</v>
      </c>
      <c r="S176" s="1367">
        <f>'CWDM and DWDM'!AC20</f>
        <v>0</v>
      </c>
      <c r="T176" s="1455">
        <f>'CWDM and DWDM'!AD20</f>
        <v>0</v>
      </c>
      <c r="U176" s="1455">
        <f>'CWDM and DWDM'!AE20</f>
        <v>0</v>
      </c>
      <c r="V176" s="2091">
        <f>'CWDM and DWDM'!AF20</f>
        <v>0</v>
      </c>
      <c r="W176" s="2092">
        <f>'CWDM and DWDM'!M64/10^6</f>
        <v>35.840000000000003</v>
      </c>
      <c r="X176" s="1464">
        <f>'CWDM and DWDM'!N64/10^6</f>
        <v>31.94</v>
      </c>
      <c r="Y176" s="1464">
        <f>'CWDM and DWDM'!O64/10^6</f>
        <v>37.380000000000003</v>
      </c>
      <c r="Z176" s="2093">
        <f>'CWDM and DWDM'!P64/10^6</f>
        <v>35.72</v>
      </c>
      <c r="AA176" s="2092">
        <f>'CWDM and DWDM'!Q64/10^6</f>
        <v>29.23</v>
      </c>
      <c r="AB176" s="1464">
        <f>'CWDM and DWDM'!R64/10^6</f>
        <v>0</v>
      </c>
      <c r="AC176" s="1464">
        <f>'CWDM and DWDM'!S64/10^6</f>
        <v>0</v>
      </c>
      <c r="AD176" s="2093">
        <f>'CWDM and DWDM'!T64/10^6</f>
        <v>0</v>
      </c>
      <c r="AE176" s="2092">
        <f>'CWDM and DWDM'!U64/10^6</f>
        <v>0</v>
      </c>
      <c r="AF176" s="1464">
        <f>'CWDM and DWDM'!V64/10^6</f>
        <v>0</v>
      </c>
      <c r="AG176" s="1464">
        <f>'CWDM and DWDM'!W64/10^6</f>
        <v>0</v>
      </c>
      <c r="AH176" s="2093">
        <f>'CWDM and DWDM'!X64/10^6</f>
        <v>0</v>
      </c>
      <c r="AI176" s="2092">
        <f>'CWDM and DWDM'!Y64/10^6</f>
        <v>0</v>
      </c>
      <c r="AJ176" s="1464">
        <f>'CWDM and DWDM'!Z64/10^6</f>
        <v>0</v>
      </c>
      <c r="AK176" s="1464">
        <f>'CWDM and DWDM'!AA64/10^6</f>
        <v>0</v>
      </c>
      <c r="AL176" s="2093">
        <f>'CWDM and DWDM'!AB64/10^6</f>
        <v>0</v>
      </c>
      <c r="AM176" s="2092">
        <f>'CWDM and DWDM'!AC64/10^6</f>
        <v>0</v>
      </c>
      <c r="AN176" s="1464">
        <f>'CWDM and DWDM'!AD64/10^6</f>
        <v>0</v>
      </c>
      <c r="AO176" s="1464">
        <f>'CWDM and DWDM'!AE64/10^6</f>
        <v>0</v>
      </c>
      <c r="AP176" s="1465">
        <f>'CWDM and DWDM'!AF64/10^6</f>
        <v>0</v>
      </c>
    </row>
    <row r="177" spans="2:42" ht="13.2">
      <c r="B177" s="1248" t="s">
        <v>121</v>
      </c>
      <c r="C177" s="1456">
        <f t="shared" ref="C177:R177" si="56">SUM(C173:C176)</f>
        <v>139895</v>
      </c>
      <c r="D177" s="307">
        <f t="shared" si="56"/>
        <v>121494</v>
      </c>
      <c r="E177" s="1457">
        <f t="shared" si="56"/>
        <v>179326</v>
      </c>
      <c r="F177" s="770">
        <f t="shared" si="56"/>
        <v>182480</v>
      </c>
      <c r="G177" s="1456">
        <f t="shared" si="56"/>
        <v>138916</v>
      </c>
      <c r="H177" s="307">
        <f t="shared" si="56"/>
        <v>0</v>
      </c>
      <c r="I177" s="1457">
        <f t="shared" si="56"/>
        <v>0</v>
      </c>
      <c r="J177" s="770">
        <f t="shared" si="56"/>
        <v>0</v>
      </c>
      <c r="K177" s="1456">
        <f t="shared" si="56"/>
        <v>0</v>
      </c>
      <c r="L177" s="307">
        <f t="shared" si="56"/>
        <v>0</v>
      </c>
      <c r="M177" s="1457">
        <f t="shared" si="56"/>
        <v>0</v>
      </c>
      <c r="N177" s="770">
        <f t="shared" si="56"/>
        <v>0</v>
      </c>
      <c r="O177" s="1456">
        <f t="shared" si="56"/>
        <v>0</v>
      </c>
      <c r="P177" s="307">
        <f t="shared" si="56"/>
        <v>0</v>
      </c>
      <c r="Q177" s="1457">
        <f t="shared" si="56"/>
        <v>0</v>
      </c>
      <c r="R177" s="770">
        <f t="shared" si="56"/>
        <v>0</v>
      </c>
      <c r="S177" s="1457">
        <f t="shared" ref="S177:T177" si="57">SUM(S173:S176)</f>
        <v>0</v>
      </c>
      <c r="T177" s="1971">
        <f t="shared" si="57"/>
        <v>0</v>
      </c>
      <c r="U177" s="1457">
        <f t="shared" ref="U177:V177" si="58">SUM(U173:U176)</f>
        <v>0</v>
      </c>
      <c r="V177" s="1990">
        <f t="shared" si="58"/>
        <v>0</v>
      </c>
      <c r="W177" s="1466">
        <f t="shared" ref="W177:AL177" si="59">SUM(W173:W176)</f>
        <v>169.66658420630975</v>
      </c>
      <c r="X177" s="1467">
        <f t="shared" si="59"/>
        <v>157.88312231818364</v>
      </c>
      <c r="Y177" s="1468">
        <f t="shared" si="59"/>
        <v>183.26751538520233</v>
      </c>
      <c r="Z177" s="1469">
        <f t="shared" si="59"/>
        <v>205.92677581253088</v>
      </c>
      <c r="AA177" s="1466">
        <f t="shared" si="59"/>
        <v>165.12396071428569</v>
      </c>
      <c r="AB177" s="1467">
        <f t="shared" si="59"/>
        <v>0</v>
      </c>
      <c r="AC177" s="1468">
        <f t="shared" si="59"/>
        <v>0</v>
      </c>
      <c r="AD177" s="1469">
        <f t="shared" si="59"/>
        <v>0</v>
      </c>
      <c r="AE177" s="1466">
        <f t="shared" si="59"/>
        <v>0</v>
      </c>
      <c r="AF177" s="1467">
        <f t="shared" si="59"/>
        <v>0</v>
      </c>
      <c r="AG177" s="1468">
        <f t="shared" si="59"/>
        <v>0</v>
      </c>
      <c r="AH177" s="1469">
        <f t="shared" si="59"/>
        <v>0</v>
      </c>
      <c r="AI177" s="1466">
        <f t="shared" si="59"/>
        <v>0</v>
      </c>
      <c r="AJ177" s="1467">
        <f t="shared" si="59"/>
        <v>0</v>
      </c>
      <c r="AK177" s="1468">
        <f t="shared" si="59"/>
        <v>0</v>
      </c>
      <c r="AL177" s="1469">
        <f t="shared" si="59"/>
        <v>0</v>
      </c>
      <c r="AM177" s="1468">
        <f t="shared" ref="AM177:AN177" si="60">SUM(AM173:AM176)</f>
        <v>0</v>
      </c>
      <c r="AN177" s="2022">
        <f t="shared" si="60"/>
        <v>0</v>
      </c>
      <c r="AO177" s="1468">
        <f t="shared" ref="AO177:AP177" si="61">SUM(AO173:AO176)</f>
        <v>0</v>
      </c>
      <c r="AP177" s="2023">
        <f t="shared" si="61"/>
        <v>0</v>
      </c>
    </row>
    <row r="178" spans="2:42">
      <c r="C178" s="1102"/>
      <c r="D178" s="1102"/>
      <c r="E178" s="1102"/>
      <c r="F178" s="1102"/>
      <c r="G178" s="1102"/>
      <c r="H178" s="1102"/>
      <c r="I178" s="1102"/>
      <c r="J178" s="1102"/>
      <c r="K178" s="1102"/>
      <c r="L178" s="1102"/>
      <c r="M178" s="1102"/>
      <c r="N178" s="1102"/>
      <c r="O178" s="1102"/>
      <c r="P178" s="1102"/>
      <c r="Q178" s="1102"/>
      <c r="R178" s="1102"/>
      <c r="S178" s="1102"/>
      <c r="T178" s="1102"/>
      <c r="U178" s="1102"/>
      <c r="V178" s="1102"/>
      <c r="W178" s="1102"/>
      <c r="X178" s="1102"/>
      <c r="Y178" s="1102"/>
      <c r="Z178" s="1102"/>
      <c r="AA178" s="1102"/>
      <c r="AB178" s="1102"/>
      <c r="AC178" s="1102"/>
      <c r="AD178" s="1102"/>
      <c r="AE178" s="1102"/>
      <c r="AF178" s="1102"/>
      <c r="AG178" s="1102"/>
      <c r="AH178" s="1102"/>
      <c r="AI178" s="1102"/>
      <c r="AJ178" s="1102"/>
      <c r="AK178" s="1102"/>
      <c r="AL178" s="1102"/>
      <c r="AM178" s="1102"/>
      <c r="AN178" s="1102"/>
    </row>
    <row r="179" spans="2:42">
      <c r="C179" s="63"/>
      <c r="D179" s="63"/>
      <c r="E179" s="63"/>
      <c r="F179" s="63"/>
      <c r="G179" s="63"/>
      <c r="H179" s="63"/>
      <c r="I179" s="63"/>
      <c r="J179" s="63"/>
      <c r="K179" s="63"/>
      <c r="L179" s="63"/>
      <c r="M179" s="63"/>
      <c r="N179" s="63"/>
      <c r="O179" s="1102"/>
      <c r="P179" s="63"/>
      <c r="Q179" s="63"/>
      <c r="R179" s="63"/>
      <c r="S179" s="1102"/>
      <c r="T179" s="1102"/>
      <c r="U179" s="1102"/>
      <c r="V179" s="1102"/>
      <c r="W179" s="1102"/>
      <c r="X179" s="1102"/>
      <c r="Y179" s="1102"/>
      <c r="Z179" s="1102"/>
      <c r="AA179" s="1102"/>
      <c r="AB179" s="1102"/>
      <c r="AC179" s="1102"/>
      <c r="AD179" s="1102"/>
      <c r="AE179" s="1102"/>
      <c r="AF179" s="1102"/>
      <c r="AG179" s="1102"/>
      <c r="AH179" s="1102"/>
      <c r="AI179" s="1102"/>
      <c r="AJ179" s="1102"/>
      <c r="AK179" s="1102"/>
      <c r="AL179" s="1102"/>
      <c r="AM179" s="1102"/>
      <c r="AN179" s="1102"/>
    </row>
    <row r="180" spans="2:42" ht="17.399999999999999">
      <c r="B180" s="1237" t="s">
        <v>20</v>
      </c>
    </row>
    <row r="204" spans="1:46" ht="16.2" thickBot="1">
      <c r="B204" s="479" t="s">
        <v>168</v>
      </c>
      <c r="G204" s="1" t="s">
        <v>168</v>
      </c>
      <c r="I204" s="30"/>
      <c r="J204" s="13"/>
      <c r="L204" s="13"/>
      <c r="M204" s="30"/>
      <c r="N204" s="13"/>
      <c r="O204" s="479" t="str">
        <f>G204</f>
        <v>FTTx Transceivers</v>
      </c>
      <c r="P204" s="13"/>
      <c r="Q204" s="30"/>
      <c r="R204" s="13"/>
      <c r="S204" s="13"/>
      <c r="T204" s="13"/>
      <c r="U204" s="13"/>
      <c r="V204" s="13"/>
      <c r="W204" s="479" t="str">
        <f>B204</f>
        <v>FTTx Transceivers</v>
      </c>
      <c r="AE204" s="479" t="s">
        <v>168</v>
      </c>
      <c r="AF204" s="13"/>
      <c r="AG204" s="30"/>
      <c r="AH204" s="13"/>
      <c r="AI204" s="479"/>
      <c r="AJ204" s="13"/>
      <c r="AK204" s="30"/>
      <c r="AL204" s="13"/>
      <c r="AM204" s="13"/>
      <c r="AN204" s="13"/>
      <c r="AO204" s="13"/>
      <c r="AR204" s="2217"/>
      <c r="AS204" s="2217"/>
      <c r="AT204" s="2217"/>
    </row>
    <row r="205" spans="1:46" ht="16.2" thickBot="1">
      <c r="A205" s="23"/>
      <c r="B205" s="2223" t="s">
        <v>353</v>
      </c>
      <c r="C205" s="379"/>
      <c r="D205" s="379"/>
      <c r="E205" s="379"/>
      <c r="F205" s="379"/>
      <c r="G205" s="379" t="s">
        <v>164</v>
      </c>
      <c r="H205" s="379"/>
      <c r="I205" s="379"/>
      <c r="J205" s="379"/>
      <c r="K205" s="379"/>
      <c r="L205" s="379"/>
      <c r="M205" s="379"/>
      <c r="N205" s="379"/>
      <c r="O205" s="379" t="str">
        <f>G205</f>
        <v>Shipments: Actual Data</v>
      </c>
      <c r="P205" s="379"/>
      <c r="Q205" s="379"/>
      <c r="R205" s="379"/>
      <c r="S205" s="379"/>
      <c r="T205" s="1964"/>
      <c r="U205" s="2225" t="s">
        <v>369</v>
      </c>
      <c r="V205" s="2226"/>
      <c r="W205" s="379"/>
      <c r="X205" s="379"/>
      <c r="Y205" s="379"/>
      <c r="Z205" s="379"/>
      <c r="AA205" s="379" t="s">
        <v>297</v>
      </c>
      <c r="AB205" s="379"/>
      <c r="AC205" s="379"/>
      <c r="AD205" s="379"/>
      <c r="AE205" s="379"/>
      <c r="AF205" s="379"/>
      <c r="AG205" s="379"/>
      <c r="AH205" s="379"/>
      <c r="AI205" s="379" t="s">
        <v>297</v>
      </c>
      <c r="AJ205" s="379"/>
      <c r="AK205" s="379"/>
      <c r="AL205" s="379"/>
      <c r="AM205" s="379"/>
      <c r="AN205" s="1964"/>
      <c r="AO205" s="2225" t="s">
        <v>369</v>
      </c>
      <c r="AP205" s="2226"/>
      <c r="AR205" s="958"/>
      <c r="AS205" s="958"/>
    </row>
    <row r="206" spans="1:46" ht="16.2" thickBot="1">
      <c r="B206" s="2224"/>
      <c r="C206" s="276" t="str">
        <f>C$68</f>
        <v>1Q 19</v>
      </c>
      <c r="D206" s="245" t="str">
        <f>D$68</f>
        <v>2Q 19</v>
      </c>
      <c r="E206" s="245" t="s">
        <v>110</v>
      </c>
      <c r="F206" s="277" t="s">
        <v>111</v>
      </c>
      <c r="G206" s="276" t="s">
        <v>112</v>
      </c>
      <c r="H206" s="245" t="s">
        <v>113</v>
      </c>
      <c r="I206" s="245" t="s">
        <v>114</v>
      </c>
      <c r="J206" s="277" t="s">
        <v>115</v>
      </c>
      <c r="K206" s="276" t="str">
        <f>K37</f>
        <v>1Q 21</v>
      </c>
      <c r="L206" s="245" t="str">
        <f>L37</f>
        <v>2Q21</v>
      </c>
      <c r="M206" s="245" t="s">
        <v>465</v>
      </c>
      <c r="N206" s="277" t="s">
        <v>466</v>
      </c>
      <c r="O206" s="1392" t="s">
        <v>467</v>
      </c>
      <c r="P206" s="245" t="s">
        <v>468</v>
      </c>
      <c r="Q206" s="245" t="str">
        <f t="shared" ref="Q206:R206" si="62">Q37</f>
        <v>3Q 22</v>
      </c>
      <c r="R206" s="277" t="str">
        <f t="shared" si="62"/>
        <v>4Q 22</v>
      </c>
      <c r="S206" s="1392" t="s">
        <v>568</v>
      </c>
      <c r="T206" s="1965" t="s">
        <v>594</v>
      </c>
      <c r="U206" s="1975" t="s">
        <v>621</v>
      </c>
      <c r="V206" s="1974" t="s">
        <v>622</v>
      </c>
      <c r="W206" s="276" t="str">
        <f t="shared" ref="W206:X206" si="63">W$68</f>
        <v>1Q 19</v>
      </c>
      <c r="X206" s="245" t="str">
        <f t="shared" si="63"/>
        <v>2Q 19</v>
      </c>
      <c r="Y206" s="245" t="s">
        <v>110</v>
      </c>
      <c r="Z206" s="277" t="s">
        <v>111</v>
      </c>
      <c r="AA206" s="276" t="s">
        <v>112</v>
      </c>
      <c r="AB206" s="245" t="s">
        <v>113</v>
      </c>
      <c r="AC206" s="245" t="s">
        <v>114</v>
      </c>
      <c r="AD206" s="277" t="s">
        <v>115</v>
      </c>
      <c r="AE206" s="276" t="str">
        <f>K206</f>
        <v>1Q 21</v>
      </c>
      <c r="AF206" s="245" t="str">
        <f>L206</f>
        <v>2Q21</v>
      </c>
      <c r="AG206" s="245" t="str">
        <f>M206</f>
        <v>3Q 21</v>
      </c>
      <c r="AH206" s="277" t="str">
        <f>N206</f>
        <v>4Q 21</v>
      </c>
      <c r="AI206" s="276" t="str">
        <f>O37</f>
        <v>1Q 22</v>
      </c>
      <c r="AJ206" s="245" t="str">
        <f>P37</f>
        <v>2Q 22</v>
      </c>
      <c r="AK206" s="245" t="str">
        <f t="shared" ref="AK206:AL206" si="64">AK37</f>
        <v>3Q 22</v>
      </c>
      <c r="AL206" s="277" t="str">
        <f t="shared" si="64"/>
        <v>4Q 22</v>
      </c>
      <c r="AM206" s="1392" t="s">
        <v>568</v>
      </c>
      <c r="AN206" s="1965" t="s">
        <v>594</v>
      </c>
      <c r="AO206" s="1975" t="s">
        <v>621</v>
      </c>
      <c r="AP206" s="1974" t="s">
        <v>622</v>
      </c>
      <c r="AR206" s="963"/>
      <c r="AS206" s="963"/>
    </row>
    <row r="207" spans="1:46">
      <c r="A207" s="23"/>
      <c r="B207" s="1247" t="s">
        <v>169</v>
      </c>
      <c r="C207" s="85">
        <f>FTTX!M10+FTTX!M12</f>
        <v>2342846.25</v>
      </c>
      <c r="D207" s="85">
        <f>FTTX!N10+FTTX!N12</f>
        <v>2292703.5</v>
      </c>
      <c r="E207" s="429">
        <f>FTTX!O10+FTTX!O12</f>
        <v>1974647</v>
      </c>
      <c r="F207" s="432">
        <f>FTTX!P10+FTTX!P12</f>
        <v>1765595</v>
      </c>
      <c r="G207" s="85">
        <f>FTTX!Q10+FTTX!Q12</f>
        <v>1019480</v>
      </c>
      <c r="H207" s="85">
        <f>FTTX!R10+FTTX!R12</f>
        <v>0</v>
      </c>
      <c r="I207" s="429">
        <f>FTTX!S10+FTTX!S12</f>
        <v>0</v>
      </c>
      <c r="J207" s="432">
        <f>FTTX!T10+FTTX!T12</f>
        <v>0</v>
      </c>
      <c r="K207" s="298">
        <f>FTTX!U10+FTTX!U12</f>
        <v>0</v>
      </c>
      <c r="L207" s="305">
        <f>FTTX!V10+FTTX!V12</f>
        <v>0</v>
      </c>
      <c r="M207" s="429">
        <f>FTTX!W10+FTTX!W12</f>
        <v>0</v>
      </c>
      <c r="N207" s="431">
        <f>FTTX!X10+FTTX!X12</f>
        <v>0</v>
      </c>
      <c r="O207" s="298">
        <f>FTTX!Y10+FTTX!Y12</f>
        <v>0</v>
      </c>
      <c r="P207" s="305">
        <f>FTTX!Z10+FTTX!Z12</f>
        <v>0</v>
      </c>
      <c r="Q207" s="429">
        <f>FTTX!AA10+FTTX!AA12</f>
        <v>0</v>
      </c>
      <c r="R207" s="431">
        <f>FTTX!AB10+FTTX!AB12</f>
        <v>0</v>
      </c>
      <c r="S207" s="1398">
        <f>FTTX!AC10+FTTX!AC12</f>
        <v>0</v>
      </c>
      <c r="T207" s="1396">
        <f>FTTX!AD10+FTTX!AD12</f>
        <v>0</v>
      </c>
      <c r="U207" s="429">
        <f>FTTX!AE10+FTTX!AE12</f>
        <v>0</v>
      </c>
      <c r="V207" s="1396">
        <f>FTTX!AF10+FTTX!AF12</f>
        <v>0</v>
      </c>
      <c r="W207" s="381">
        <f>(FTTX!M50+FTTX!M52)/10^6</f>
        <v>29.441992792836004</v>
      </c>
      <c r="X207" s="382">
        <f>(FTTX!N50+FTTX!N52)/10^6</f>
        <v>26.07369884789901</v>
      </c>
      <c r="Y207" s="383">
        <f>(FTTX!O50+FTTX!O52)/10^6</f>
        <v>21.624324966920025</v>
      </c>
      <c r="Z207" s="384">
        <f>(FTTX!P50+FTTX!P52)/10^6</f>
        <v>18.195235486214408</v>
      </c>
      <c r="AA207" s="381">
        <f>(FTTX!Q50+FTTX!Q52)/10^6</f>
        <v>11.092025</v>
      </c>
      <c r="AB207" s="382">
        <f>(FTTX!R50+FTTX!R52)/10^6</f>
        <v>0</v>
      </c>
      <c r="AC207" s="383">
        <f>(FTTX!S50+FTTX!S52)/10^6</f>
        <v>0</v>
      </c>
      <c r="AD207" s="384">
        <f>(FTTX!T50+FTTX!T52)/10^6</f>
        <v>0</v>
      </c>
      <c r="AE207" s="381">
        <f>(FTTX!U50+FTTX!U52)/10^6</f>
        <v>0</v>
      </c>
      <c r="AF207" s="382">
        <f>(FTTX!V50+FTTX!V52)/10^6</f>
        <v>0</v>
      </c>
      <c r="AG207" s="383">
        <f>(FTTX!W50+FTTX!W52)/10^6</f>
        <v>0</v>
      </c>
      <c r="AH207" s="384">
        <f>(FTTX!X50+FTTX!X52)/10^6</f>
        <v>0</v>
      </c>
      <c r="AI207" s="381">
        <f>(FTTX!Y50+FTTX!Y52)/10^6</f>
        <v>0</v>
      </c>
      <c r="AJ207" s="382">
        <f>(FTTX!Z50+FTTX!Z52)/10^6</f>
        <v>0</v>
      </c>
      <c r="AK207" s="383">
        <f>(FTTX!AA50+FTTX!AA52)/10^6</f>
        <v>0</v>
      </c>
      <c r="AL207" s="384">
        <f>(FTTX!AB50+FTTX!AB52)/10^6</f>
        <v>0</v>
      </c>
      <c r="AM207" s="1833">
        <f>(FTTX!AC50+FTTX!AC52)/10^6</f>
        <v>0</v>
      </c>
      <c r="AN207" s="2024">
        <f>(FTTX!AD50+FTTX!AD52)/10^6</f>
        <v>0</v>
      </c>
      <c r="AO207" s="382">
        <f>(FTTX!AE50+FTTX!AE52)/10^6</f>
        <v>0</v>
      </c>
      <c r="AP207" s="2028">
        <f>(FTTX!AF50+FTTX!AF52)/10^6</f>
        <v>0</v>
      </c>
      <c r="AR207" s="959"/>
      <c r="AS207" s="960"/>
    </row>
    <row r="208" spans="1:46">
      <c r="A208" s="23"/>
      <c r="B208" s="1247" t="s">
        <v>170</v>
      </c>
      <c r="C208" s="85">
        <f>FTTX!M11+FTTX!M13</f>
        <v>214271.75</v>
      </c>
      <c r="D208" s="85">
        <f>FTTX!N11+FTTX!N13</f>
        <v>167460.5</v>
      </c>
      <c r="E208" s="302">
        <f>FTTX!O11+FTTX!O13</f>
        <v>145000</v>
      </c>
      <c r="F208" s="318">
        <f>FTTX!P11+FTTX!P13</f>
        <v>132000</v>
      </c>
      <c r="G208" s="85">
        <f>FTTX!Q11+FTTX!Q13</f>
        <v>55000</v>
      </c>
      <c r="H208" s="85">
        <f>FTTX!R11+FTTX!R13</f>
        <v>0</v>
      </c>
      <c r="I208" s="302">
        <f>FTTX!S11+FTTX!S13</f>
        <v>0</v>
      </c>
      <c r="J208" s="318">
        <f>FTTX!T11+FTTX!T13</f>
        <v>0</v>
      </c>
      <c r="K208" s="302">
        <f>FTTX!U11+FTTX!U13</f>
        <v>0</v>
      </c>
      <c r="L208" s="302">
        <f>FTTX!V11+FTTX!V13</f>
        <v>0</v>
      </c>
      <c r="M208" s="302">
        <f>FTTX!W11+FTTX!W13</f>
        <v>0</v>
      </c>
      <c r="N208" s="317">
        <f>FTTX!X11+FTTX!X13</f>
        <v>0</v>
      </c>
      <c r="O208" s="302">
        <f>FTTX!Y11+FTTX!Y13</f>
        <v>0</v>
      </c>
      <c r="P208" s="302">
        <f>FTTX!Z11+FTTX!Z13</f>
        <v>0</v>
      </c>
      <c r="Q208" s="302">
        <f>FTTX!AA11+FTTX!AA13</f>
        <v>0</v>
      </c>
      <c r="R208" s="317">
        <f>FTTX!AB11+FTTX!AB13</f>
        <v>0</v>
      </c>
      <c r="S208" s="1399">
        <f>FTTX!AC11+FTTX!AC13</f>
        <v>0</v>
      </c>
      <c r="T208" s="1397">
        <f>FTTX!AD11+FTTX!AD13</f>
        <v>0</v>
      </c>
      <c r="U208" s="302">
        <f>FTTX!AE11+FTTX!AE13</f>
        <v>0</v>
      </c>
      <c r="V208" s="1385">
        <f>FTTX!AF11+FTTX!AF13</f>
        <v>0</v>
      </c>
      <c r="W208" s="385">
        <f>(FTTX!M51+FTTX!M53)/10^6</f>
        <v>2.1852800000000001</v>
      </c>
      <c r="X208" s="386">
        <f>(FTTX!N51+FTTX!N53)/10^6</f>
        <v>1.5203055000000001</v>
      </c>
      <c r="Y208" s="387">
        <f>(FTTX!O51+FTTX!O53)/10^6</f>
        <v>1.2050000000000001</v>
      </c>
      <c r="Z208" s="388">
        <f>(FTTX!P51+FTTX!P53)/10^6</f>
        <v>1.006</v>
      </c>
      <c r="AA208" s="385">
        <f>(FTTX!Q51+FTTX!Q53)/10^6</f>
        <v>0.38500000000000001</v>
      </c>
      <c r="AB208" s="386">
        <f>(FTTX!R51+FTTX!R53)/10^6</f>
        <v>0</v>
      </c>
      <c r="AC208" s="387">
        <f>(FTTX!S51+FTTX!S53)/10^6</f>
        <v>0</v>
      </c>
      <c r="AD208" s="388">
        <f>(FTTX!T51+FTTX!T53)/10^6</f>
        <v>0</v>
      </c>
      <c r="AE208" s="385">
        <f>(FTTX!U51+FTTX!U53)/10^6</f>
        <v>0</v>
      </c>
      <c r="AF208" s="386">
        <f>(FTTX!V51+FTTX!V53)/10^6</f>
        <v>0</v>
      </c>
      <c r="AG208" s="387">
        <f>(FTTX!W51+FTTX!W53)/10^6</f>
        <v>0</v>
      </c>
      <c r="AH208" s="388">
        <f>(FTTX!X51+FTTX!X53)/10^6</f>
        <v>0</v>
      </c>
      <c r="AI208" s="385">
        <f>(FTTX!Y51+FTTX!Y53)/10^6</f>
        <v>0</v>
      </c>
      <c r="AJ208" s="386">
        <f>(FTTX!Z51+FTTX!Z53)/10^6</f>
        <v>0</v>
      </c>
      <c r="AK208" s="387">
        <f>(FTTX!AA51+FTTX!AA53)/10^6</f>
        <v>0</v>
      </c>
      <c r="AL208" s="388">
        <f>(FTTX!AB51+FTTX!AB53)/10^6</f>
        <v>0</v>
      </c>
      <c r="AM208" s="1834">
        <f>(FTTX!AC51+FTTX!AC53)/10^6</f>
        <v>0</v>
      </c>
      <c r="AN208" s="2025">
        <f>(FTTX!AD51+FTTX!AD53)/10^6</f>
        <v>0</v>
      </c>
      <c r="AO208" s="386">
        <f>(FTTX!AE51+FTTX!AE53)/10^6</f>
        <v>0</v>
      </c>
      <c r="AP208" s="2029">
        <f>(FTTX!AF51+FTTX!AF53)/10^6</f>
        <v>0</v>
      </c>
      <c r="AR208" s="961"/>
      <c r="AS208" s="962"/>
    </row>
    <row r="209" spans="1:42" ht="13.2">
      <c r="A209" s="23"/>
      <c r="B209" s="1247" t="s">
        <v>392</v>
      </c>
      <c r="C209" s="85">
        <f>FTTX!M9</f>
        <v>8280000</v>
      </c>
      <c r="D209" s="85">
        <f>FTTX!N9</f>
        <v>7620000</v>
      </c>
      <c r="E209" s="302">
        <f>FTTX!O9</f>
        <v>7060000</v>
      </c>
      <c r="F209" s="318">
        <f>FTTX!P9</f>
        <v>6950000</v>
      </c>
      <c r="G209" s="85">
        <f>FTTX!Q9</f>
        <v>5510200</v>
      </c>
      <c r="H209" s="85">
        <f>FTTX!R9+FTTX!R15</f>
        <v>0</v>
      </c>
      <c r="I209" s="302">
        <f>FTTX!S9+FTTX!S15</f>
        <v>0</v>
      </c>
      <c r="J209" s="318">
        <f>FTTX!T9+FTTX!T15</f>
        <v>0</v>
      </c>
      <c r="K209" s="302">
        <f>FTTX!U9</f>
        <v>0</v>
      </c>
      <c r="L209" s="302">
        <f>FTTX!V9+FTTX!V15</f>
        <v>0</v>
      </c>
      <c r="M209" s="302">
        <f>FTTX!W9+FTTX!W15</f>
        <v>0</v>
      </c>
      <c r="N209" s="317">
        <f>FTTX!X9+FTTX!X15</f>
        <v>0</v>
      </c>
      <c r="O209" s="302">
        <f>FTTX!Y9+FTTX!Y15</f>
        <v>0</v>
      </c>
      <c r="P209" s="302">
        <f>FTTX!Z9+FTTX!Z15</f>
        <v>0</v>
      </c>
      <c r="Q209" s="302">
        <f>FTTX!AA9+FTTX!AA15</f>
        <v>0</v>
      </c>
      <c r="R209" s="317">
        <f>FTTX!AB9+FTTX!AB15</f>
        <v>0</v>
      </c>
      <c r="S209" s="1399">
        <f>FTTX!AC9+FTTX!AC15</f>
        <v>0</v>
      </c>
      <c r="T209" s="1397">
        <f>FTTX!AD9+FTTX!AD15</f>
        <v>0</v>
      </c>
      <c r="U209" s="302">
        <f>FTTX!AE9+FTTX!AE15</f>
        <v>0</v>
      </c>
      <c r="V209" s="1385">
        <f>FTTX!AF9+FTTX!AF15</f>
        <v>0</v>
      </c>
      <c r="W209" s="385">
        <f>FTTX!M49/10^6</f>
        <v>32.6147142857143</v>
      </c>
      <c r="X209" s="386">
        <f>FTTX!N49/10^6</f>
        <v>29.345914285714276</v>
      </c>
      <c r="Y209" s="387">
        <f>FTTX!O49/10^6</f>
        <v>26.57</v>
      </c>
      <c r="Z209" s="388">
        <f>FTTX!P49/10^6</f>
        <v>25.765000000000001</v>
      </c>
      <c r="AA209" s="385">
        <f>(FTTX!Q49+FTTX!Q55)/10^6</f>
        <v>16.091000000000001</v>
      </c>
      <c r="AB209" s="386">
        <f>(FTTX!R49+FTTX!R55)/10^6</f>
        <v>0</v>
      </c>
      <c r="AC209" s="387">
        <f>(FTTX!S49+FTTX!S55)/10^6</f>
        <v>0</v>
      </c>
      <c r="AD209" s="388">
        <f>(FTTX!T49+FTTX!T55)/10^6</f>
        <v>0</v>
      </c>
      <c r="AE209" s="385">
        <f>(FTTX!U49+FTTX!U55)/10^6</f>
        <v>0</v>
      </c>
      <c r="AF209" s="386">
        <f>(FTTX!V49+FTTX!V55)/10^6</f>
        <v>0</v>
      </c>
      <c r="AG209" s="387">
        <f>(FTTX!W49+FTTX!W55)/10^6</f>
        <v>0</v>
      </c>
      <c r="AH209" s="388">
        <f>(FTTX!X49+FTTX!X55)/10^6</f>
        <v>0</v>
      </c>
      <c r="AI209" s="385">
        <f>(FTTX!Y49+FTTX!Y55)/10^6</f>
        <v>0</v>
      </c>
      <c r="AJ209" s="386">
        <f>(FTTX!Z49+FTTX!Z55)/10^6</f>
        <v>0</v>
      </c>
      <c r="AK209" s="387">
        <f>(FTTX!AA49+FTTX!AA55)/10^6</f>
        <v>0</v>
      </c>
      <c r="AL209" s="388">
        <f>(FTTX!AB49+FTTX!AB55)/10^6</f>
        <v>0</v>
      </c>
      <c r="AM209" s="1834">
        <f>(FTTX!AC49+FTTX!AC55)/10^6</f>
        <v>0</v>
      </c>
      <c r="AN209" s="2025">
        <f>(FTTX!AD49+FTTX!AD55)/10^6</f>
        <v>0</v>
      </c>
      <c r="AO209" s="386">
        <f>(FTTX!AE49+FTTX!AE55)/10^6</f>
        <v>0</v>
      </c>
      <c r="AP209" s="2029">
        <f>(FTTX!AF49+FTTX!AF55)/10^6</f>
        <v>0</v>
      </c>
    </row>
    <row r="210" spans="1:42" ht="13.2">
      <c r="A210" s="23"/>
      <c r="B210" s="1247" t="s">
        <v>437</v>
      </c>
      <c r="C210" s="85">
        <f>FTTX!M14+FTTX!M17</f>
        <v>536896</v>
      </c>
      <c r="D210" s="85">
        <f>FTTX!N14+FTTX!N17</f>
        <v>706405</v>
      </c>
      <c r="E210" s="302">
        <f>FTTX!O14+FTTX!O17</f>
        <v>1100797</v>
      </c>
      <c r="F210" s="318">
        <f>FTTX!P14+FTTX!P17</f>
        <v>1491031</v>
      </c>
      <c r="G210" s="85">
        <f>FTTX!Q14+FTTX!Q17</f>
        <v>1057464</v>
      </c>
      <c r="H210" s="85">
        <f>FTTX!R14+FTTX!R17+FTTX!R16</f>
        <v>0</v>
      </c>
      <c r="I210" s="302">
        <f>FTTX!S14+FTTX!S17+FTTX!S16</f>
        <v>0</v>
      </c>
      <c r="J210" s="318">
        <f>FTTX!T14+FTTX!T17+FTTX!T16</f>
        <v>0</v>
      </c>
      <c r="K210" s="302">
        <f>FTTX!U14+FTTX!U17</f>
        <v>0</v>
      </c>
      <c r="L210" s="302">
        <f>FTTX!V14+FTTX!V17+FTTX!V16</f>
        <v>0</v>
      </c>
      <c r="M210" s="302">
        <f>FTTX!W14+FTTX!W17+FTTX!W16</f>
        <v>0</v>
      </c>
      <c r="N210" s="317">
        <f>FTTX!X14+FTTX!X17+FTTX!X16</f>
        <v>0</v>
      </c>
      <c r="O210" s="302">
        <f>FTTX!Y14+FTTX!Y17+FTTX!Y16</f>
        <v>0</v>
      </c>
      <c r="P210" s="302">
        <f>FTTX!Z14+FTTX!Z17+FTTX!Z16</f>
        <v>0</v>
      </c>
      <c r="Q210" s="302">
        <f>FTTX!AA14+FTTX!AA17+FTTX!AA16</f>
        <v>0</v>
      </c>
      <c r="R210" s="317">
        <f>FTTX!AB14+FTTX!AB17+FTTX!AB16</f>
        <v>0</v>
      </c>
      <c r="S210" s="1399">
        <f>FTTX!AC14+FTTX!AC17+FTTX!AC16</f>
        <v>0</v>
      </c>
      <c r="T210" s="1397">
        <f>FTTX!AD14+FTTX!AD17+FTTX!AD16</f>
        <v>0</v>
      </c>
      <c r="U210" s="302">
        <f>FTTX!AE14+FTTX!AE17+FTTX!AE16</f>
        <v>0</v>
      </c>
      <c r="V210" s="1385">
        <f>FTTX!AF14+FTTX!AF17+FTTX!AF16</f>
        <v>0</v>
      </c>
      <c r="W210" s="385">
        <f>(FTTX!M54+FTTX!M57)/1000000</f>
        <v>32.36265011689472</v>
      </c>
      <c r="X210" s="386">
        <f>(FTTX!N54+FTTX!N57)/1000000</f>
        <v>38.767093571428575</v>
      </c>
      <c r="Y210" s="387">
        <f>(FTTX!O54+FTTX!O57)/1000000</f>
        <v>56.159699429672791</v>
      </c>
      <c r="Z210" s="388">
        <f>(FTTX!P54+FTTX!P57)/1000000</f>
        <v>67.791084694268505</v>
      </c>
      <c r="AA210" s="385">
        <f>(FTTX!Q54+FTTX!Q57+FTTX!Q56)/1000000</f>
        <v>41.731266605562581</v>
      </c>
      <c r="AB210" s="386">
        <f>(FTTX!R54+FTTX!R57+FTTX!R56)/1000000</f>
        <v>0</v>
      </c>
      <c r="AC210" s="387">
        <f>(FTTX!S54+FTTX!S57+FTTX!S56)/1000000</f>
        <v>0</v>
      </c>
      <c r="AD210" s="388">
        <f>(FTTX!T54+FTTX!T57+FTTX!T56)/1000000</f>
        <v>0</v>
      </c>
      <c r="AE210" s="385">
        <f>(FTTX!U54+FTTX!U57+FTTX!U56)/1000000</f>
        <v>0</v>
      </c>
      <c r="AF210" s="386">
        <f>(FTTX!V54+FTTX!V57+FTTX!V56)/1000000</f>
        <v>0</v>
      </c>
      <c r="AG210" s="387">
        <f>(FTTX!W54+FTTX!W57+FTTX!W56)/1000000</f>
        <v>0</v>
      </c>
      <c r="AH210" s="388">
        <f>(FTTX!X54+FTTX!X57+FTTX!X56)/1000000</f>
        <v>0</v>
      </c>
      <c r="AI210" s="385">
        <f>(FTTX!Y54+FTTX!Y57+FTTX!Y56)/1000000</f>
        <v>0</v>
      </c>
      <c r="AJ210" s="386">
        <f>(FTTX!Z54+FTTX!Z57+FTTX!Z56)/1000000</f>
        <v>0</v>
      </c>
      <c r="AK210" s="387">
        <f>(FTTX!AA54+FTTX!AA57+FTTX!AA56)/1000000</f>
        <v>0</v>
      </c>
      <c r="AL210" s="388">
        <f>(FTTX!AB54+FTTX!AB57+FTTX!AB56)/1000000</f>
        <v>0</v>
      </c>
      <c r="AM210" s="1834">
        <f>(FTTX!AC54+FTTX!AC57+FTTX!AC56)/1000000</f>
        <v>0</v>
      </c>
      <c r="AN210" s="2025">
        <f>(FTTX!AD54+FTTX!AD57+FTTX!AD56)/1000000</f>
        <v>0</v>
      </c>
      <c r="AO210" s="386">
        <f>(FTTX!AE54+FTTX!AE57+FTTX!AE56)/1000000</f>
        <v>0</v>
      </c>
      <c r="AP210" s="2029">
        <f>(FTTX!AF54+FTTX!AF57+FTTX!AF56)/1000000</f>
        <v>0</v>
      </c>
    </row>
    <row r="211" spans="1:42" ht="13.2">
      <c r="A211" s="23"/>
      <c r="B211" s="1247" t="s">
        <v>597</v>
      </c>
      <c r="C211" s="85"/>
      <c r="D211" s="85"/>
      <c r="E211" s="302"/>
      <c r="F211" s="318"/>
      <c r="G211" s="85"/>
      <c r="H211" s="85"/>
      <c r="I211" s="302"/>
      <c r="J211" s="318"/>
      <c r="K211" s="302"/>
      <c r="L211" s="302"/>
      <c r="M211" s="302"/>
      <c r="N211" s="317"/>
      <c r="O211" s="302"/>
      <c r="P211" s="302"/>
      <c r="Q211" s="302"/>
      <c r="R211" s="317"/>
      <c r="S211" s="1399">
        <f>FTTX!AC20+FTTX!AC21</f>
        <v>0</v>
      </c>
      <c r="T211" s="1397">
        <f>FTTX!AD20+FTTX!AD21</f>
        <v>0</v>
      </c>
      <c r="U211" s="302">
        <f>FTTX!AE20+FTTX!AE21</f>
        <v>0</v>
      </c>
      <c r="V211" s="1385">
        <f>FTTX!AF20+FTTX!AF21</f>
        <v>0</v>
      </c>
      <c r="W211" s="385"/>
      <c r="X211" s="386"/>
      <c r="Y211" s="387"/>
      <c r="Z211" s="388"/>
      <c r="AA211" s="385"/>
      <c r="AB211" s="386"/>
      <c r="AC211" s="387"/>
      <c r="AD211" s="388"/>
      <c r="AE211" s="385"/>
      <c r="AF211" s="386"/>
      <c r="AG211" s="387"/>
      <c r="AH211" s="388"/>
      <c r="AI211" s="385"/>
      <c r="AJ211" s="386"/>
      <c r="AK211" s="387"/>
      <c r="AL211" s="388"/>
      <c r="AM211" s="1834">
        <f>(FTTX!AC61+FTTX!AC60)/1000000</f>
        <v>0</v>
      </c>
      <c r="AN211" s="2025">
        <f>(FTTX!AD61+FTTX!AD60)/1000000</f>
        <v>0</v>
      </c>
      <c r="AO211" s="386">
        <f>(FTTX!AE61+FTTX!AE60)/1000000</f>
        <v>0</v>
      </c>
      <c r="AP211" s="2029">
        <f>(FTTX!AF61+FTTX!AF60)/1000000</f>
        <v>0</v>
      </c>
    </row>
    <row r="212" spans="1:42" ht="13.2">
      <c r="A212" s="23"/>
      <c r="B212" s="1247" t="s">
        <v>428</v>
      </c>
      <c r="C212" s="85"/>
      <c r="D212" s="85"/>
      <c r="E212" s="302"/>
      <c r="F212" s="318"/>
      <c r="G212" s="85">
        <f>FTTX!Q18+FTTX!Q19</f>
        <v>0</v>
      </c>
      <c r="H212" s="85">
        <f>FTTX!R18+FTTX!R19</f>
        <v>0</v>
      </c>
      <c r="I212" s="302">
        <f>FTTX!S18+FTTX!S19</f>
        <v>0</v>
      </c>
      <c r="J212" s="318">
        <f>FTTX!T18+FTTX!T19</f>
        <v>0</v>
      </c>
      <c r="K212" s="302">
        <f>FTTX!U18+FTTX!U19</f>
        <v>0</v>
      </c>
      <c r="L212" s="302">
        <f>FTTX!V18+FTTX!V19</f>
        <v>0</v>
      </c>
      <c r="M212" s="302">
        <f>FTTX!W18+FTTX!W19</f>
        <v>0</v>
      </c>
      <c r="N212" s="317">
        <f>FTTX!X18+FTTX!X19</f>
        <v>0</v>
      </c>
      <c r="O212" s="302">
        <f>FTTX!Y18+FTTX!Y19</f>
        <v>0</v>
      </c>
      <c r="P212" s="302">
        <f>FTTX!Z18+FTTX!Z19</f>
        <v>0</v>
      </c>
      <c r="Q212" s="302">
        <f>FTTX!AA18+FTTX!AA19</f>
        <v>0</v>
      </c>
      <c r="R212" s="317">
        <f>FTTX!AB18+FTTX!AB19</f>
        <v>0</v>
      </c>
      <c r="S212" s="1399">
        <f>FTTX!AC18+FTTX!AC19</f>
        <v>0</v>
      </c>
      <c r="T212" s="1397">
        <f>FTTX!AD18+FTTX!AD19</f>
        <v>0</v>
      </c>
      <c r="U212" s="1991">
        <f>FTTX!AE18+FTTX!AE19</f>
        <v>0</v>
      </c>
      <c r="V212" s="1385">
        <f>FTTX!AF18+FTTX!AF19</f>
        <v>0</v>
      </c>
      <c r="W212" s="389"/>
      <c r="X212" s="390"/>
      <c r="Y212" s="391"/>
      <c r="Z212" s="392"/>
      <c r="AA212" s="389">
        <f>(FTTX!Q58+FTTX!Q59)/10^6</f>
        <v>0</v>
      </c>
      <c r="AB212" s="390">
        <f>(FTTX!R58+FTTX!R59)/10^6</f>
        <v>0</v>
      </c>
      <c r="AC212" s="391">
        <f>(FTTX!S58+FTTX!S59)/10^6</f>
        <v>0</v>
      </c>
      <c r="AD212" s="392">
        <f>(FTTX!T58+FTTX!T59)/10^6</f>
        <v>0</v>
      </c>
      <c r="AE212" s="389">
        <f>(FTTX!U58+FTTX!U59)/10^6</f>
        <v>0</v>
      </c>
      <c r="AF212" s="390">
        <f>(FTTX!V58+FTTX!V59)/10^6</f>
        <v>0</v>
      </c>
      <c r="AG212" s="391">
        <f>(FTTX!W58+FTTX!W59)/10^6</f>
        <v>0</v>
      </c>
      <c r="AH212" s="392">
        <f>(FTTX!X58+FTTX!X59)/10^6</f>
        <v>0</v>
      </c>
      <c r="AI212" s="389">
        <f>(FTTX!Y58+FTTX!Y59)/10^6</f>
        <v>0</v>
      </c>
      <c r="AJ212" s="390">
        <f>(FTTX!Z58+FTTX!Z59)/10^6</f>
        <v>0</v>
      </c>
      <c r="AK212" s="391">
        <f>(FTTX!AA58+FTTX!AA59)/10^6</f>
        <v>0</v>
      </c>
      <c r="AL212" s="392">
        <f>(FTTX!AB58+FTTX!AB59)/10^6</f>
        <v>0</v>
      </c>
      <c r="AM212" s="1835">
        <f>(FTTX!AC58+FTTX!AC59)/10^6</f>
        <v>0</v>
      </c>
      <c r="AN212" s="2026">
        <f>(FTTX!AD58+FTTX!AD59)/10^6</f>
        <v>0</v>
      </c>
      <c r="AO212" s="390">
        <f>(FTTX!AE58+FTTX!AE59)/10^6</f>
        <v>0</v>
      </c>
      <c r="AP212" s="2030">
        <f>(FTTX!AF58+FTTX!AF59)/10^6</f>
        <v>0</v>
      </c>
    </row>
    <row r="213" spans="1:42" ht="13.2">
      <c r="B213" s="1245" t="s">
        <v>121</v>
      </c>
      <c r="C213" s="86">
        <f>SUM(C207:C210)</f>
        <v>11374014</v>
      </c>
      <c r="D213" s="86">
        <f>SUM(D207:D210)</f>
        <v>10786569</v>
      </c>
      <c r="E213" s="66">
        <f>SUM(E207:E210)</f>
        <v>10280444</v>
      </c>
      <c r="F213" s="319">
        <f>SUM(F207:F210)</f>
        <v>10338626</v>
      </c>
      <c r="G213" s="86">
        <f t="shared" ref="G213:N213" si="65">SUM(G207:G212)</f>
        <v>7642144</v>
      </c>
      <c r="H213" s="86">
        <f t="shared" si="65"/>
        <v>0</v>
      </c>
      <c r="I213" s="66">
        <f t="shared" si="65"/>
        <v>0</v>
      </c>
      <c r="J213" s="319">
        <f t="shared" si="65"/>
        <v>0</v>
      </c>
      <c r="K213" s="66">
        <f t="shared" si="65"/>
        <v>0</v>
      </c>
      <c r="L213" s="66">
        <f t="shared" si="65"/>
        <v>0</v>
      </c>
      <c r="M213" s="66">
        <f t="shared" si="65"/>
        <v>0</v>
      </c>
      <c r="N213" s="296">
        <f t="shared" si="65"/>
        <v>0</v>
      </c>
      <c r="O213" s="66">
        <f t="shared" ref="O213:T213" si="66">SUM(O207:O212)</f>
        <v>0</v>
      </c>
      <c r="P213" s="66">
        <f t="shared" si="66"/>
        <v>0</v>
      </c>
      <c r="Q213" s="66">
        <f t="shared" si="66"/>
        <v>0</v>
      </c>
      <c r="R213" s="296">
        <f t="shared" si="66"/>
        <v>0</v>
      </c>
      <c r="S213" s="350">
        <f t="shared" si="66"/>
        <v>0</v>
      </c>
      <c r="T213" s="358">
        <f t="shared" si="66"/>
        <v>0</v>
      </c>
      <c r="U213" s="358">
        <f t="shared" ref="U213:V213" si="67">SUM(U207:U212)</f>
        <v>0</v>
      </c>
      <c r="V213" s="358">
        <f t="shared" si="67"/>
        <v>0</v>
      </c>
      <c r="W213" s="301">
        <f t="shared" ref="W213:Z213" si="68">SUM(W207:W210)</f>
        <v>96.604637195445008</v>
      </c>
      <c r="X213" s="301">
        <f t="shared" si="68"/>
        <v>95.707012205041863</v>
      </c>
      <c r="Y213" s="301">
        <f t="shared" si="68"/>
        <v>105.55902439659282</v>
      </c>
      <c r="Z213" s="320">
        <f t="shared" si="68"/>
        <v>112.75732018048291</v>
      </c>
      <c r="AA213" s="301">
        <f t="shared" ref="AA213:AH213" si="69">SUM(AA207:AA212)</f>
        <v>69.299291605562587</v>
      </c>
      <c r="AB213" s="301">
        <f t="shared" si="69"/>
        <v>0</v>
      </c>
      <c r="AC213" s="301">
        <f t="shared" si="69"/>
        <v>0</v>
      </c>
      <c r="AD213" s="320">
        <f t="shared" si="69"/>
        <v>0</v>
      </c>
      <c r="AE213" s="301">
        <f t="shared" si="69"/>
        <v>0</v>
      </c>
      <c r="AF213" s="301">
        <f t="shared" si="69"/>
        <v>0</v>
      </c>
      <c r="AG213" s="301">
        <f t="shared" si="69"/>
        <v>0</v>
      </c>
      <c r="AH213" s="320">
        <f t="shared" si="69"/>
        <v>0</v>
      </c>
      <c r="AI213" s="301">
        <f>SUM(AI207:AI212)</f>
        <v>0</v>
      </c>
      <c r="AJ213" s="301">
        <f>SUM(AJ207:AJ212)</f>
        <v>0</v>
      </c>
      <c r="AK213" s="301">
        <f>SUM(AK207:AK212)</f>
        <v>0</v>
      </c>
      <c r="AL213" s="320">
        <f>SUM(AL207:AL212)</f>
        <v>0</v>
      </c>
      <c r="AM213" s="1836">
        <f t="shared" ref="AM213" si="70">SUM(AM207:AM212)</f>
        <v>0</v>
      </c>
      <c r="AN213" s="2027">
        <f t="shared" ref="AN213:AP213" si="71">SUM(AN207:AN212)</f>
        <v>0</v>
      </c>
      <c r="AO213" s="2032">
        <f t="shared" si="71"/>
        <v>0</v>
      </c>
      <c r="AP213" s="2031">
        <f t="shared" si="71"/>
        <v>0</v>
      </c>
    </row>
    <row r="214" spans="1:42" ht="12" customHeight="1">
      <c r="C214" s="642"/>
      <c r="D214" s="642"/>
      <c r="E214" s="642"/>
      <c r="F214" s="642"/>
      <c r="G214" s="642"/>
      <c r="H214" s="642"/>
      <c r="I214" s="642"/>
      <c r="J214" s="642"/>
      <c r="K214" s="642"/>
      <c r="L214" s="642"/>
      <c r="M214" s="642"/>
      <c r="N214" s="642"/>
      <c r="O214" s="642"/>
      <c r="P214" s="642"/>
      <c r="Q214" s="642"/>
      <c r="R214" s="642"/>
      <c r="S214" s="642"/>
      <c r="T214" s="642"/>
      <c r="U214" s="642"/>
      <c r="V214" s="642"/>
      <c r="W214" s="967"/>
      <c r="X214" s="967"/>
      <c r="Y214" s="967"/>
      <c r="Z214" s="967"/>
      <c r="AA214" s="967"/>
      <c r="AB214" s="967"/>
      <c r="AC214" s="967"/>
      <c r="AD214" s="967"/>
      <c r="AE214" s="967"/>
      <c r="AF214" s="967"/>
      <c r="AG214" s="967"/>
      <c r="AH214" s="967"/>
      <c r="AI214" s="967"/>
      <c r="AJ214" s="967"/>
      <c r="AK214" s="967"/>
      <c r="AL214" s="967"/>
      <c r="AM214" s="967"/>
      <c r="AN214" s="967"/>
      <c r="AO214" s="967"/>
      <c r="AP214" s="967"/>
    </row>
    <row r="217" spans="1:42" ht="17.399999999999999">
      <c r="B217" s="1237" t="s">
        <v>599</v>
      </c>
    </row>
    <row r="242" spans="2:46" ht="16.2" thickBot="1">
      <c r="B242" s="479" t="s">
        <v>172</v>
      </c>
      <c r="G242" s="1" t="str">
        <f>B242</f>
        <v>Active Optical Cables</v>
      </c>
      <c r="I242" s="30"/>
      <c r="J242" s="13"/>
      <c r="L242" s="13"/>
      <c r="M242" s="30"/>
      <c r="N242" s="13"/>
      <c r="O242" s="1401" t="str">
        <f>G242</f>
        <v>Active Optical Cables</v>
      </c>
      <c r="P242" s="13"/>
      <c r="Q242" s="30"/>
      <c r="R242" s="13"/>
      <c r="S242" s="13"/>
      <c r="T242" s="13"/>
      <c r="U242" s="13"/>
      <c r="V242" s="13"/>
      <c r="W242" s="479" t="str">
        <f>B242</f>
        <v>Active Optical Cables</v>
      </c>
      <c r="AC242" s="30"/>
      <c r="AD242" s="13"/>
      <c r="AE242" s="479" t="str">
        <f>B242</f>
        <v>Active Optical Cables</v>
      </c>
      <c r="AF242" s="13"/>
      <c r="AG242" s="30"/>
      <c r="AH242" s="13"/>
      <c r="AI242" s="1"/>
      <c r="AJ242" s="13"/>
      <c r="AK242" s="30"/>
      <c r="AL242" s="13"/>
      <c r="AM242" s="13"/>
      <c r="AN242" s="13"/>
      <c r="AO242" s="13"/>
      <c r="AR242" s="2217"/>
      <c r="AS242" s="2217"/>
      <c r="AT242" s="2217"/>
    </row>
    <row r="243" spans="2:46" ht="16.2" thickBot="1">
      <c r="B243" s="2223"/>
      <c r="C243" s="379"/>
      <c r="D243" s="379"/>
      <c r="E243" s="379"/>
      <c r="F243" s="379"/>
      <c r="G243" s="379" t="s">
        <v>164</v>
      </c>
      <c r="H243" s="379"/>
      <c r="I243" s="379"/>
      <c r="J243" s="379"/>
      <c r="K243" s="379"/>
      <c r="L243" s="379"/>
      <c r="M243" s="379"/>
      <c r="N243" s="379"/>
      <c r="O243" s="379" t="str">
        <f>G243</f>
        <v>Shipments: Actual Data</v>
      </c>
      <c r="P243" s="379"/>
      <c r="Q243" s="379"/>
      <c r="R243" s="379"/>
      <c r="S243" s="379"/>
      <c r="T243" s="1964"/>
      <c r="U243" s="2225" t="s">
        <v>369</v>
      </c>
      <c r="V243" s="2226"/>
      <c r="W243" s="379"/>
      <c r="X243" s="379"/>
      <c r="Y243" s="379"/>
      <c r="Z243" s="379"/>
      <c r="AA243" s="379" t="s">
        <v>297</v>
      </c>
      <c r="AB243" s="379"/>
      <c r="AC243" s="379"/>
      <c r="AD243" s="379"/>
      <c r="AE243" s="379"/>
      <c r="AF243" s="379"/>
      <c r="AG243" s="379"/>
      <c r="AH243" s="379"/>
      <c r="AI243" s="379" t="s">
        <v>297</v>
      </c>
      <c r="AJ243" s="379"/>
      <c r="AK243" s="379"/>
      <c r="AL243" s="379"/>
      <c r="AM243" s="379"/>
      <c r="AN243" s="1964"/>
      <c r="AO243" s="2225" t="s">
        <v>369</v>
      </c>
      <c r="AP243" s="2226"/>
      <c r="AR243" s="958"/>
      <c r="AS243" s="958"/>
    </row>
    <row r="244" spans="2:46" ht="16.2" thickBot="1">
      <c r="B244" s="2224"/>
      <c r="C244" s="276" t="str">
        <f>C$68</f>
        <v>1Q 19</v>
      </c>
      <c r="D244" s="245" t="str">
        <f>D$68</f>
        <v>2Q 19</v>
      </c>
      <c r="E244" s="245" t="s">
        <v>110</v>
      </c>
      <c r="F244" s="277" t="s">
        <v>111</v>
      </c>
      <c r="G244" s="276" t="s">
        <v>112</v>
      </c>
      <c r="H244" s="245" t="s">
        <v>113</v>
      </c>
      <c r="I244" s="245" t="s">
        <v>114</v>
      </c>
      <c r="J244" s="277" t="s">
        <v>115</v>
      </c>
      <c r="K244" s="276" t="str">
        <f>K37</f>
        <v>1Q 21</v>
      </c>
      <c r="L244" s="245" t="str">
        <f>L37</f>
        <v>2Q21</v>
      </c>
      <c r="M244" s="245" t="s">
        <v>465</v>
      </c>
      <c r="N244" s="277" t="s">
        <v>466</v>
      </c>
      <c r="O244" s="1392" t="s">
        <v>467</v>
      </c>
      <c r="P244" s="245" t="s">
        <v>468</v>
      </c>
      <c r="Q244" s="245" t="str">
        <f t="shared" ref="Q244:R244" si="72">Q37</f>
        <v>3Q 22</v>
      </c>
      <c r="R244" s="277" t="str">
        <f t="shared" si="72"/>
        <v>4Q 22</v>
      </c>
      <c r="S244" s="1392" t="s">
        <v>568</v>
      </c>
      <c r="T244" s="1965" t="s">
        <v>594</v>
      </c>
      <c r="U244" s="1975" t="s">
        <v>621</v>
      </c>
      <c r="V244" s="1974" t="s">
        <v>622</v>
      </c>
      <c r="W244" s="276" t="str">
        <f t="shared" ref="W244:X244" si="73">W$68</f>
        <v>1Q 19</v>
      </c>
      <c r="X244" s="245" t="str">
        <f t="shared" si="73"/>
        <v>2Q 19</v>
      </c>
      <c r="Y244" s="245" t="s">
        <v>110</v>
      </c>
      <c r="Z244" s="277" t="s">
        <v>111</v>
      </c>
      <c r="AA244" s="276" t="s">
        <v>112</v>
      </c>
      <c r="AB244" s="245" t="s">
        <v>113</v>
      </c>
      <c r="AC244" s="245" t="s">
        <v>114</v>
      </c>
      <c r="AD244" s="277" t="s">
        <v>115</v>
      </c>
      <c r="AE244" s="276" t="str">
        <f>K244</f>
        <v>1Q 21</v>
      </c>
      <c r="AF244" s="245" t="str">
        <f>L244</f>
        <v>2Q21</v>
      </c>
      <c r="AG244" s="245" t="str">
        <f>M244</f>
        <v>3Q 21</v>
      </c>
      <c r="AH244" s="277" t="str">
        <f>N244</f>
        <v>4Q 21</v>
      </c>
      <c r="AI244" s="276" t="str">
        <f>AI37</f>
        <v>1Q 22</v>
      </c>
      <c r="AJ244" s="245" t="str">
        <f>AJ37</f>
        <v>2Q 22</v>
      </c>
      <c r="AK244" s="245" t="str">
        <f t="shared" ref="AK244:AL244" si="74">AK37</f>
        <v>3Q 22</v>
      </c>
      <c r="AL244" s="277" t="str">
        <f t="shared" si="74"/>
        <v>4Q 22</v>
      </c>
      <c r="AM244" s="1392" t="s">
        <v>568</v>
      </c>
      <c r="AN244" s="1965" t="s">
        <v>594</v>
      </c>
      <c r="AO244" s="1975" t="s">
        <v>621</v>
      </c>
      <c r="AP244" s="1974" t="s">
        <v>622</v>
      </c>
      <c r="AR244" s="959"/>
      <c r="AS244" s="960"/>
    </row>
    <row r="245" spans="2:46">
      <c r="B245" s="1249" t="s">
        <v>362</v>
      </c>
      <c r="C245" s="325">
        <f>'Optical Interconnects'!K11</f>
        <v>745535</v>
      </c>
      <c r="D245" s="87">
        <f>'Optical Interconnects'!L11</f>
        <v>795473</v>
      </c>
      <c r="E245" s="308">
        <f>'Optical Interconnects'!M11</f>
        <v>575000</v>
      </c>
      <c r="F245" s="323">
        <f>'Optical Interconnects'!N11</f>
        <v>485000</v>
      </c>
      <c r="G245" s="325">
        <f>'Optical Interconnects'!O11</f>
        <v>280000</v>
      </c>
      <c r="H245" s="87">
        <f>'Optical Interconnects'!P11</f>
        <v>0</v>
      </c>
      <c r="I245" s="308">
        <f>'Optical Interconnects'!Q11</f>
        <v>0</v>
      </c>
      <c r="J245" s="323">
        <f>'Optical Interconnects'!R11</f>
        <v>0</v>
      </c>
      <c r="K245" s="325">
        <f>'Optical Interconnects'!S11</f>
        <v>0</v>
      </c>
      <c r="L245" s="87">
        <f>'Optical Interconnects'!T11</f>
        <v>0</v>
      </c>
      <c r="M245" s="308">
        <f>'Optical Interconnects'!U11</f>
        <v>0</v>
      </c>
      <c r="N245" s="323">
        <f>'Optical Interconnects'!V11</f>
        <v>0</v>
      </c>
      <c r="O245" s="325">
        <f>'Optical Interconnects'!W11</f>
        <v>0</v>
      </c>
      <c r="P245" s="87">
        <f>'Optical Interconnects'!X11</f>
        <v>0</v>
      </c>
      <c r="Q245" s="308">
        <f>'Optical Interconnects'!Y11</f>
        <v>0</v>
      </c>
      <c r="R245" s="323">
        <f>'Optical Interconnects'!Z11</f>
        <v>0</v>
      </c>
      <c r="S245" s="1903">
        <f>'Optical Interconnects'!AA11</f>
        <v>0</v>
      </c>
      <c r="T245" s="1992">
        <f>'Optical Interconnects'!AB11</f>
        <v>0</v>
      </c>
      <c r="U245" s="1997">
        <f>'Optical Interconnects'!AC11</f>
        <v>0</v>
      </c>
      <c r="V245" s="1994">
        <f>'Optical Interconnects'!AD11</f>
        <v>0</v>
      </c>
      <c r="W245" s="1905">
        <f>'Optical Interconnects'!K43/10^6</f>
        <v>10.654662720000001</v>
      </c>
      <c r="X245" s="1909">
        <f>'Optical Interconnects'!L43/10^6</f>
        <v>10.76932523</v>
      </c>
      <c r="Y245" s="1909">
        <f>'Optical Interconnects'!M43/10^6</f>
        <v>7.18</v>
      </c>
      <c r="Z245" s="1907">
        <f>'Optical Interconnects'!N43/10^6</f>
        <v>5.66</v>
      </c>
      <c r="AA245" s="1905">
        <f>'Optical Interconnects'!O43/10^6</f>
        <v>2.89</v>
      </c>
      <c r="AB245" s="1909">
        <f>'Optical Interconnects'!P43/10^6</f>
        <v>0</v>
      </c>
      <c r="AC245" s="1909">
        <f>'Optical Interconnects'!Q43/10^6</f>
        <v>0</v>
      </c>
      <c r="AD245" s="1907">
        <f>'Optical Interconnects'!R43/10^6</f>
        <v>0</v>
      </c>
      <c r="AE245" s="1905">
        <f>'Optical Interconnects'!S43/10^6</f>
        <v>0</v>
      </c>
      <c r="AF245" s="1909">
        <f>'Optical Interconnects'!T43/10^6</f>
        <v>0</v>
      </c>
      <c r="AG245" s="1909">
        <f>'Optical Interconnects'!U43/10^6</f>
        <v>0</v>
      </c>
      <c r="AH245" s="1907">
        <f>'Optical Interconnects'!V43/10^6</f>
        <v>0</v>
      </c>
      <c r="AI245" s="1905">
        <f>'Optical Interconnects'!W43/10^6</f>
        <v>0</v>
      </c>
      <c r="AJ245" s="1909">
        <f>'Optical Interconnects'!X43/10^6</f>
        <v>0</v>
      </c>
      <c r="AK245" s="1909">
        <f>'Optical Interconnects'!Y43/10^6</f>
        <v>0</v>
      </c>
      <c r="AL245" s="1907">
        <f>'Optical Interconnects'!Z43/10^6</f>
        <v>0</v>
      </c>
      <c r="AM245" s="1914">
        <f>'Optical Interconnects'!AA43/10^6</f>
        <v>0</v>
      </c>
      <c r="AN245" s="2033">
        <f>'Optical Interconnects'!AB43/10^6</f>
        <v>0</v>
      </c>
      <c r="AO245" s="1909">
        <f>'Optical Interconnects'!AC43/10^6</f>
        <v>0</v>
      </c>
      <c r="AP245" s="1912">
        <f>'Optical Interconnects'!AD43/10^6</f>
        <v>0</v>
      </c>
      <c r="AR245" s="961"/>
      <c r="AS245" s="962"/>
    </row>
    <row r="246" spans="2:46" ht="13.2">
      <c r="B246" s="1249" t="s">
        <v>363</v>
      </c>
      <c r="C246" s="325">
        <f>'Optical Interconnects'!K12</f>
        <v>183722</v>
      </c>
      <c r="D246" s="87">
        <f>'Optical Interconnects'!L12</f>
        <v>197307</v>
      </c>
      <c r="E246" s="308">
        <f>'Optical Interconnects'!M12</f>
        <v>398000</v>
      </c>
      <c r="F246" s="323">
        <f>'Optical Interconnects'!N12</f>
        <v>475000</v>
      </c>
      <c r="G246" s="325">
        <f>'Optical Interconnects'!O12</f>
        <v>490337</v>
      </c>
      <c r="H246" s="87">
        <f>'Optical Interconnects'!P12</f>
        <v>0</v>
      </c>
      <c r="I246" s="308">
        <f>'Optical Interconnects'!Q12</f>
        <v>0</v>
      </c>
      <c r="J246" s="323">
        <f>'Optical Interconnects'!R12</f>
        <v>0</v>
      </c>
      <c r="K246" s="325">
        <f>'Optical Interconnects'!S12</f>
        <v>0</v>
      </c>
      <c r="L246" s="87">
        <f>'Optical Interconnects'!T12</f>
        <v>0</v>
      </c>
      <c r="M246" s="308">
        <f>'Optical Interconnects'!U12</f>
        <v>0</v>
      </c>
      <c r="N246" s="323">
        <f>'Optical Interconnects'!V12</f>
        <v>0</v>
      </c>
      <c r="O246" s="325">
        <f>'Optical Interconnects'!W12</f>
        <v>0</v>
      </c>
      <c r="P246" s="87">
        <f>'Optical Interconnects'!X12</f>
        <v>0</v>
      </c>
      <c r="Q246" s="308">
        <f>'Optical Interconnects'!Y12</f>
        <v>0</v>
      </c>
      <c r="R246" s="323">
        <f>'Optical Interconnects'!Z12</f>
        <v>0</v>
      </c>
      <c r="S246" s="1903">
        <f>'Optical Interconnects'!AA12</f>
        <v>0</v>
      </c>
      <c r="T246" s="1993">
        <f>'Optical Interconnects'!AB12</f>
        <v>0</v>
      </c>
      <c r="U246" s="1998">
        <f>'Optical Interconnects'!AC12</f>
        <v>0</v>
      </c>
      <c r="V246" s="1995">
        <f>'Optical Interconnects'!AD12</f>
        <v>0</v>
      </c>
      <c r="W246" s="1905">
        <f>'Optical Interconnects'!K44/10^6</f>
        <v>10.104012099999998</v>
      </c>
      <c r="X246" s="1910">
        <f>'Optical Interconnects'!L44/10^6</f>
        <v>9.9788417599999999</v>
      </c>
      <c r="Y246" s="1910">
        <f>'Optical Interconnects'!M44/10^6</f>
        <v>16.350000000000001</v>
      </c>
      <c r="Z246" s="1907">
        <f>'Optical Interconnects'!N44/10^6</f>
        <v>18.085000000000001</v>
      </c>
      <c r="AA246" s="1905">
        <f>'Optical Interconnects'!O44/10^6</f>
        <v>12.429571352778211</v>
      </c>
      <c r="AB246" s="1910">
        <f>'Optical Interconnects'!P44/10^6</f>
        <v>0</v>
      </c>
      <c r="AC246" s="1910">
        <f>'Optical Interconnects'!Q44/10^6</f>
        <v>0</v>
      </c>
      <c r="AD246" s="1907">
        <f>'Optical Interconnects'!R44/10^6</f>
        <v>0</v>
      </c>
      <c r="AE246" s="1905">
        <f>'Optical Interconnects'!S44/10^6</f>
        <v>0</v>
      </c>
      <c r="AF246" s="1910">
        <f>'Optical Interconnects'!T44/10^6</f>
        <v>0</v>
      </c>
      <c r="AG246" s="1910">
        <f>'Optical Interconnects'!U44/10^6</f>
        <v>0</v>
      </c>
      <c r="AH246" s="1907">
        <f>'Optical Interconnects'!V44/10^6</f>
        <v>0</v>
      </c>
      <c r="AI246" s="1905">
        <f>'Optical Interconnects'!W44/10^6</f>
        <v>0</v>
      </c>
      <c r="AJ246" s="1910">
        <f>'Optical Interconnects'!X44/10^6</f>
        <v>0</v>
      </c>
      <c r="AK246" s="1910">
        <f>'Optical Interconnects'!Y44/10^6</f>
        <v>0</v>
      </c>
      <c r="AL246" s="1907">
        <f>'Optical Interconnects'!Z44/10^6</f>
        <v>0</v>
      </c>
      <c r="AM246" s="1915">
        <f>'Optical Interconnects'!AA44/10^6</f>
        <v>0</v>
      </c>
      <c r="AN246" s="2034">
        <f>'Optical Interconnects'!AB44/10^6</f>
        <v>0</v>
      </c>
      <c r="AO246" s="1910">
        <f>'Optical Interconnects'!AC44/10^6</f>
        <v>0</v>
      </c>
      <c r="AP246" s="1913">
        <f>'Optical Interconnects'!AD44/10^6</f>
        <v>0</v>
      </c>
    </row>
    <row r="247" spans="2:46" ht="13.2">
      <c r="B247" s="1249" t="s">
        <v>565</v>
      </c>
      <c r="C247" s="325">
        <f>'Optical Interconnects'!K13+'Optical Interconnects'!K14</f>
        <v>63397</v>
      </c>
      <c r="D247" s="87">
        <f>'Optical Interconnects'!L13+'Optical Interconnects'!L14</f>
        <v>77743</v>
      </c>
      <c r="E247" s="308">
        <f>'Optical Interconnects'!M13+'Optical Interconnects'!M14</f>
        <v>56100</v>
      </c>
      <c r="F247" s="323">
        <f>'Optical Interconnects'!N13+'Optical Interconnects'!N14</f>
        <v>52800</v>
      </c>
      <c r="G247" s="325">
        <f>'Optical Interconnects'!O13+'Optical Interconnects'!O14</f>
        <v>63305</v>
      </c>
      <c r="H247" s="87">
        <f>'Optical Interconnects'!P13+'Optical Interconnects'!P14</f>
        <v>0</v>
      </c>
      <c r="I247" s="308">
        <f>'Optical Interconnects'!Q13+'Optical Interconnects'!Q14</f>
        <v>0</v>
      </c>
      <c r="J247" s="323">
        <f>'Optical Interconnects'!R13+'Optical Interconnects'!R14</f>
        <v>0</v>
      </c>
      <c r="K247" s="325">
        <f>'Optical Interconnects'!S13+'Optical Interconnects'!S14</f>
        <v>0</v>
      </c>
      <c r="L247" s="87">
        <f>'Optical Interconnects'!T13+'Optical Interconnects'!T14</f>
        <v>0</v>
      </c>
      <c r="M247" s="308">
        <f>'Optical Interconnects'!U13+'Optical Interconnects'!U14</f>
        <v>0</v>
      </c>
      <c r="N247" s="323">
        <f>'Optical Interconnects'!V13+'Optical Interconnects'!V14</f>
        <v>0</v>
      </c>
      <c r="O247" s="325">
        <f>'Optical Interconnects'!W13+'Optical Interconnects'!W14</f>
        <v>0</v>
      </c>
      <c r="P247" s="87">
        <f>'Optical Interconnects'!X13+'Optical Interconnects'!X14</f>
        <v>0</v>
      </c>
      <c r="Q247" s="308">
        <f>'Optical Interconnects'!Y13+'Optical Interconnects'!Y14</f>
        <v>0</v>
      </c>
      <c r="R247" s="323">
        <f>'Optical Interconnects'!Z13+'Optical Interconnects'!Z14</f>
        <v>0</v>
      </c>
      <c r="S247" s="1903">
        <f>'Optical Interconnects'!AA13+'Optical Interconnects'!AA14</f>
        <v>0</v>
      </c>
      <c r="T247" s="1993">
        <f>'Optical Interconnects'!AB13+'Optical Interconnects'!AB14</f>
        <v>0</v>
      </c>
      <c r="U247" s="1998">
        <f>'Optical Interconnects'!AC13+'Optical Interconnects'!AC14</f>
        <v>0</v>
      </c>
      <c r="V247" s="1995">
        <f>'Optical Interconnects'!AD13+'Optical Interconnects'!AD14</f>
        <v>0</v>
      </c>
      <c r="W247" s="1905">
        <f>('Optical Interconnects'!K45+'Optical Interconnects'!K46)/10^6</f>
        <v>4.8901960000000004</v>
      </c>
      <c r="X247" s="1910">
        <f>('Optical Interconnects'!L45+'Optical Interconnects'!L46)/10^6</f>
        <v>5.6713699999999996</v>
      </c>
      <c r="Y247" s="1910">
        <f>('Optical Interconnects'!M45+'Optical Interconnects'!M46)/10^6</f>
        <v>3.8750000000000004</v>
      </c>
      <c r="Z247" s="1907">
        <f>('Optical Interconnects'!N45+'Optical Interconnects'!N46)/10^6</f>
        <v>3.5670000000000002</v>
      </c>
      <c r="AA247" s="1905">
        <f>('Optical Interconnects'!O45+'Optical Interconnects'!O46)/10^6</f>
        <v>4.3251357487120812</v>
      </c>
      <c r="AB247" s="1910">
        <f>('Optical Interconnects'!P45+'Optical Interconnects'!P46)/10^6</f>
        <v>0</v>
      </c>
      <c r="AC247" s="1910">
        <f>('Optical Interconnects'!Q45+'Optical Interconnects'!Q46)/10^6</f>
        <v>0</v>
      </c>
      <c r="AD247" s="1907">
        <f>('Optical Interconnects'!R45+'Optical Interconnects'!R46)/10^6</f>
        <v>0</v>
      </c>
      <c r="AE247" s="1905">
        <f>('Optical Interconnects'!S45+'Optical Interconnects'!S46)/10^6</f>
        <v>0</v>
      </c>
      <c r="AF247" s="1910">
        <f>('Optical Interconnects'!T45+'Optical Interconnects'!T46)/10^6</f>
        <v>0</v>
      </c>
      <c r="AG247" s="1910">
        <f>('Optical Interconnects'!U45+'Optical Interconnects'!U46)/10^6</f>
        <v>0</v>
      </c>
      <c r="AH247" s="1907">
        <f>('Optical Interconnects'!V45+'Optical Interconnects'!V46)/10^6</f>
        <v>0</v>
      </c>
      <c r="AI247" s="1905">
        <f>('Optical Interconnects'!W45+'Optical Interconnects'!W46)/10^6</f>
        <v>0</v>
      </c>
      <c r="AJ247" s="1910">
        <f>('Optical Interconnects'!X45+'Optical Interconnects'!X46)/10^6</f>
        <v>0</v>
      </c>
      <c r="AK247" s="1910">
        <f>('Optical Interconnects'!Y45+'Optical Interconnects'!Y46)/10^6</f>
        <v>0</v>
      </c>
      <c r="AL247" s="1907">
        <f>('Optical Interconnects'!Z45+'Optical Interconnects'!Z46)/10^6</f>
        <v>0</v>
      </c>
      <c r="AM247" s="1915">
        <f>('Optical Interconnects'!AA45+'Optical Interconnects'!AA46)/10^6</f>
        <v>0</v>
      </c>
      <c r="AN247" s="2034">
        <f>('Optical Interconnects'!AB45+'Optical Interconnects'!AB46)/10^6</f>
        <v>0</v>
      </c>
      <c r="AO247" s="1910">
        <f>('Optical Interconnects'!AC45+'Optical Interconnects'!AC46)/10^6</f>
        <v>0</v>
      </c>
      <c r="AP247" s="1913">
        <f>('Optical Interconnects'!AD45+'Optical Interconnects'!AD46)/10^6</f>
        <v>0</v>
      </c>
    </row>
    <row r="248" spans="2:46" ht="13.2">
      <c r="B248" s="1249" t="s">
        <v>566</v>
      </c>
      <c r="C248" s="325">
        <f>'Optical Interconnects'!K15</f>
        <v>68806</v>
      </c>
      <c r="D248" s="87">
        <f>'Optical Interconnects'!L15</f>
        <v>96286</v>
      </c>
      <c r="E248" s="308">
        <f>'Optical Interconnects'!M15</f>
        <v>117000</v>
      </c>
      <c r="F248" s="323">
        <f>'Optical Interconnects'!N15</f>
        <v>171000</v>
      </c>
      <c r="G248" s="325">
        <f>'Optical Interconnects'!O15</f>
        <v>195900</v>
      </c>
      <c r="H248" s="87">
        <f>'Optical Interconnects'!P15</f>
        <v>0</v>
      </c>
      <c r="I248" s="308">
        <f>'Optical Interconnects'!Q15</f>
        <v>0</v>
      </c>
      <c r="J248" s="323">
        <f>'Optical Interconnects'!R15</f>
        <v>0</v>
      </c>
      <c r="K248" s="325">
        <f>'Optical Interconnects'!S15</f>
        <v>0</v>
      </c>
      <c r="L248" s="87">
        <f>'Optical Interconnects'!T15</f>
        <v>0</v>
      </c>
      <c r="M248" s="308">
        <f>'Optical Interconnects'!U15</f>
        <v>0</v>
      </c>
      <c r="N248" s="323">
        <f>'Optical Interconnects'!V15</f>
        <v>0</v>
      </c>
      <c r="O248" s="325">
        <f>'Optical Interconnects'!W15</f>
        <v>0</v>
      </c>
      <c r="P248" s="87">
        <f>'Optical Interconnects'!X15</f>
        <v>0</v>
      </c>
      <c r="Q248" s="308">
        <f>'Optical Interconnects'!Y15</f>
        <v>0</v>
      </c>
      <c r="R248" s="323">
        <f>'Optical Interconnects'!Z15</f>
        <v>0</v>
      </c>
      <c r="S248" s="1903">
        <f>'Optical Interconnects'!AA15</f>
        <v>0</v>
      </c>
      <c r="T248" s="1993">
        <f>'Optical Interconnects'!AB15</f>
        <v>0</v>
      </c>
      <c r="U248" s="1998">
        <f>'Optical Interconnects'!AC15</f>
        <v>0</v>
      </c>
      <c r="V248" s="1995">
        <f>'Optical Interconnects'!AD15</f>
        <v>0</v>
      </c>
      <c r="W248" s="1905">
        <f>'Optical Interconnects'!K47/10^6</f>
        <v>10.798568999999997</v>
      </c>
      <c r="X248" s="1910">
        <f>'Optical Interconnects'!L47/10^6</f>
        <v>14.263966999999999</v>
      </c>
      <c r="Y248" s="1910">
        <f>'Optical Interconnects'!M47/10^6</f>
        <v>13.58</v>
      </c>
      <c r="Z248" s="1907">
        <f>'Optical Interconnects'!N47/10^6</f>
        <v>17.04</v>
      </c>
      <c r="AA248" s="1905">
        <f>'Optical Interconnects'!O47/10^6</f>
        <v>19.344000000000001</v>
      </c>
      <c r="AB248" s="1910">
        <f>'Optical Interconnects'!P47/10^6</f>
        <v>0</v>
      </c>
      <c r="AC248" s="1910">
        <f>'Optical Interconnects'!Q47/10^6</f>
        <v>0</v>
      </c>
      <c r="AD248" s="1907">
        <f>'Optical Interconnects'!R47/10^6</f>
        <v>0</v>
      </c>
      <c r="AE248" s="1905">
        <f>'Optical Interconnects'!S47/10^6</f>
        <v>0</v>
      </c>
      <c r="AF248" s="1910">
        <f>'Optical Interconnects'!T47/10^6</f>
        <v>0</v>
      </c>
      <c r="AG248" s="1910">
        <f>'Optical Interconnects'!U47/10^6</f>
        <v>0</v>
      </c>
      <c r="AH248" s="1907">
        <f>'Optical Interconnects'!V47/10^6</f>
        <v>0</v>
      </c>
      <c r="AI248" s="1905">
        <f>'Optical Interconnects'!W47/10^6</f>
        <v>0</v>
      </c>
      <c r="AJ248" s="1910">
        <f>'Optical Interconnects'!X47/10^6</f>
        <v>0</v>
      </c>
      <c r="AK248" s="1910">
        <f>'Optical Interconnects'!Y47/10^6</f>
        <v>0</v>
      </c>
      <c r="AL248" s="1907">
        <f>'Optical Interconnects'!Z47/10^6</f>
        <v>0</v>
      </c>
      <c r="AM248" s="1915">
        <f>'Optical Interconnects'!AA47/10^6</f>
        <v>0</v>
      </c>
      <c r="AN248" s="2034">
        <f>'Optical Interconnects'!AB47/10^6</f>
        <v>0</v>
      </c>
      <c r="AO248" s="1910">
        <f>'Optical Interconnects'!AC47/10^6</f>
        <v>0</v>
      </c>
      <c r="AP248" s="1913">
        <f>'Optical Interconnects'!AD47/10^6</f>
        <v>0</v>
      </c>
    </row>
    <row r="249" spans="2:46" ht="13.2">
      <c r="B249" s="1249" t="s">
        <v>534</v>
      </c>
      <c r="C249" s="325">
        <f>'Optical Interconnects'!K16</f>
        <v>21337</v>
      </c>
      <c r="D249" s="87">
        <f>'Optical Interconnects'!L16</f>
        <v>25024</v>
      </c>
      <c r="E249" s="1687">
        <f>'Optical Interconnects'!M16</f>
        <v>27000</v>
      </c>
      <c r="F249" s="323">
        <f>'Optical Interconnects'!N16</f>
        <v>23000</v>
      </c>
      <c r="G249" s="325">
        <f>'Optical Interconnects'!O16</f>
        <v>35000</v>
      </c>
      <c r="H249" s="87">
        <f>'Optical Interconnects'!P16</f>
        <v>0</v>
      </c>
      <c r="I249" s="1687">
        <f>'Optical Interconnects'!Q16</f>
        <v>0</v>
      </c>
      <c r="J249" s="323">
        <f>'Optical Interconnects'!R16</f>
        <v>0</v>
      </c>
      <c r="K249" s="325">
        <f>'Optical Interconnects'!S16</f>
        <v>0</v>
      </c>
      <c r="L249" s="87">
        <f>'Optical Interconnects'!T16</f>
        <v>0</v>
      </c>
      <c r="M249" s="1687">
        <f>'Optical Interconnects'!U16</f>
        <v>0</v>
      </c>
      <c r="N249" s="323">
        <f>'Optical Interconnects'!V16</f>
        <v>0</v>
      </c>
      <c r="O249" s="325">
        <f>'Optical Interconnects'!W16</f>
        <v>0</v>
      </c>
      <c r="P249" s="87">
        <f>'Optical Interconnects'!X16</f>
        <v>0</v>
      </c>
      <c r="Q249" s="1687">
        <f>'Optical Interconnects'!Y16</f>
        <v>0</v>
      </c>
      <c r="R249" s="323">
        <f>'Optical Interconnects'!Z16</f>
        <v>0</v>
      </c>
      <c r="S249" s="1903">
        <f>'Optical Interconnects'!AA16</f>
        <v>0</v>
      </c>
      <c r="T249" s="1993">
        <f>'Optical Interconnects'!AB16</f>
        <v>0</v>
      </c>
      <c r="U249" s="1998">
        <f>'Optical Interconnects'!AC16</f>
        <v>0</v>
      </c>
      <c r="V249" s="1995">
        <f>'Optical Interconnects'!AD16</f>
        <v>0</v>
      </c>
      <c r="W249" s="1905">
        <f>'Optical Interconnects'!K48/10^6</f>
        <v>10.2685</v>
      </c>
      <c r="X249" s="1910">
        <f>'Optical Interconnects'!L48/10^6</f>
        <v>11.912000000000001</v>
      </c>
      <c r="Y249" s="1910">
        <f>'Optical Interconnects'!M48/10^6</f>
        <v>10.26</v>
      </c>
      <c r="Z249" s="1907">
        <f>'Optical Interconnects'!N48/10^6</f>
        <v>8.2799999999999994</v>
      </c>
      <c r="AA249" s="1905">
        <f>'Optical Interconnects'!O48/10^6</f>
        <v>10.6</v>
      </c>
      <c r="AB249" s="1910">
        <f>'Optical Interconnects'!P48/10^6</f>
        <v>0</v>
      </c>
      <c r="AC249" s="1910">
        <f>'Optical Interconnects'!Q48/10^6</f>
        <v>0</v>
      </c>
      <c r="AD249" s="1907">
        <f>'Optical Interconnects'!R48/10^6</f>
        <v>0</v>
      </c>
      <c r="AE249" s="1905">
        <f>'Optical Interconnects'!S48/10^6</f>
        <v>0</v>
      </c>
      <c r="AF249" s="1910">
        <f>'Optical Interconnects'!T48/10^6</f>
        <v>0</v>
      </c>
      <c r="AG249" s="1910">
        <f>'Optical Interconnects'!U48/10^6</f>
        <v>0</v>
      </c>
      <c r="AH249" s="1907">
        <f>'Optical Interconnects'!V48/10^6</f>
        <v>0</v>
      </c>
      <c r="AI249" s="1905">
        <f>'Optical Interconnects'!W48/10^6</f>
        <v>0</v>
      </c>
      <c r="AJ249" s="1910">
        <f>'Optical Interconnects'!X48/10^6</f>
        <v>0</v>
      </c>
      <c r="AK249" s="1910">
        <f>'Optical Interconnects'!Y48/10^6</f>
        <v>0</v>
      </c>
      <c r="AL249" s="1907">
        <f>'Optical Interconnects'!Z48/10^6</f>
        <v>0</v>
      </c>
      <c r="AM249" s="1915">
        <f>'Optical Interconnects'!AA48/10^6</f>
        <v>0</v>
      </c>
      <c r="AN249" s="2034">
        <f>'Optical Interconnects'!AB48/10^6</f>
        <v>0</v>
      </c>
      <c r="AO249" s="1910">
        <f>'Optical Interconnects'!AC48/10^6</f>
        <v>0</v>
      </c>
      <c r="AP249" s="1913">
        <f>'Optical Interconnects'!AD48/10^6</f>
        <v>0</v>
      </c>
    </row>
    <row r="250" spans="2:46" ht="13.2">
      <c r="B250" s="1249" t="s">
        <v>525</v>
      </c>
      <c r="C250" s="325">
        <f>'Optical Interconnects'!K17</f>
        <v>7394</v>
      </c>
      <c r="D250" s="87">
        <f>'Optical Interconnects'!L17</f>
        <v>9300</v>
      </c>
      <c r="E250" s="308">
        <f>'Optical Interconnects'!M17</f>
        <v>5900</v>
      </c>
      <c r="F250" s="323">
        <f>'Optical Interconnects'!N17</f>
        <v>8400</v>
      </c>
      <c r="G250" s="325">
        <f>'Optical Interconnects'!O17</f>
        <v>5900</v>
      </c>
      <c r="H250" s="87">
        <f>'Optical Interconnects'!P17</f>
        <v>0</v>
      </c>
      <c r="I250" s="308">
        <f>'Optical Interconnects'!Q17</f>
        <v>0</v>
      </c>
      <c r="J250" s="323">
        <f>'Optical Interconnects'!R17</f>
        <v>0</v>
      </c>
      <c r="K250" s="325">
        <f>'Optical Interconnects'!S17</f>
        <v>0</v>
      </c>
      <c r="L250" s="87">
        <f>'Optical Interconnects'!T17</f>
        <v>0</v>
      </c>
      <c r="M250" s="308">
        <f>'Optical Interconnects'!U17</f>
        <v>0</v>
      </c>
      <c r="N250" s="323">
        <f>'Optical Interconnects'!V17</f>
        <v>0</v>
      </c>
      <c r="O250" s="325">
        <f>'Optical Interconnects'!W17</f>
        <v>0</v>
      </c>
      <c r="P250" s="87">
        <f>'Optical Interconnects'!X17</f>
        <v>0</v>
      </c>
      <c r="Q250" s="308">
        <f>'Optical Interconnects'!Y17</f>
        <v>0</v>
      </c>
      <c r="R250" s="323">
        <f>'Optical Interconnects'!Z17</f>
        <v>0</v>
      </c>
      <c r="S250" s="1903">
        <f>'Optical Interconnects'!AA17</f>
        <v>0</v>
      </c>
      <c r="T250" s="1993">
        <f>'Optical Interconnects'!AB17</f>
        <v>0</v>
      </c>
      <c r="U250" s="1998">
        <f>'Optical Interconnects'!AC17</f>
        <v>0</v>
      </c>
      <c r="V250" s="1995">
        <f>'Optical Interconnects'!AD17</f>
        <v>0</v>
      </c>
      <c r="W250" s="1905">
        <f>'Optical Interconnects'!K49/10^6</f>
        <v>5.9820000000000002</v>
      </c>
      <c r="X250" s="1910">
        <f>'Optical Interconnects'!L49/10^6</f>
        <v>7.0500000000000007</v>
      </c>
      <c r="Y250" s="1910">
        <f>'Optical Interconnects'!M49/10^6</f>
        <v>4.38</v>
      </c>
      <c r="Z250" s="1907">
        <f>'Optical Interconnects'!N49/10^6</f>
        <v>3.26</v>
      </c>
      <c r="AA250" s="1905">
        <f>'Optical Interconnects'!O49/10^6</f>
        <v>2.54</v>
      </c>
      <c r="AB250" s="1910">
        <f>'Optical Interconnects'!P49/10^6</f>
        <v>0</v>
      </c>
      <c r="AC250" s="1910">
        <f>'Optical Interconnects'!Q49/10^6</f>
        <v>0</v>
      </c>
      <c r="AD250" s="1907">
        <f>'Optical Interconnects'!R49/10^6</f>
        <v>0</v>
      </c>
      <c r="AE250" s="1905">
        <f>'Optical Interconnects'!S49/10^6</f>
        <v>0</v>
      </c>
      <c r="AF250" s="1910">
        <f>'Optical Interconnects'!T49/10^6</f>
        <v>0</v>
      </c>
      <c r="AG250" s="1910">
        <f>'Optical Interconnects'!U49/10^6</f>
        <v>0</v>
      </c>
      <c r="AH250" s="1907">
        <f>'Optical Interconnects'!V49/10^6</f>
        <v>0</v>
      </c>
      <c r="AI250" s="1905">
        <f>'Optical Interconnects'!W49/10^6</f>
        <v>0</v>
      </c>
      <c r="AJ250" s="1910">
        <f>'Optical Interconnects'!X49/10^6</f>
        <v>0</v>
      </c>
      <c r="AK250" s="1910">
        <f>'Optical Interconnects'!Y49/10^6</f>
        <v>0</v>
      </c>
      <c r="AL250" s="1907">
        <f>'Optical Interconnects'!Z49/10^6</f>
        <v>0</v>
      </c>
      <c r="AM250" s="1915">
        <f>'Optical Interconnects'!AA49/10^6</f>
        <v>0</v>
      </c>
      <c r="AN250" s="2034">
        <f>'Optical Interconnects'!AB49/10^6</f>
        <v>0</v>
      </c>
      <c r="AO250" s="1910">
        <f>'Optical Interconnects'!AC49/10^6</f>
        <v>0</v>
      </c>
      <c r="AP250" s="1913">
        <f>'Optical Interconnects'!AD49/10^6</f>
        <v>0</v>
      </c>
    </row>
    <row r="251" spans="2:46" ht="13.2">
      <c r="B251" s="1247" t="s">
        <v>216</v>
      </c>
      <c r="C251" s="325">
        <f>'Optical Interconnects'!K18+'Optical Interconnects'!K19</f>
        <v>28709</v>
      </c>
      <c r="D251" s="87">
        <f>'Optical Interconnects'!L18+'Optical Interconnects'!L19</f>
        <v>40962</v>
      </c>
      <c r="E251" s="308">
        <f>'Optical Interconnects'!M18+'Optical Interconnects'!M19</f>
        <v>50000</v>
      </c>
      <c r="F251" s="323">
        <f>'Optical Interconnects'!N18+'Optical Interconnects'!N19</f>
        <v>61200</v>
      </c>
      <c r="G251" s="325">
        <f>'Optical Interconnects'!O18+'Optical Interconnects'!O19</f>
        <v>15000</v>
      </c>
      <c r="H251" s="87">
        <f>'Optical Interconnects'!P18+'Optical Interconnects'!P19</f>
        <v>0</v>
      </c>
      <c r="I251" s="308">
        <f>'Optical Interconnects'!Q18+'Optical Interconnects'!Q19</f>
        <v>0</v>
      </c>
      <c r="J251" s="323">
        <f>'Optical Interconnects'!R18+'Optical Interconnects'!R19</f>
        <v>0</v>
      </c>
      <c r="K251" s="325">
        <f>'Optical Interconnects'!S18+'Optical Interconnects'!S19</f>
        <v>0</v>
      </c>
      <c r="L251" s="87">
        <f>'Optical Interconnects'!T18+'Optical Interconnects'!T19</f>
        <v>0</v>
      </c>
      <c r="M251" s="308">
        <f>'Optical Interconnects'!U18+'Optical Interconnects'!U19</f>
        <v>0</v>
      </c>
      <c r="N251" s="323">
        <f>'Optical Interconnects'!V18+'Optical Interconnects'!V19</f>
        <v>0</v>
      </c>
      <c r="O251" s="325">
        <f>'Optical Interconnects'!W18+'Optical Interconnects'!W19</f>
        <v>0</v>
      </c>
      <c r="P251" s="87">
        <f>'Optical Interconnects'!X18+'Optical Interconnects'!X19</f>
        <v>0</v>
      </c>
      <c r="Q251" s="308">
        <f>'Optical Interconnects'!Y18+'Optical Interconnects'!Y19</f>
        <v>0</v>
      </c>
      <c r="R251" s="323">
        <f>'Optical Interconnects'!Z18+'Optical Interconnects'!Z19</f>
        <v>0</v>
      </c>
      <c r="S251" s="1904">
        <f>'Optical Interconnects'!AA18+'Optical Interconnects'!AA19</f>
        <v>0</v>
      </c>
      <c r="T251" s="1904">
        <f>'Optical Interconnects'!AB18+'Optical Interconnects'!AB19</f>
        <v>0</v>
      </c>
      <c r="U251" s="1687">
        <f>'Optical Interconnects'!AC18+'Optical Interconnects'!AC19</f>
        <v>0</v>
      </c>
      <c r="V251" s="1996">
        <f>'Optical Interconnects'!AD18+'Optical Interconnects'!AD19</f>
        <v>0</v>
      </c>
      <c r="W251" s="1905">
        <f>('Optical Interconnects'!K50+'Optical Interconnects'!K51)/10^6</f>
        <v>22.647038920000007</v>
      </c>
      <c r="X251" s="1910">
        <f>('Optical Interconnects'!L50+'Optical Interconnects'!L51)/10^6</f>
        <v>33.383194270000004</v>
      </c>
      <c r="Y251" s="1910">
        <f>('Optical Interconnects'!M50+'Optical Interconnects'!M51)/10^6</f>
        <v>39</v>
      </c>
      <c r="Z251" s="1907">
        <f>('Optical Interconnects'!N50+'Optical Interconnects'!N51)/10^6</f>
        <v>37.856000000000002</v>
      </c>
      <c r="AA251" s="1905">
        <f>('Optical Interconnects'!O50+'Optical Interconnects'!O51)/10^6</f>
        <v>7.49</v>
      </c>
      <c r="AB251" s="1910">
        <f>('Optical Interconnects'!P50+'Optical Interconnects'!P51)/10^6</f>
        <v>0</v>
      </c>
      <c r="AC251" s="1910">
        <f>('Optical Interconnects'!Q50+'Optical Interconnects'!Q51)/10^6</f>
        <v>0</v>
      </c>
      <c r="AD251" s="1907">
        <f>('Optical Interconnects'!R50+'Optical Interconnects'!R51)/10^6</f>
        <v>0</v>
      </c>
      <c r="AE251" s="1905">
        <f>('Optical Interconnects'!S50+'Optical Interconnects'!S51)/10^6</f>
        <v>0</v>
      </c>
      <c r="AF251" s="1910">
        <f>('Optical Interconnects'!T50+'Optical Interconnects'!T51)/10^6</f>
        <v>0</v>
      </c>
      <c r="AG251" s="1910">
        <f>('Optical Interconnects'!U50+'Optical Interconnects'!U51)/10^6</f>
        <v>0</v>
      </c>
      <c r="AH251" s="1907">
        <f>('Optical Interconnects'!V50+'Optical Interconnects'!V51)/10^6</f>
        <v>0</v>
      </c>
      <c r="AI251" s="1905">
        <f>('Optical Interconnects'!W50+'Optical Interconnects'!W51)/10^6</f>
        <v>0</v>
      </c>
      <c r="AJ251" s="1910">
        <f>('Optical Interconnects'!X50+'Optical Interconnects'!X51)/10^6</f>
        <v>0</v>
      </c>
      <c r="AK251" s="1910">
        <f>('Optical Interconnects'!Y50+'Optical Interconnects'!Y51)/10^6</f>
        <v>0</v>
      </c>
      <c r="AL251" s="1907">
        <f>('Optical Interconnects'!Z50+'Optical Interconnects'!Z51)/10^6</f>
        <v>0</v>
      </c>
      <c r="AM251" s="1915">
        <f>('Optical Interconnects'!AA50+'Optical Interconnects'!AA51)/10^6</f>
        <v>0</v>
      </c>
      <c r="AN251" s="2034">
        <f>('Optical Interconnects'!AB50+'Optical Interconnects'!AB51)/10^6</f>
        <v>0</v>
      </c>
      <c r="AO251" s="1910">
        <f>('Optical Interconnects'!AC50+'Optical Interconnects'!AC51)/10^6</f>
        <v>0</v>
      </c>
      <c r="AP251" s="1913">
        <f>('Optical Interconnects'!AD50+'Optical Interconnects'!AD51)/10^6</f>
        <v>0</v>
      </c>
    </row>
    <row r="252" spans="2:46" ht="13.2">
      <c r="B252" s="1245" t="s">
        <v>567</v>
      </c>
      <c r="C252" s="326">
        <f>SUM(C245:C251)</f>
        <v>1118900</v>
      </c>
      <c r="D252" s="309">
        <f>SUM(D245:D251)</f>
        <v>1242095</v>
      </c>
      <c r="E252" s="96">
        <f t="shared" ref="E252:AL252" si="75">SUM(E245:E251)</f>
        <v>1229000</v>
      </c>
      <c r="F252" s="324">
        <f t="shared" si="75"/>
        <v>1276400</v>
      </c>
      <c r="G252" s="326">
        <f t="shared" si="75"/>
        <v>1085442</v>
      </c>
      <c r="H252" s="309">
        <f t="shared" si="75"/>
        <v>0</v>
      </c>
      <c r="I252" s="96">
        <f t="shared" si="75"/>
        <v>0</v>
      </c>
      <c r="J252" s="324">
        <f>SUM(J245:J251)</f>
        <v>0</v>
      </c>
      <c r="K252" s="325">
        <f>SUM(K245:K251)</f>
        <v>0</v>
      </c>
      <c r="L252" s="87">
        <f t="shared" si="75"/>
        <v>0</v>
      </c>
      <c r="M252" s="96">
        <f t="shared" si="75"/>
        <v>0</v>
      </c>
      <c r="N252" s="324">
        <f t="shared" si="75"/>
        <v>0</v>
      </c>
      <c r="O252" s="325">
        <f t="shared" si="75"/>
        <v>0</v>
      </c>
      <c r="P252" s="87">
        <f t="shared" si="75"/>
        <v>0</v>
      </c>
      <c r="Q252" s="96">
        <f t="shared" si="75"/>
        <v>0</v>
      </c>
      <c r="R252" s="324">
        <f t="shared" si="75"/>
        <v>0</v>
      </c>
      <c r="S252" s="1903">
        <f t="shared" ref="S252:T252" si="76">SUM(S245:S251)</f>
        <v>0</v>
      </c>
      <c r="T252" s="1993">
        <f t="shared" si="76"/>
        <v>0</v>
      </c>
      <c r="U252" s="1998">
        <f t="shared" ref="U252:V252" si="77">SUM(U245:U251)</f>
        <v>0</v>
      </c>
      <c r="V252" s="1995">
        <f t="shared" si="77"/>
        <v>0</v>
      </c>
      <c r="W252" s="1906">
        <f t="shared" si="75"/>
        <v>75.344978740000016</v>
      </c>
      <c r="X252" s="1911">
        <f t="shared" si="75"/>
        <v>93.028698259999999</v>
      </c>
      <c r="Y252" s="1911">
        <f t="shared" si="75"/>
        <v>94.625</v>
      </c>
      <c r="Z252" s="1908">
        <f t="shared" si="75"/>
        <v>93.748000000000005</v>
      </c>
      <c r="AA252" s="1906">
        <f t="shared" si="75"/>
        <v>59.618707101490294</v>
      </c>
      <c r="AB252" s="1911">
        <f t="shared" si="75"/>
        <v>0</v>
      </c>
      <c r="AC252" s="1911">
        <f t="shared" si="75"/>
        <v>0</v>
      </c>
      <c r="AD252" s="1908">
        <f t="shared" si="75"/>
        <v>0</v>
      </c>
      <c r="AE252" s="1906">
        <f t="shared" si="75"/>
        <v>0</v>
      </c>
      <c r="AF252" s="1911">
        <f t="shared" si="75"/>
        <v>0</v>
      </c>
      <c r="AG252" s="1911">
        <f t="shared" si="75"/>
        <v>0</v>
      </c>
      <c r="AH252" s="1908">
        <f t="shared" si="75"/>
        <v>0</v>
      </c>
      <c r="AI252" s="1906">
        <f t="shared" si="75"/>
        <v>0</v>
      </c>
      <c r="AJ252" s="1911">
        <f t="shared" si="75"/>
        <v>0</v>
      </c>
      <c r="AK252" s="1911">
        <f t="shared" si="75"/>
        <v>0</v>
      </c>
      <c r="AL252" s="1908">
        <f t="shared" si="75"/>
        <v>0</v>
      </c>
      <c r="AM252" s="1837">
        <f t="shared" ref="AM252:AN252" si="78">SUM(AM245:AM251)</f>
        <v>0</v>
      </c>
      <c r="AN252" s="2035">
        <f t="shared" si="78"/>
        <v>0</v>
      </c>
      <c r="AO252" s="1911">
        <f t="shared" ref="AO252:AP252" si="79">SUM(AO245:AO251)</f>
        <v>0</v>
      </c>
      <c r="AP252" s="1908">
        <f t="shared" si="79"/>
        <v>0</v>
      </c>
    </row>
    <row r="253" spans="2:46" ht="13.2">
      <c r="C253" s="909"/>
      <c r="D253" s="909"/>
      <c r="E253" s="909"/>
      <c r="F253" s="909"/>
      <c r="G253" s="909"/>
      <c r="H253" s="909"/>
      <c r="I253" s="909"/>
      <c r="J253" s="909"/>
      <c r="K253" s="909"/>
      <c r="L253" s="909"/>
      <c r="M253" s="909"/>
      <c r="N253" s="909"/>
      <c r="O253" s="909"/>
      <c r="P253" s="909"/>
      <c r="Q253" s="909"/>
      <c r="R253" s="909"/>
      <c r="S253" s="909"/>
      <c r="T253" s="909"/>
      <c r="U253" s="909"/>
      <c r="V253" s="909"/>
      <c r="W253" s="45"/>
      <c r="X253" s="45"/>
      <c r="Y253" s="45"/>
      <c r="Z253" s="45"/>
      <c r="AA253" s="45"/>
      <c r="AB253" s="45"/>
      <c r="AC253" s="45"/>
      <c r="AD253" s="45"/>
      <c r="AE253" s="45"/>
      <c r="AF253" s="45"/>
      <c r="AG253" s="45"/>
      <c r="AH253" s="45"/>
      <c r="AI253" s="45"/>
      <c r="AJ253" s="45"/>
      <c r="AK253" s="45"/>
      <c r="AL253" s="45"/>
      <c r="AM253" s="45"/>
      <c r="AN253" s="45"/>
      <c r="AO253" s="45"/>
      <c r="AP253" s="45"/>
    </row>
    <row r="255" spans="2:46" ht="17.399999999999999">
      <c r="B255" s="1237" t="s">
        <v>528</v>
      </c>
    </row>
    <row r="256" spans="2:46">
      <c r="B256" s="63" t="s">
        <v>350</v>
      </c>
    </row>
    <row r="281" spans="2:46" ht="16.2" thickBot="1">
      <c r="B281" s="479" t="s">
        <v>351</v>
      </c>
      <c r="G281" s="1" t="s">
        <v>351</v>
      </c>
      <c r="I281" s="30"/>
      <c r="J281" s="13"/>
      <c r="L281" s="13"/>
      <c r="M281" s="30"/>
      <c r="N281" s="13"/>
      <c r="O281" s="1" t="str">
        <f>G281</f>
        <v>Wireless Fronthaul</v>
      </c>
      <c r="P281" s="13"/>
      <c r="Q281" s="30"/>
      <c r="R281" s="13"/>
      <c r="S281" s="13"/>
      <c r="T281" s="13"/>
      <c r="U281" s="13"/>
      <c r="V281" s="13"/>
      <c r="W281" s="25" t="str">
        <f>$B$281</f>
        <v>Wireless Fronthaul</v>
      </c>
      <c r="AC281" s="30"/>
      <c r="AD281" s="13"/>
      <c r="AE281" s="1" t="s">
        <v>351</v>
      </c>
      <c r="AF281" s="13"/>
      <c r="AG281" s="30"/>
      <c r="AH281" s="13"/>
      <c r="AI281" s="1"/>
      <c r="AJ281" s="13"/>
      <c r="AK281" s="30"/>
      <c r="AL281" s="13"/>
      <c r="AM281" s="13"/>
      <c r="AN281" s="13"/>
      <c r="AO281" s="13"/>
      <c r="AR281" s="2217"/>
      <c r="AS281" s="2217"/>
      <c r="AT281" s="2217"/>
    </row>
    <row r="282" spans="2:46" ht="13.5" customHeight="1" thickBot="1">
      <c r="B282" s="2222" t="s">
        <v>352</v>
      </c>
      <c r="C282" s="379"/>
      <c r="D282" s="379"/>
      <c r="E282" s="379"/>
      <c r="F282" s="379"/>
      <c r="G282" s="379" t="s">
        <v>164</v>
      </c>
      <c r="H282" s="379"/>
      <c r="I282" s="379"/>
      <c r="J282" s="379"/>
      <c r="K282" s="379"/>
      <c r="L282" s="379"/>
      <c r="M282" s="379"/>
      <c r="N282" s="379"/>
      <c r="O282" s="379" t="str">
        <f>G282</f>
        <v>Shipments: Actual Data</v>
      </c>
      <c r="P282" s="379"/>
      <c r="Q282" s="379"/>
      <c r="R282" s="379"/>
      <c r="S282" s="379"/>
      <c r="T282" s="1964"/>
      <c r="U282" s="2225" t="s">
        <v>369</v>
      </c>
      <c r="V282" s="2226"/>
      <c r="W282" s="379"/>
      <c r="X282" s="379"/>
      <c r="Y282" s="379"/>
      <c r="Z282" s="379"/>
      <c r="AA282" s="379" t="s">
        <v>297</v>
      </c>
      <c r="AB282" s="379"/>
      <c r="AC282" s="379"/>
      <c r="AD282" s="379"/>
      <c r="AE282" s="379"/>
      <c r="AF282" s="379"/>
      <c r="AG282" s="379"/>
      <c r="AH282" s="379"/>
      <c r="AI282" s="379" t="s">
        <v>297</v>
      </c>
      <c r="AJ282" s="379"/>
      <c r="AK282" s="379"/>
      <c r="AL282" s="379"/>
      <c r="AM282" s="379"/>
      <c r="AN282" s="1964"/>
      <c r="AO282" s="2225" t="s">
        <v>369</v>
      </c>
      <c r="AP282" s="2226"/>
      <c r="AR282" s="958"/>
      <c r="AS282" s="958"/>
    </row>
    <row r="283" spans="2:46" ht="16.2" thickBot="1">
      <c r="B283" s="2222"/>
      <c r="C283" s="276" t="str">
        <f>C$68</f>
        <v>1Q 19</v>
      </c>
      <c r="D283" s="245" t="str">
        <f>D$68</f>
        <v>2Q 19</v>
      </c>
      <c r="E283" s="245" t="s">
        <v>110</v>
      </c>
      <c r="F283" s="277" t="s">
        <v>111</v>
      </c>
      <c r="G283" s="276" t="s">
        <v>112</v>
      </c>
      <c r="H283" s="245" t="s">
        <v>113</v>
      </c>
      <c r="I283" s="245" t="s">
        <v>114</v>
      </c>
      <c r="J283" s="277" t="s">
        <v>115</v>
      </c>
      <c r="K283" s="276" t="str">
        <f>K37</f>
        <v>1Q 21</v>
      </c>
      <c r="L283" s="245" t="str">
        <f>L37</f>
        <v>2Q21</v>
      </c>
      <c r="M283" s="245" t="s">
        <v>465</v>
      </c>
      <c r="N283" s="277" t="s">
        <v>466</v>
      </c>
      <c r="O283" s="1392" t="s">
        <v>467</v>
      </c>
      <c r="P283" s="245" t="s">
        <v>468</v>
      </c>
      <c r="Q283" s="245" t="str">
        <f t="shared" ref="Q283:R283" si="80">Q37</f>
        <v>3Q 22</v>
      </c>
      <c r="R283" s="277" t="str">
        <f t="shared" si="80"/>
        <v>4Q 22</v>
      </c>
      <c r="S283" s="1392" t="s">
        <v>568</v>
      </c>
      <c r="T283" s="1965" t="s">
        <v>594</v>
      </c>
      <c r="U283" s="1975" t="s">
        <v>621</v>
      </c>
      <c r="V283" s="1974" t="s">
        <v>622</v>
      </c>
      <c r="W283" s="276" t="str">
        <f t="shared" ref="W283:X283" si="81">W$68</f>
        <v>1Q 19</v>
      </c>
      <c r="X283" s="245" t="str">
        <f t="shared" si="81"/>
        <v>2Q 19</v>
      </c>
      <c r="Y283" s="245" t="s">
        <v>110</v>
      </c>
      <c r="Z283" s="277" t="s">
        <v>111</v>
      </c>
      <c r="AA283" s="276" t="s">
        <v>112</v>
      </c>
      <c r="AB283" s="245" t="s">
        <v>113</v>
      </c>
      <c r="AC283" s="245" t="s">
        <v>114</v>
      </c>
      <c r="AD283" s="277" t="s">
        <v>115</v>
      </c>
      <c r="AE283" s="276" t="str">
        <f>K283</f>
        <v>1Q 21</v>
      </c>
      <c r="AF283" s="245" t="str">
        <f>L283</f>
        <v>2Q21</v>
      </c>
      <c r="AG283" s="245" t="str">
        <f>M283</f>
        <v>3Q 21</v>
      </c>
      <c r="AH283" s="277" t="str">
        <f>N283</f>
        <v>4Q 21</v>
      </c>
      <c r="AI283" s="276" t="str">
        <f>AI37</f>
        <v>1Q 22</v>
      </c>
      <c r="AJ283" s="245" t="str">
        <f>AJ37</f>
        <v>2Q 22</v>
      </c>
      <c r="AK283" s="245" t="str">
        <f t="shared" ref="AK283:AL283" si="82">AK37</f>
        <v>3Q 22</v>
      </c>
      <c r="AL283" s="277" t="str">
        <f t="shared" si="82"/>
        <v>4Q 22</v>
      </c>
      <c r="AM283" s="1392" t="s">
        <v>568</v>
      </c>
      <c r="AN283" s="1965" t="s">
        <v>594</v>
      </c>
      <c r="AO283" s="1975" t="s">
        <v>621</v>
      </c>
      <c r="AP283" s="1974" t="s">
        <v>622</v>
      </c>
      <c r="AR283" s="963"/>
      <c r="AS283" s="963"/>
    </row>
    <row r="284" spans="2:46">
      <c r="B284" s="1250" t="s">
        <v>381</v>
      </c>
      <c r="C284" s="89">
        <f>Wireless!L10+Wireless!L11</f>
        <v>0</v>
      </c>
      <c r="D284" s="89">
        <f>Wireless!M10+Wireless!M11</f>
        <v>0</v>
      </c>
      <c r="E284" s="308">
        <f>Wireless!N10+Wireless!N11</f>
        <v>0</v>
      </c>
      <c r="F284" s="323">
        <f>Wireless!O10+Wireless!O11</f>
        <v>0</v>
      </c>
      <c r="G284" s="89">
        <f>Wireless!P10+Wireless!P11</f>
        <v>0</v>
      </c>
      <c r="H284" s="89">
        <f>Wireless!Q10+Wireless!Q11</f>
        <v>0</v>
      </c>
      <c r="I284" s="308">
        <f>Wireless!R10+Wireless!R11</f>
        <v>0</v>
      </c>
      <c r="J284" s="323">
        <f>Wireless!S10+Wireless!S11</f>
        <v>0</v>
      </c>
      <c r="K284" s="89">
        <f>Wireless!T10+Wireless!T11</f>
        <v>0</v>
      </c>
      <c r="L284" s="89">
        <f>Wireless!U10+Wireless!U11</f>
        <v>0</v>
      </c>
      <c r="M284" s="308">
        <f>Wireless!V10+Wireless!V11</f>
        <v>0</v>
      </c>
      <c r="N284" s="323">
        <f>Wireless!W10+Wireless!W11</f>
        <v>0</v>
      </c>
      <c r="O284" s="298">
        <f>Wireless!X10+Wireless!X11</f>
        <v>0</v>
      </c>
      <c r="P284" s="89">
        <f>Wireless!Y10+Wireless!Y11</f>
        <v>0</v>
      </c>
      <c r="Q284" s="308">
        <f>Wireless!Z10+Wireless!Z11</f>
        <v>0</v>
      </c>
      <c r="R284" s="323">
        <f>Wireless!AA10+Wireless!AA11</f>
        <v>0</v>
      </c>
      <c r="S284" s="1394">
        <f>Wireless!AB10+Wireless!AB11</f>
        <v>0</v>
      </c>
      <c r="T284" s="1385">
        <f>Wireless!AC10+Wireless!AC11</f>
        <v>0</v>
      </c>
      <c r="U284" s="429">
        <f>Wireless!AD10+Wireless!AD11</f>
        <v>0</v>
      </c>
      <c r="V284" s="1385">
        <f>Wireless!AE10+Wireless!AE11</f>
        <v>0</v>
      </c>
      <c r="W284" s="481">
        <f>(Wireless!L69+Wireless!L70+Wireless!L71)/10^6</f>
        <v>0</v>
      </c>
      <c r="X284" s="90">
        <f>(Wireless!M69+Wireless!M70+Wireless!M71)/10^6</f>
        <v>0</v>
      </c>
      <c r="Y284" s="433">
        <f>(Wireless!N69+Wireless!N70+Wireless!N71)/10^6</f>
        <v>0</v>
      </c>
      <c r="Z284" s="434">
        <f>(Wireless!O69+Wireless!O70+Wireless!O71)/10^6</f>
        <v>0</v>
      </c>
      <c r="AA284" s="481">
        <f>(Wireless!P69+Wireless!P70+Wireless!P71)/10^6</f>
        <v>0</v>
      </c>
      <c r="AB284" s="90">
        <f>(Wireless!Q69+Wireless!Q70+Wireless!Q71)/10^6</f>
        <v>0</v>
      </c>
      <c r="AC284" s="433">
        <f>(Wireless!R69+Wireless!R70+Wireless!R71)/10^6</f>
        <v>0</v>
      </c>
      <c r="AD284" s="434">
        <f>(Wireless!S69+Wireless!S70+Wireless!S71)/10^6</f>
        <v>0</v>
      </c>
      <c r="AE284" s="481">
        <f>(Wireless!T69+Wireless!T70+Wireless!T71)/10^6</f>
        <v>0</v>
      </c>
      <c r="AF284" s="90">
        <f>(Wireless!U69+Wireless!U70+Wireless!U71)/10^6</f>
        <v>0</v>
      </c>
      <c r="AG284" s="433">
        <f>(Wireless!V69+Wireless!V70+Wireless!V71)/10^6</f>
        <v>0</v>
      </c>
      <c r="AH284" s="434">
        <f>(Wireless!W69+Wireless!W70+Wireless!W71)/10^6</f>
        <v>0</v>
      </c>
      <c r="AI284" s="481">
        <f>(Wireless!X69+Wireless!X70+Wireless!X71)/10^6</f>
        <v>0</v>
      </c>
      <c r="AJ284" s="90">
        <f>(Wireless!Y69+Wireless!Y70+Wireless!Y71)/10^6</f>
        <v>0</v>
      </c>
      <c r="AK284" s="433">
        <f>(Wireless!Z69+Wireless!Z70+Wireless!Z71)/10^6</f>
        <v>0</v>
      </c>
      <c r="AL284" s="434">
        <f>(Wireless!AA69+Wireless!AA70+Wireless!AA71)/10^6</f>
        <v>0</v>
      </c>
      <c r="AM284" s="481">
        <f>(Wireless!AB69+Wireless!AB70+Wireless!AB71)/10^6</f>
        <v>0</v>
      </c>
      <c r="AN284" s="2036">
        <f>(Wireless!AC69+Wireless!AC70+Wireless!AC71)/10^6</f>
        <v>0</v>
      </c>
      <c r="AO284" s="433">
        <f>(Wireless!AD69+Wireless!AD70+Wireless!AD71)/10^6</f>
        <v>0</v>
      </c>
      <c r="AP284" s="2042">
        <f>(Wireless!AE69+Wireless!AE70+Wireless!AE71)/10^6</f>
        <v>0</v>
      </c>
      <c r="AR284" s="959"/>
      <c r="AS284" s="960"/>
    </row>
    <row r="285" spans="2:46">
      <c r="B285" s="1245" t="s">
        <v>382</v>
      </c>
      <c r="C285" s="89">
        <f>SUM(Wireless!L12:L14)</f>
        <v>59437</v>
      </c>
      <c r="D285" s="89">
        <f>SUM(Wireless!M12:M14)</f>
        <v>59814</v>
      </c>
      <c r="E285" s="308">
        <f>SUM(Wireless!N12:N14)</f>
        <v>67166</v>
      </c>
      <c r="F285" s="323">
        <f>SUM(Wireless!O12:O14)</f>
        <v>78425</v>
      </c>
      <c r="G285" s="89">
        <f>SUM(Wireless!P12:P14)</f>
        <v>32590</v>
      </c>
      <c r="H285" s="89">
        <f>SUM(Wireless!Q12:Q14)</f>
        <v>0</v>
      </c>
      <c r="I285" s="308">
        <f>SUM(Wireless!R12:R14)</f>
        <v>0</v>
      </c>
      <c r="J285" s="323">
        <f>SUM(Wireless!S12:S14)</f>
        <v>0</v>
      </c>
      <c r="K285" s="89">
        <f>SUM(Wireless!T12:T14)</f>
        <v>0</v>
      </c>
      <c r="L285" s="89">
        <f>SUM(Wireless!U12:U14)</f>
        <v>0</v>
      </c>
      <c r="M285" s="308">
        <f>SUM(Wireless!V12:V14)</f>
        <v>0</v>
      </c>
      <c r="N285" s="323">
        <f>SUM(Wireless!W12:W14)</f>
        <v>0</v>
      </c>
      <c r="O285" s="308">
        <f>SUM(Wireless!X12:X14)</f>
        <v>0</v>
      </c>
      <c r="P285" s="89">
        <f>SUM(Wireless!Y12:Y14)</f>
        <v>0</v>
      </c>
      <c r="Q285" s="308">
        <f>SUM(Wireless!Z12:Z14)</f>
        <v>0</v>
      </c>
      <c r="R285" s="323">
        <f>SUM(Wireless!AA12:AA14)</f>
        <v>0</v>
      </c>
      <c r="S285" s="1395">
        <f>SUM(Wireless!AB12:AB14)</f>
        <v>0</v>
      </c>
      <c r="T285" s="1386">
        <f>SUM(Wireless!AC12:AC14)</f>
        <v>0</v>
      </c>
      <c r="U285" s="1687">
        <f>SUM(Wireless!AD12:AD14)</f>
        <v>0</v>
      </c>
      <c r="V285" s="1386">
        <f>SUM(Wireless!AE12:AE14)</f>
        <v>0</v>
      </c>
      <c r="W285" s="481">
        <f>SUM(Wireless!L72:L74)/10^6</f>
        <v>1.0444249999999999</v>
      </c>
      <c r="X285" s="90">
        <f>SUM(Wireless!M72:M74)/10^6</f>
        <v>0.99203600000000014</v>
      </c>
      <c r="Y285" s="90">
        <f>SUM(Wireless!N72:N74)/10^6</f>
        <v>1.041647</v>
      </c>
      <c r="Z285" s="321">
        <f>SUM(Wireless!O72:O74)/10^6</f>
        <v>1.192124</v>
      </c>
      <c r="AA285" s="481">
        <f>SUM(Wireless!P72:P74)/10^6</f>
        <v>0.46661999999999998</v>
      </c>
      <c r="AB285" s="90">
        <f>SUM(Wireless!Q72:Q74)/10^6</f>
        <v>0</v>
      </c>
      <c r="AC285" s="90">
        <f>SUM(Wireless!R72:R74)/10^6</f>
        <v>0</v>
      </c>
      <c r="AD285" s="321">
        <f>SUM(Wireless!S72:S74)/10^6</f>
        <v>0</v>
      </c>
      <c r="AE285" s="481">
        <f>SUM(Wireless!T72:T74)/10^6</f>
        <v>0</v>
      </c>
      <c r="AF285" s="90">
        <f>SUM(Wireless!U72:U74)/10^6</f>
        <v>0</v>
      </c>
      <c r="AG285" s="90">
        <f>SUM(Wireless!V72:V74)/10^6</f>
        <v>0</v>
      </c>
      <c r="AH285" s="321">
        <f>SUM(Wireless!W72:W74)/10^6</f>
        <v>0</v>
      </c>
      <c r="AI285" s="481">
        <f>SUM(Wireless!X72:X74)/10^6</f>
        <v>0</v>
      </c>
      <c r="AJ285" s="90">
        <f>SUM(Wireless!Y72:Y74)/10^6</f>
        <v>0</v>
      </c>
      <c r="AK285" s="90">
        <f>SUM(Wireless!Z72:Z74)/10^6</f>
        <v>0</v>
      </c>
      <c r="AL285" s="321">
        <f>SUM(Wireless!AA72:AA74)/10^6</f>
        <v>0</v>
      </c>
      <c r="AM285" s="481">
        <f>SUM(Wireless!AB72:AB74)/10^6</f>
        <v>0</v>
      </c>
      <c r="AN285" s="2037">
        <f>SUM(Wireless!AC72:AC74)/10^6</f>
        <v>0</v>
      </c>
      <c r="AO285" s="2048">
        <f>SUM(Wireless!AD72:AD74)/10^6</f>
        <v>0</v>
      </c>
      <c r="AP285" s="2043">
        <f>SUM(Wireless!AE72:AE74)/10^6</f>
        <v>0</v>
      </c>
      <c r="AR285" s="961"/>
      <c r="AS285" s="962"/>
    </row>
    <row r="286" spans="2:46" ht="13.2">
      <c r="B286" s="1245" t="s">
        <v>383</v>
      </c>
      <c r="C286" s="88">
        <f>SUM(Wireless!L15:L17)</f>
        <v>1832595</v>
      </c>
      <c r="D286" s="309">
        <f>SUM(Wireless!M15:M17)</f>
        <v>1788161</v>
      </c>
      <c r="E286" s="96">
        <f>SUM(Wireless!N15:N17)</f>
        <v>1539136</v>
      </c>
      <c r="F286" s="324">
        <f>SUM(Wireless!O15:O17)</f>
        <v>1454390</v>
      </c>
      <c r="G286" s="88">
        <f>SUM(Wireless!P15:P17)</f>
        <v>657384</v>
      </c>
      <c r="H286" s="309">
        <f>SUM(Wireless!Q15:Q17)</f>
        <v>0</v>
      </c>
      <c r="I286" s="96">
        <f>SUM(Wireless!R15:R17)</f>
        <v>0</v>
      </c>
      <c r="J286" s="324">
        <f>SUM(Wireless!S15:S17)</f>
        <v>0</v>
      </c>
      <c r="K286" s="88">
        <f>SUM(Wireless!T15:T17)</f>
        <v>0</v>
      </c>
      <c r="L286" s="309">
        <f>SUM(Wireless!U15:U17)</f>
        <v>0</v>
      </c>
      <c r="M286" s="96">
        <f>SUM(Wireless!V15:V17)</f>
        <v>0</v>
      </c>
      <c r="N286" s="324">
        <f>SUM(Wireless!W15:W17)</f>
        <v>0</v>
      </c>
      <c r="O286" s="308">
        <f>SUM(Wireless!X15:X17)</f>
        <v>0</v>
      </c>
      <c r="P286" s="309">
        <f>SUM(Wireless!Y15:Y17)</f>
        <v>0</v>
      </c>
      <c r="Q286" s="96">
        <f>SUM(Wireless!Z15:Z17)</f>
        <v>0</v>
      </c>
      <c r="R286" s="324">
        <f>SUM(Wireless!AA15:AA17)</f>
        <v>0</v>
      </c>
      <c r="S286" s="1395">
        <f>SUM(Wireless!AB15:AB17)</f>
        <v>0</v>
      </c>
      <c r="T286" s="1386">
        <f>SUM(Wireless!AC15:AC17)</f>
        <v>0</v>
      </c>
      <c r="U286" s="1687">
        <f>SUM(Wireless!AD15:AD17)</f>
        <v>0</v>
      </c>
      <c r="V286" s="1386">
        <f>SUM(Wireless!AE15:AE17)</f>
        <v>0</v>
      </c>
      <c r="W286" s="482">
        <f>SUM(Wireless!L75:L77)/10^6</f>
        <v>21.336560357142865</v>
      </c>
      <c r="X286" s="310">
        <f>SUM(Wireless!M75:M77)/10^6</f>
        <v>21.312171142857146</v>
      </c>
      <c r="Y286" s="310">
        <f>SUM(Wireless!N75:N77)/10^6</f>
        <v>13.317504</v>
      </c>
      <c r="Z286" s="322">
        <f>SUM(Wireless!O75:O77)/10^6</f>
        <v>12.771288999999999</v>
      </c>
      <c r="AA286" s="482">
        <f>SUM(Wireless!P75:P77)/10^6</f>
        <v>5.4301861883691531</v>
      </c>
      <c r="AB286" s="310">
        <f>SUM(Wireless!Q75:Q77)/10^6</f>
        <v>0</v>
      </c>
      <c r="AC286" s="310">
        <f>SUM(Wireless!R75:R77)/10^6</f>
        <v>0</v>
      </c>
      <c r="AD286" s="322">
        <f>SUM(Wireless!S75:S77)/10^6</f>
        <v>0</v>
      </c>
      <c r="AE286" s="482">
        <f>SUM(Wireless!T75:T77)/10^6</f>
        <v>0</v>
      </c>
      <c r="AF286" s="310">
        <f>SUM(Wireless!U75:U77)/10^6</f>
        <v>0</v>
      </c>
      <c r="AG286" s="310">
        <f>SUM(Wireless!V75:V77)/10^6</f>
        <v>0</v>
      </c>
      <c r="AH286" s="322">
        <f>SUM(Wireless!W75:W77)/10^6</f>
        <v>0</v>
      </c>
      <c r="AI286" s="482">
        <f>SUM(Wireless!X75:X77)/10^6</f>
        <v>0</v>
      </c>
      <c r="AJ286" s="310">
        <f>SUM(Wireless!Y75:Y77)/10^6</f>
        <v>0</v>
      </c>
      <c r="AK286" s="310">
        <f>SUM(Wireless!Z75:Z77)/10^6</f>
        <v>0</v>
      </c>
      <c r="AL286" s="322">
        <f>SUM(Wireless!AA75:AA77)/10^6</f>
        <v>0</v>
      </c>
      <c r="AM286" s="482">
        <f>SUM(Wireless!AB75:AB77)/10^6</f>
        <v>0</v>
      </c>
      <c r="AN286" s="2038">
        <f>SUM(Wireless!AC75:AC77)/10^6</f>
        <v>0</v>
      </c>
      <c r="AO286" s="2049">
        <f>SUM(Wireless!AD75:AD77)/10^6</f>
        <v>0</v>
      </c>
      <c r="AP286" s="2044">
        <f>SUM(Wireless!AE75:AE77)/10^6</f>
        <v>0</v>
      </c>
    </row>
    <row r="287" spans="2:46" ht="13.2">
      <c r="B287" s="1245" t="s">
        <v>384</v>
      </c>
      <c r="C287" s="88">
        <f>SUM(Wireless!L18:L20)</f>
        <v>4845780</v>
      </c>
      <c r="D287" s="309">
        <f>SUM(Wireless!M18:M20)</f>
        <v>5752090</v>
      </c>
      <c r="E287" s="96">
        <f>SUM(Wireless!N18:N20)</f>
        <v>5089641</v>
      </c>
      <c r="F287" s="324">
        <f>SUM(Wireless!O18:O20)</f>
        <v>4527982</v>
      </c>
      <c r="G287" s="88">
        <f>SUM(Wireless!P18:P20)</f>
        <v>3229053</v>
      </c>
      <c r="H287" s="309">
        <f>SUM(Wireless!Q18:Q20)</f>
        <v>0</v>
      </c>
      <c r="I287" s="96">
        <f>SUM(Wireless!R18:R20)</f>
        <v>0</v>
      </c>
      <c r="J287" s="324">
        <f>SUM(Wireless!S18:S20)</f>
        <v>0</v>
      </c>
      <c r="K287" s="88">
        <f>SUM(Wireless!T18:T20)</f>
        <v>0</v>
      </c>
      <c r="L287" s="309">
        <f>SUM(Wireless!U18:U20)</f>
        <v>0</v>
      </c>
      <c r="M287" s="96">
        <f>SUM(Wireless!V18:V20)</f>
        <v>0</v>
      </c>
      <c r="N287" s="324">
        <f>SUM(Wireless!W18:W20)</f>
        <v>0</v>
      </c>
      <c r="O287" s="96">
        <f>SUM(Wireless!X18:X20)</f>
        <v>0</v>
      </c>
      <c r="P287" s="309">
        <f>SUM(Wireless!Y18:Y20)</f>
        <v>0</v>
      </c>
      <c r="Q287" s="96">
        <f>SUM(Wireless!Z18:Z20)</f>
        <v>0</v>
      </c>
      <c r="R287" s="324">
        <f>SUM(Wireless!AA18:AA20)</f>
        <v>0</v>
      </c>
      <c r="S287" s="496">
        <f>SUM(Wireless!AB18:AB20)</f>
        <v>0</v>
      </c>
      <c r="T287" s="1387">
        <f>SUM(Wireless!AC18:AC20)</f>
        <v>0</v>
      </c>
      <c r="U287" s="1323">
        <f>SUM(Wireless!AD18:AD20)</f>
        <v>0</v>
      </c>
      <c r="V287" s="1387">
        <f>SUM(Wireless!AE18:AE20)</f>
        <v>0</v>
      </c>
      <c r="W287" s="483">
        <f>SUM(Wireless!L78:L80)/10^6</f>
        <v>59.1238580055943</v>
      </c>
      <c r="X287" s="311">
        <f>SUM(Wireless!M78:M80)/10^6</f>
        <v>67.020597789103107</v>
      </c>
      <c r="Y287" s="311">
        <f>SUM(Wireless!N78:N80)/10^6</f>
        <v>56.455486269999994</v>
      </c>
      <c r="Z287" s="327">
        <f>SUM(Wireless!O78:O80)/10^6</f>
        <v>48.264940600000003</v>
      </c>
      <c r="AA287" s="483">
        <f>SUM(Wireless!P78:P80)/10^6</f>
        <v>30.305115892541078</v>
      </c>
      <c r="AB287" s="311">
        <f>SUM(Wireless!Q78:Q80)/10^6</f>
        <v>0</v>
      </c>
      <c r="AC287" s="311">
        <f>SUM(Wireless!R78:R80)/10^6</f>
        <v>0</v>
      </c>
      <c r="AD287" s="327">
        <f>SUM(Wireless!S78:S80)/10^6</f>
        <v>0</v>
      </c>
      <c r="AE287" s="483">
        <f>SUM(Wireless!T78:T80)/10^6</f>
        <v>0</v>
      </c>
      <c r="AF287" s="311">
        <f>SUM(Wireless!U78:U80)/10^6</f>
        <v>0</v>
      </c>
      <c r="AG287" s="311">
        <f>SUM(Wireless!V78:V80)/10^6</f>
        <v>0</v>
      </c>
      <c r="AH287" s="327">
        <f>SUM(Wireless!W78:W80)/10^6</f>
        <v>0</v>
      </c>
      <c r="AI287" s="483">
        <f>SUM(Wireless!X78:X80)/10^6</f>
        <v>0</v>
      </c>
      <c r="AJ287" s="311">
        <f>SUM(Wireless!Y78:Y80)/10^6</f>
        <v>0</v>
      </c>
      <c r="AK287" s="311">
        <f>SUM(Wireless!Z78:Z80)/10^6</f>
        <v>0</v>
      </c>
      <c r="AL287" s="327">
        <f>SUM(Wireless!AA78:AA80)/10^6</f>
        <v>0</v>
      </c>
      <c r="AM287" s="483">
        <f>SUM(Wireless!AB78:AB80)/10^6</f>
        <v>0</v>
      </c>
      <c r="AN287" s="2039">
        <f>SUM(Wireless!AC78:AC80)/10^6</f>
        <v>0</v>
      </c>
      <c r="AO287" s="2050">
        <f>SUM(Wireless!AD78:AD80)/10^6</f>
        <v>0</v>
      </c>
      <c r="AP287" s="2045">
        <f>SUM(Wireless!AE78:AE80)/10^6</f>
        <v>0</v>
      </c>
    </row>
    <row r="288" spans="2:46" ht="13.2">
      <c r="B288" s="1245" t="s">
        <v>436</v>
      </c>
      <c r="C288" s="88">
        <f>SUM(Wireless!L21:L25)</f>
        <v>239915</v>
      </c>
      <c r="D288" s="309">
        <f>SUM(Wireless!M21:M25)</f>
        <v>493217</v>
      </c>
      <c r="E288" s="96">
        <f>SUM(Wireless!N21:N25)</f>
        <v>830701</v>
      </c>
      <c r="F288" s="324">
        <f>SUM(Wireless!O21:O25)</f>
        <v>1374792.5</v>
      </c>
      <c r="G288" s="88">
        <f>SUM(Wireless!P21:P25)</f>
        <v>1606151</v>
      </c>
      <c r="H288" s="309">
        <f>SUM(Wireless!Q21:Q25)</f>
        <v>0</v>
      </c>
      <c r="I288" s="96">
        <f>SUM(Wireless!R21:R25)</f>
        <v>0</v>
      </c>
      <c r="J288" s="324">
        <f>SUM(Wireless!S21:S25)</f>
        <v>0</v>
      </c>
      <c r="K288" s="88">
        <f>SUM(Wireless!T21:T25)</f>
        <v>0</v>
      </c>
      <c r="L288" s="309">
        <f>SUM(Wireless!U21:U25)</f>
        <v>0</v>
      </c>
      <c r="M288" s="96">
        <f>SUM(Wireless!V21:V25)</f>
        <v>0</v>
      </c>
      <c r="N288" s="324">
        <f>SUM(Wireless!W21:W25)</f>
        <v>0</v>
      </c>
      <c r="O288" s="96">
        <f>SUM(Wireless!X21:X25)</f>
        <v>0</v>
      </c>
      <c r="P288" s="309">
        <f>SUM(Wireless!Y21:Y25)</f>
        <v>0</v>
      </c>
      <c r="Q288" s="96">
        <f>SUM(Wireless!Z21:Z25)</f>
        <v>0</v>
      </c>
      <c r="R288" s="324">
        <f>SUM(Wireless!AA21:AA25)</f>
        <v>0</v>
      </c>
      <c r="S288" s="496">
        <f>SUM(Wireless!AB21:AB25)</f>
        <v>0</v>
      </c>
      <c r="T288" s="1387">
        <f>SUM(Wireless!AC21:AC25)</f>
        <v>0</v>
      </c>
      <c r="U288" s="1323">
        <f>SUM(Wireless!AD21:AD25)</f>
        <v>0</v>
      </c>
      <c r="V288" s="1387">
        <f>SUM(Wireless!AE21:AE25)</f>
        <v>0</v>
      </c>
      <c r="W288" s="484">
        <f>SUM(Wireless!L81:L85)/10^6</f>
        <v>19.460749369392101</v>
      </c>
      <c r="X288" s="426">
        <f>SUM(Wireless!M81:M85)/10^6</f>
        <v>32.4382023710453</v>
      </c>
      <c r="Y288" s="426">
        <f>SUM(Wireless!N81:N85)/10^6</f>
        <v>49.970034374835414</v>
      </c>
      <c r="Z288" s="427">
        <f>SUM(Wireless!O81:O85)/10^6</f>
        <v>72.305444109728427</v>
      </c>
      <c r="AA288" s="484">
        <f>SUM(Wireless!P81:P85)/10^6</f>
        <v>61.633664879757298</v>
      </c>
      <c r="AB288" s="426">
        <f>SUM(Wireless!Q81:Q85)/10^6</f>
        <v>0</v>
      </c>
      <c r="AC288" s="426">
        <f>SUM(Wireless!R81:R85)/10^6</f>
        <v>0</v>
      </c>
      <c r="AD288" s="427">
        <f>SUM(Wireless!S81:S85)/10^6</f>
        <v>0</v>
      </c>
      <c r="AE288" s="484">
        <f>SUM(Wireless!T81:T85)/10^6</f>
        <v>0</v>
      </c>
      <c r="AF288" s="426">
        <f>SUM(Wireless!U81:U85)/10^6</f>
        <v>0</v>
      </c>
      <c r="AG288" s="426">
        <f>SUM(Wireless!V81:V85)/10^6</f>
        <v>0</v>
      </c>
      <c r="AH288" s="427">
        <f>SUM(Wireless!W81:W85)/10^6</f>
        <v>0</v>
      </c>
      <c r="AI288" s="484">
        <f>SUM(Wireless!X81:X85)/10^6</f>
        <v>0</v>
      </c>
      <c r="AJ288" s="426">
        <f>SUM(Wireless!Y81:Y85)/10^6</f>
        <v>0</v>
      </c>
      <c r="AK288" s="426">
        <f>SUM(Wireless!Z81:Z85)/10^6</f>
        <v>0</v>
      </c>
      <c r="AL288" s="427">
        <f>SUM(Wireless!AA81:AA85)/10^6</f>
        <v>0</v>
      </c>
      <c r="AM288" s="484">
        <f>SUM(Wireless!AB81:AB85)/10^6</f>
        <v>0</v>
      </c>
      <c r="AN288" s="2040">
        <f>SUM(Wireless!AC81:AC85)/10^6</f>
        <v>0</v>
      </c>
      <c r="AO288" s="2051">
        <f>SUM(Wireless!AD81:AD85)/10^6</f>
        <v>0</v>
      </c>
      <c r="AP288" s="2046">
        <f>SUM(Wireless!AE81:AE85)/10^6</f>
        <v>0</v>
      </c>
    </row>
    <row r="289" spans="2:42" ht="13.2">
      <c r="B289" s="1245" t="s">
        <v>410</v>
      </c>
      <c r="C289" s="88">
        <f>SUM(Wireless!L26:L28)</f>
        <v>5853</v>
      </c>
      <c r="D289" s="309">
        <f>SUM(Wireless!M26:M28)</f>
        <v>12322</v>
      </c>
      <c r="E289" s="96">
        <f>SUM(Wireless!N26:N28)</f>
        <v>12134</v>
      </c>
      <c r="F289" s="324">
        <f>SUM(Wireless!O26:O28)</f>
        <v>32743</v>
      </c>
      <c r="G289" s="88">
        <f>SUM(Wireless!P26:P28)</f>
        <v>61533</v>
      </c>
      <c r="H289" s="309">
        <f>SUM(Wireless!Q26:Q28)</f>
        <v>0</v>
      </c>
      <c r="I289" s="96">
        <f>SUM(Wireless!R26:R28)</f>
        <v>0</v>
      </c>
      <c r="J289" s="324">
        <f>SUM(Wireless!S26:S28)</f>
        <v>0</v>
      </c>
      <c r="K289" s="88">
        <f>SUM(Wireless!T26:T28)</f>
        <v>0</v>
      </c>
      <c r="L289" s="309">
        <f>SUM(Wireless!U26:U28)</f>
        <v>0</v>
      </c>
      <c r="M289" s="96">
        <f>SUM(Wireless!V26:V28)</f>
        <v>0</v>
      </c>
      <c r="N289" s="324">
        <f>SUM(Wireless!W26:W28)</f>
        <v>0</v>
      </c>
      <c r="O289" s="96">
        <f>SUM(Wireless!X26:X28)</f>
        <v>0</v>
      </c>
      <c r="P289" s="309">
        <f>SUM(Wireless!Y26:Y28)</f>
        <v>0</v>
      </c>
      <c r="Q289" s="96">
        <f>SUM(Wireless!Z26:Z28)</f>
        <v>0</v>
      </c>
      <c r="R289" s="324">
        <f>SUM(Wireless!AA26:AA28)</f>
        <v>0</v>
      </c>
      <c r="S289" s="496">
        <f>SUM(Wireless!AB26:AB28)</f>
        <v>0</v>
      </c>
      <c r="T289" s="1387">
        <f>SUM(Wireless!AC26:AC28)</f>
        <v>0</v>
      </c>
      <c r="U289" s="1323">
        <f>SUM(Wireless!AD26:AD28)</f>
        <v>0</v>
      </c>
      <c r="V289" s="1387">
        <f>SUM(Wireless!AE26:AE28)</f>
        <v>0</v>
      </c>
      <c r="W289" s="484">
        <f>SUM(Wireless!L86:L88)/10^6</f>
        <v>3.163438480595401</v>
      </c>
      <c r="X289" s="426">
        <f>SUM(Wireless!M86:M88)/10^6</f>
        <v>7.4572610579192462</v>
      </c>
      <c r="Y289" s="426">
        <f>SUM(Wireless!N86:N88)/10^6</f>
        <v>3.9847991564660372</v>
      </c>
      <c r="Z289" s="427">
        <f>SUM(Wireless!O86:O88)/10^6</f>
        <v>11.908612117332332</v>
      </c>
      <c r="AA289" s="484">
        <f>SUM(Wireless!P86:P88)/10^6</f>
        <v>17.77077285863616</v>
      </c>
      <c r="AB289" s="426">
        <f>SUM(Wireless!Q86:Q88)/10^6</f>
        <v>0</v>
      </c>
      <c r="AC289" s="426">
        <f>SUM(Wireless!R86:R88)/10^6</f>
        <v>0</v>
      </c>
      <c r="AD289" s="427">
        <f>SUM(Wireless!S86:S88)/10^6</f>
        <v>0</v>
      </c>
      <c r="AE289" s="484">
        <f>SUM(Wireless!T86:T88)/10^6</f>
        <v>0</v>
      </c>
      <c r="AF289" s="426">
        <f>SUM(Wireless!U86:U88)/10^6</f>
        <v>0</v>
      </c>
      <c r="AG289" s="426">
        <f>SUM(Wireless!V86:V88)/10^6</f>
        <v>0</v>
      </c>
      <c r="AH289" s="427">
        <f>SUM(Wireless!W86:W88)/10^6</f>
        <v>0</v>
      </c>
      <c r="AI289" s="484">
        <f>SUM(Wireless!X86:X88)/10^6</f>
        <v>0</v>
      </c>
      <c r="AJ289" s="426">
        <f>SUM(Wireless!Y86:Y88)/10^6</f>
        <v>0</v>
      </c>
      <c r="AK289" s="426">
        <f>SUM(Wireless!Z86:Z88)/10^6</f>
        <v>0</v>
      </c>
      <c r="AL289" s="427">
        <f>SUM(Wireless!AA86:AA88)/10^6</f>
        <v>0</v>
      </c>
      <c r="AM289" s="484">
        <f>SUM(Wireless!AB86:AB88)/10^6</f>
        <v>0</v>
      </c>
      <c r="AN289" s="2040">
        <f>SUM(Wireless!AC86:AC88)/10^6</f>
        <v>0</v>
      </c>
      <c r="AO289" s="2051">
        <f>SUM(Wireless!AD86:AD88)/10^6</f>
        <v>0</v>
      </c>
      <c r="AP289" s="2046">
        <f>SUM(Wireless!AE86:AE88)/10^6</f>
        <v>0</v>
      </c>
    </row>
    <row r="290" spans="2:42" ht="13.2">
      <c r="B290" s="1245" t="s">
        <v>385</v>
      </c>
      <c r="C290" s="88">
        <f>SUM(Wireless!L29:L32)</f>
        <v>138947</v>
      </c>
      <c r="D290" s="309">
        <f>SUM(Wireless!M29:M32)</f>
        <v>200772</v>
      </c>
      <c r="E290" s="96">
        <f>SUM(Wireless!N29:N32)</f>
        <v>423229</v>
      </c>
      <c r="F290" s="324">
        <f>SUM(Wireless!O29:O32)</f>
        <v>535316.5</v>
      </c>
      <c r="G290" s="88">
        <f>SUM(Wireless!P29:P32)</f>
        <v>759416</v>
      </c>
      <c r="H290" s="309">
        <f>SUM(Wireless!Q29:Q32)</f>
        <v>0</v>
      </c>
      <c r="I290" s="96">
        <f>SUM(Wireless!R29:R32)</f>
        <v>0</v>
      </c>
      <c r="J290" s="324">
        <f>SUM(Wireless!S29:S32)</f>
        <v>0</v>
      </c>
      <c r="K290" s="88">
        <f>SUM(Wireless!T29:T32)</f>
        <v>0</v>
      </c>
      <c r="L290" s="309">
        <f>SUM(Wireless!U29:U32)</f>
        <v>0</v>
      </c>
      <c r="M290" s="96">
        <f>SUM(Wireless!V29:V32)</f>
        <v>0</v>
      </c>
      <c r="N290" s="324">
        <f>SUM(Wireless!W29:W32)</f>
        <v>0</v>
      </c>
      <c r="O290" s="96">
        <f>SUM(Wireless!X29:X32)</f>
        <v>0</v>
      </c>
      <c r="P290" s="309">
        <f>SUM(Wireless!Y29:Y32)</f>
        <v>0</v>
      </c>
      <c r="Q290" s="96">
        <f>SUM(Wireless!Z29:Z32)</f>
        <v>0</v>
      </c>
      <c r="R290" s="324">
        <f>SUM(Wireless!AA29:AA32)</f>
        <v>0</v>
      </c>
      <c r="S290" s="496">
        <f>SUM(Wireless!AB29:AB32)</f>
        <v>0</v>
      </c>
      <c r="T290" s="1387">
        <f>SUM(Wireless!AC29:AC32)</f>
        <v>0</v>
      </c>
      <c r="U290" s="1323">
        <f>SUM(Wireless!AD29:AD32)</f>
        <v>0</v>
      </c>
      <c r="V290" s="1387">
        <f>SUM(Wireless!AE29:AE32)</f>
        <v>0</v>
      </c>
      <c r="W290" s="484">
        <f>(SUM(Wireless!L89:L92))/10^6</f>
        <v>54.66408100824404</v>
      </c>
      <c r="X290" s="426">
        <f>(SUM(Wireless!M89:M92))/10^6</f>
        <v>67.131628904682628</v>
      </c>
      <c r="Y290" s="426">
        <f>(SUM(Wireless!N89:N92))/10^6</f>
        <v>97.43604916238553</v>
      </c>
      <c r="Z290" s="427">
        <f>(SUM(Wireless!O89:O92))/10^6</f>
        <v>95.199051861500593</v>
      </c>
      <c r="AA290" s="484">
        <f>(SUM(Wireless!P89:P92))/10^6</f>
        <v>53.594433890133025</v>
      </c>
      <c r="AB290" s="426">
        <f>(SUM(Wireless!Q89:Q92))/10^6</f>
        <v>0</v>
      </c>
      <c r="AC290" s="426">
        <f>(SUM(Wireless!R89:R92))/10^6</f>
        <v>0</v>
      </c>
      <c r="AD290" s="427">
        <f>(SUM(Wireless!S89:S92))/10^6</f>
        <v>0</v>
      </c>
      <c r="AE290" s="484">
        <f>(SUM(Wireless!T89:T92))/10^6</f>
        <v>0</v>
      </c>
      <c r="AF290" s="426">
        <f>(SUM(Wireless!U89:U92))/10^6</f>
        <v>0</v>
      </c>
      <c r="AG290" s="426">
        <f>(SUM(Wireless!V89:V92))/10^6</f>
        <v>0</v>
      </c>
      <c r="AH290" s="427">
        <f>(SUM(Wireless!W89:W92))/10^6</f>
        <v>0</v>
      </c>
      <c r="AI290" s="484">
        <f>(SUM(Wireless!X89:X92))/10^6</f>
        <v>0</v>
      </c>
      <c r="AJ290" s="426">
        <f>(SUM(Wireless!Y89:Y92))/10^6</f>
        <v>0</v>
      </c>
      <c r="AK290" s="426">
        <f>(SUM(Wireless!Z89:Z92))/10^6</f>
        <v>0</v>
      </c>
      <c r="AL290" s="427">
        <f>(SUM(Wireless!AA89:AA92))/10^6</f>
        <v>0</v>
      </c>
      <c r="AM290" s="484">
        <f>(SUM(Wireless!AB89:AB92))/10^6</f>
        <v>0</v>
      </c>
      <c r="AN290" s="2040">
        <f>(SUM(Wireless!AC89:AC92))/10^6</f>
        <v>0</v>
      </c>
      <c r="AO290" s="2051">
        <f>(SUM(Wireless!AD89:AD92))/10^6</f>
        <v>0</v>
      </c>
      <c r="AP290" s="2046">
        <f>(SUM(Wireless!AE89:AE92))/10^6</f>
        <v>0</v>
      </c>
    </row>
    <row r="291" spans="2:42" ht="13.2">
      <c r="B291" s="1245" t="s">
        <v>14</v>
      </c>
      <c r="C291" s="91">
        <f t="shared" ref="C291:AL291" si="83">SUM(C284:C290)</f>
        <v>7122527</v>
      </c>
      <c r="D291" s="312">
        <f t="shared" si="83"/>
        <v>8306376</v>
      </c>
      <c r="E291" s="96">
        <f t="shared" si="83"/>
        <v>7962007</v>
      </c>
      <c r="F291" s="324">
        <f t="shared" si="83"/>
        <v>8003649</v>
      </c>
      <c r="G291" s="91">
        <f t="shared" si="83"/>
        <v>6346127</v>
      </c>
      <c r="H291" s="312">
        <f t="shared" si="83"/>
        <v>0</v>
      </c>
      <c r="I291" s="96">
        <f t="shared" si="83"/>
        <v>0</v>
      </c>
      <c r="J291" s="324">
        <f t="shared" si="83"/>
        <v>0</v>
      </c>
      <c r="K291" s="91">
        <f t="shared" si="83"/>
        <v>0</v>
      </c>
      <c r="L291" s="312">
        <f t="shared" si="83"/>
        <v>0</v>
      </c>
      <c r="M291" s="96">
        <f t="shared" si="83"/>
        <v>0</v>
      </c>
      <c r="N291" s="324">
        <f t="shared" si="83"/>
        <v>0</v>
      </c>
      <c r="O291" s="96">
        <f t="shared" si="83"/>
        <v>0</v>
      </c>
      <c r="P291" s="312">
        <f t="shared" si="83"/>
        <v>0</v>
      </c>
      <c r="Q291" s="96">
        <f t="shared" si="83"/>
        <v>0</v>
      </c>
      <c r="R291" s="324">
        <f t="shared" si="83"/>
        <v>0</v>
      </c>
      <c r="S291" s="496">
        <f t="shared" ref="S291:T291" si="84">SUM(S284:S290)</f>
        <v>0</v>
      </c>
      <c r="T291" s="1387">
        <f t="shared" si="84"/>
        <v>0</v>
      </c>
      <c r="U291" s="1323">
        <f t="shared" ref="U291:V291" si="85">SUM(U284:U290)</f>
        <v>0</v>
      </c>
      <c r="V291" s="1387">
        <f t="shared" si="85"/>
        <v>0</v>
      </c>
      <c r="W291" s="380">
        <f t="shared" si="83"/>
        <v>158.79311222096871</v>
      </c>
      <c r="X291" s="92">
        <f t="shared" si="83"/>
        <v>196.35189726560742</v>
      </c>
      <c r="Y291" s="92">
        <f t="shared" si="83"/>
        <v>222.20551996368698</v>
      </c>
      <c r="Z291" s="328">
        <f t="shared" si="83"/>
        <v>241.64146168856138</v>
      </c>
      <c r="AA291" s="380">
        <f t="shared" si="83"/>
        <v>169.20079370943671</v>
      </c>
      <c r="AB291" s="92">
        <f t="shared" si="83"/>
        <v>0</v>
      </c>
      <c r="AC291" s="92">
        <f t="shared" si="83"/>
        <v>0</v>
      </c>
      <c r="AD291" s="328">
        <f t="shared" si="83"/>
        <v>0</v>
      </c>
      <c r="AE291" s="380">
        <f t="shared" si="83"/>
        <v>0</v>
      </c>
      <c r="AF291" s="92">
        <f t="shared" si="83"/>
        <v>0</v>
      </c>
      <c r="AG291" s="92">
        <f t="shared" si="83"/>
        <v>0</v>
      </c>
      <c r="AH291" s="328">
        <f t="shared" si="83"/>
        <v>0</v>
      </c>
      <c r="AI291" s="380">
        <f t="shared" si="83"/>
        <v>0</v>
      </c>
      <c r="AJ291" s="92">
        <f t="shared" si="83"/>
        <v>0</v>
      </c>
      <c r="AK291" s="92">
        <f t="shared" si="83"/>
        <v>0</v>
      </c>
      <c r="AL291" s="328">
        <f t="shared" si="83"/>
        <v>0</v>
      </c>
      <c r="AM291" s="380">
        <f t="shared" ref="AM291:AN291" si="86">SUM(AM284:AM290)</f>
        <v>0</v>
      </c>
      <c r="AN291" s="2041">
        <f t="shared" si="86"/>
        <v>0</v>
      </c>
      <c r="AO291" s="2052">
        <f t="shared" ref="AO291:AP291" si="87">SUM(AO284:AO290)</f>
        <v>0</v>
      </c>
      <c r="AP291" s="2047">
        <f t="shared" si="87"/>
        <v>0</v>
      </c>
    </row>
    <row r="292" spans="2:42" ht="13.2">
      <c r="C292" s="968"/>
      <c r="D292" s="968"/>
      <c r="E292" s="968"/>
      <c r="F292" s="968"/>
      <c r="G292" s="968"/>
      <c r="H292" s="968"/>
      <c r="I292" s="968"/>
      <c r="J292" s="968"/>
      <c r="K292" s="968"/>
      <c r="L292" s="968"/>
      <c r="M292" s="968"/>
      <c r="N292" s="968"/>
      <c r="O292" s="968"/>
      <c r="P292" s="968"/>
      <c r="Q292" s="968"/>
      <c r="R292" s="968"/>
      <c r="S292" s="968"/>
      <c r="T292" s="968"/>
      <c r="U292" s="968"/>
      <c r="V292" s="968"/>
      <c r="W292" s="13"/>
      <c r="X292" s="13"/>
      <c r="Y292" s="13"/>
      <c r="Z292" s="13"/>
      <c r="AA292" s="13"/>
      <c r="AB292" s="13"/>
      <c r="AC292" s="13"/>
      <c r="AD292" s="13"/>
      <c r="AE292" s="13"/>
      <c r="AF292" s="13"/>
      <c r="AG292" s="13"/>
      <c r="AH292" s="13"/>
      <c r="AI292" s="13"/>
      <c r="AJ292" s="13"/>
      <c r="AK292" s="13"/>
      <c r="AL292" s="13"/>
      <c r="AM292" s="13"/>
      <c r="AN292" s="13"/>
      <c r="AO292" s="13"/>
      <c r="AP292" s="13"/>
    </row>
    <row r="295" spans="2:42" ht="13.2">
      <c r="B295" s="1103" t="s">
        <v>458</v>
      </c>
      <c r="C295" s="1104"/>
      <c r="D295" s="1104"/>
      <c r="E295" s="1104"/>
      <c r="F295" s="1104"/>
      <c r="G295" s="1104"/>
      <c r="H295" s="1104"/>
      <c r="I295" s="1103" t="s">
        <v>458</v>
      </c>
      <c r="J295" s="1104"/>
      <c r="K295" s="1104"/>
      <c r="L295" s="1104"/>
      <c r="M295" s="1104"/>
      <c r="N295" s="1104"/>
      <c r="O295" s="1104"/>
      <c r="P295" s="1104"/>
      <c r="Q295" s="1104"/>
      <c r="R295" s="1104"/>
      <c r="S295" s="1104"/>
      <c r="T295" s="1104"/>
      <c r="U295" s="1104"/>
      <c r="V295" s="1104"/>
      <c r="W295" s="1105"/>
      <c r="X295" s="1106"/>
      <c r="Y295" s="1106"/>
      <c r="Z295" s="1106"/>
      <c r="AA295" s="1105"/>
      <c r="AB295" s="1105"/>
      <c r="AC295" s="1103" t="s">
        <v>458</v>
      </c>
      <c r="AD295" s="1105"/>
      <c r="AE295" s="1105"/>
      <c r="AF295" s="1105"/>
      <c r="AG295" s="1105"/>
      <c r="AH295" s="1105"/>
      <c r="AI295" s="1105"/>
      <c r="AJ295" s="1105"/>
      <c r="AK295" s="1105"/>
      <c r="AL295" s="1105"/>
      <c r="AM295" s="1105"/>
      <c r="AN295" s="1105"/>
      <c r="AO295" s="1105"/>
      <c r="AP295" s="1105"/>
    </row>
    <row r="296" spans="2:42">
      <c r="C296" s="13"/>
      <c r="D296" s="13"/>
      <c r="E296" s="13"/>
      <c r="F296" s="13"/>
      <c r="G296" s="13"/>
      <c r="H296" s="13"/>
      <c r="I296" s="13"/>
      <c r="J296" s="13"/>
      <c r="K296" s="13"/>
      <c r="L296" s="13"/>
      <c r="M296" s="13"/>
      <c r="N296" s="13"/>
      <c r="O296" s="13"/>
      <c r="P296" s="13"/>
      <c r="Q296" s="13"/>
      <c r="R296" s="13"/>
      <c r="S296" s="13"/>
      <c r="T296" s="13"/>
      <c r="U296" s="13"/>
      <c r="V296" s="13"/>
    </row>
  </sheetData>
  <mergeCells count="31">
    <mergeCell ref="U282:V282"/>
    <mergeCell ref="AO36:AP36"/>
    <mergeCell ref="AO67:AP67"/>
    <mergeCell ref="AO101:AP101"/>
    <mergeCell ref="AO136:AP136"/>
    <mergeCell ref="AO171:AP171"/>
    <mergeCell ref="AO205:AP205"/>
    <mergeCell ref="AO243:AP243"/>
    <mergeCell ref="AO282:AP282"/>
    <mergeCell ref="W36:AN36"/>
    <mergeCell ref="C36:T36"/>
    <mergeCell ref="C67:T67"/>
    <mergeCell ref="W67:AN67"/>
    <mergeCell ref="B282:B283"/>
    <mergeCell ref="B101:B102"/>
    <mergeCell ref="B136:B137"/>
    <mergeCell ref="B171:B172"/>
    <mergeCell ref="B205:B206"/>
    <mergeCell ref="B243:B244"/>
    <mergeCell ref="U36:V36"/>
    <mergeCell ref="U67:V67"/>
    <mergeCell ref="U101:V101"/>
    <mergeCell ref="U136:V136"/>
    <mergeCell ref="U171:V171"/>
    <mergeCell ref="U205:V205"/>
    <mergeCell ref="U243:V243"/>
    <mergeCell ref="AR281:AT281"/>
    <mergeCell ref="AR135:AT135"/>
    <mergeCell ref="AQ170:AR170"/>
    <mergeCell ref="AR204:AT204"/>
    <mergeCell ref="AR242:AT242"/>
  </mergeCells>
  <conditionalFormatting sqref="AQ104">
    <cfRule type="expression" dxfId="11" priority="18">
      <formula>AQ104&lt;&gt;AQ103</formula>
    </cfRule>
  </conditionalFormatting>
  <conditionalFormatting sqref="AQ174">
    <cfRule type="expression" dxfId="10" priority="10">
      <formula>AQ174&lt;&gt;AQ173</formula>
    </cfRule>
  </conditionalFormatting>
  <conditionalFormatting sqref="AR104">
    <cfRule type="expression" dxfId="9" priority="17">
      <formula>ROUND(AR104,6)&lt;&gt;ROUND(AR103,6)</formula>
    </cfRule>
  </conditionalFormatting>
  <conditionalFormatting sqref="AR139">
    <cfRule type="expression" dxfId="8" priority="12">
      <formula>ROUND(AR139,5)&lt;&gt;ROUND(AR138,5)</formula>
    </cfRule>
  </conditionalFormatting>
  <conditionalFormatting sqref="AR174">
    <cfRule type="expression" dxfId="7" priority="9">
      <formula>ROUND(AR174,-6)&lt;&gt;ROUND(AR173,-6)</formula>
    </cfRule>
  </conditionalFormatting>
  <conditionalFormatting sqref="AR208:AS208">
    <cfRule type="expression" dxfId="6" priority="7">
      <formula>AR208&lt;&gt;AR207</formula>
    </cfRule>
  </conditionalFormatting>
  <conditionalFormatting sqref="AR245:AS245">
    <cfRule type="expression" dxfId="5" priority="5">
      <formula>AR245&lt;&gt;AR244</formula>
    </cfRule>
  </conditionalFormatting>
  <conditionalFormatting sqref="AR285:AS285">
    <cfRule type="expression" dxfId="4" priority="3">
      <formula>AR285&lt;&gt;AR284</formula>
    </cfRule>
  </conditionalFormatting>
  <conditionalFormatting sqref="AS139">
    <cfRule type="expression" dxfId="3" priority="11">
      <formula>AS139&lt;&gt;AS138</formula>
    </cfRule>
  </conditionalFormatting>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BK78"/>
  <sheetViews>
    <sheetView showGridLines="0" zoomScale="80" zoomScaleNormal="80" zoomScalePageLayoutView="80" workbookViewId="0">
      <pane xSplit="4" ySplit="8" topLeftCell="Q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1.44140625" customWidth="1"/>
    <col min="2" max="2" width="23.44140625" customWidth="1"/>
    <col min="3" max="3" width="10.44140625" customWidth="1"/>
    <col min="4" max="4" width="13.109375" customWidth="1"/>
    <col min="5" max="8" width="13.44140625" hidden="1" customWidth="1" outlineLevel="1"/>
    <col min="9" max="16" width="12.44140625" hidden="1" customWidth="1" outlineLevel="1"/>
    <col min="17" max="17" width="12.44140625" customWidth="1" collapsed="1"/>
    <col min="18" max="20" width="12.44140625" customWidth="1"/>
    <col min="21" max="22" width="15.109375" customWidth="1"/>
    <col min="23" max="24" width="13.44140625" customWidth="1"/>
    <col min="25" max="32" width="15.77734375" customWidth="1"/>
  </cols>
  <sheetData>
    <row r="1" spans="1:63" ht="25.05" customHeight="1">
      <c r="A1" s="69" t="str">
        <f>Introduction!$B$1</f>
        <v>Vendor Survey Results through H1 2023</v>
      </c>
    </row>
    <row r="2" spans="1:63" ht="15">
      <c r="A2" s="249" t="str">
        <f>Introduction!$B$2</f>
        <v>December 2023 QMU - Sample template for illustrative purposes only</v>
      </c>
    </row>
    <row r="3" spans="1:63" ht="17.399999999999999">
      <c r="A3" s="503" t="s">
        <v>312</v>
      </c>
      <c r="AB3" s="648"/>
      <c r="AC3" s="503"/>
    </row>
    <row r="4" spans="1:63" ht="17.399999999999999">
      <c r="AC4" s="503"/>
    </row>
    <row r="5" spans="1:63" ht="15.6">
      <c r="O5" s="688"/>
    </row>
    <row r="6" spans="1:63" ht="16.2" thickBot="1">
      <c r="J6" s="13"/>
      <c r="K6" s="13"/>
      <c r="L6" s="13"/>
      <c r="M6" s="13"/>
      <c r="N6" s="13"/>
      <c r="O6" s="688"/>
      <c r="P6" s="13"/>
      <c r="Q6" s="688"/>
      <c r="R6" s="13"/>
      <c r="S6" s="13"/>
      <c r="T6" s="13"/>
      <c r="X6" s="13"/>
    </row>
    <row r="7" spans="1:63" ht="16.2" thickBot="1">
      <c r="A7" s="518" t="str">
        <f>A3</f>
        <v>CWDM and DWDM Transceivers</v>
      </c>
      <c r="F7" s="458"/>
      <c r="G7" s="458" t="str">
        <f>Q7</f>
        <v>Shipments: Actual Data</v>
      </c>
      <c r="H7" s="3"/>
      <c r="I7" s="1230"/>
      <c r="J7" s="458"/>
      <c r="K7" s="458"/>
      <c r="L7" s="458"/>
      <c r="M7" s="458"/>
      <c r="N7" s="458"/>
      <c r="Q7" s="1231" t="s">
        <v>164</v>
      </c>
      <c r="Y7" s="1231" t="str">
        <f>$Q$7</f>
        <v>Shipments: Actual Data</v>
      </c>
      <c r="AC7" s="1"/>
      <c r="AD7" s="1"/>
      <c r="AE7" s="1857" t="s">
        <v>280</v>
      </c>
      <c r="AF7" s="1710"/>
    </row>
    <row r="8" spans="1:63" ht="13.8" thickBot="1">
      <c r="A8" s="680" t="s">
        <v>217</v>
      </c>
      <c r="B8" s="681" t="s">
        <v>166</v>
      </c>
      <c r="C8" s="682" t="s">
        <v>176</v>
      </c>
      <c r="D8" s="683" t="s">
        <v>177</v>
      </c>
      <c r="E8" s="480" t="s">
        <v>100</v>
      </c>
      <c r="F8" s="460" t="s">
        <v>101</v>
      </c>
      <c r="G8" s="460" t="s">
        <v>102</v>
      </c>
      <c r="H8" s="461" t="s">
        <v>103</v>
      </c>
      <c r="I8" s="459" t="s">
        <v>104</v>
      </c>
      <c r="J8" s="460" t="s">
        <v>105</v>
      </c>
      <c r="K8" s="460" t="s">
        <v>106</v>
      </c>
      <c r="L8" s="461" t="s">
        <v>107</v>
      </c>
      <c r="M8" s="460" t="s">
        <v>108</v>
      </c>
      <c r="N8" s="460" t="s">
        <v>109</v>
      </c>
      <c r="O8" s="460" t="s">
        <v>110</v>
      </c>
      <c r="P8" s="1187" t="s">
        <v>111</v>
      </c>
      <c r="Q8" s="2124" t="s">
        <v>112</v>
      </c>
      <c r="R8" s="2125" t="s">
        <v>113</v>
      </c>
      <c r="S8" s="2125" t="s">
        <v>114</v>
      </c>
      <c r="T8" s="1217" t="s">
        <v>115</v>
      </c>
      <c r="U8" s="2124" t="s">
        <v>463</v>
      </c>
      <c r="V8" s="2125" t="s">
        <v>464</v>
      </c>
      <c r="W8" s="2125" t="s">
        <v>465</v>
      </c>
      <c r="X8" s="2126" t="s">
        <v>466</v>
      </c>
      <c r="Y8" s="697" t="s">
        <v>467</v>
      </c>
      <c r="Z8" s="2125" t="s">
        <v>468</v>
      </c>
      <c r="AA8" s="2125" t="s">
        <v>469</v>
      </c>
      <c r="AB8" s="2126" t="s">
        <v>470</v>
      </c>
      <c r="AC8" s="2179" t="s">
        <v>568</v>
      </c>
      <c r="AD8" s="1217" t="s">
        <v>594</v>
      </c>
      <c r="AE8" s="2129" t="s">
        <v>595</v>
      </c>
      <c r="AF8" s="462" t="s">
        <v>596</v>
      </c>
    </row>
    <row r="9" spans="1:63" ht="12.75" customHeight="1">
      <c r="A9" s="260" t="s">
        <v>227</v>
      </c>
      <c r="B9" s="679" t="s">
        <v>228</v>
      </c>
      <c r="C9" s="445" t="s">
        <v>190</v>
      </c>
      <c r="D9" s="663" t="s">
        <v>179</v>
      </c>
      <c r="E9" s="671">
        <v>17022</v>
      </c>
      <c r="F9" s="166">
        <v>16815</v>
      </c>
      <c r="G9" s="139">
        <v>12878</v>
      </c>
      <c r="H9" s="280">
        <v>8844</v>
      </c>
      <c r="I9" s="165">
        <v>12346</v>
      </c>
      <c r="J9" s="166">
        <v>11528</v>
      </c>
      <c r="K9" s="408">
        <v>10482</v>
      </c>
      <c r="L9" s="456">
        <v>12883</v>
      </c>
      <c r="M9" s="408">
        <v>8486</v>
      </c>
      <c r="N9" s="408">
        <v>8654</v>
      </c>
      <c r="O9" s="408">
        <v>6260</v>
      </c>
      <c r="P9" s="456">
        <v>8515</v>
      </c>
      <c r="Q9" s="1055" t="s">
        <v>445</v>
      </c>
      <c r="R9" s="985"/>
      <c r="S9" s="994"/>
      <c r="T9" s="2135"/>
      <c r="U9" s="2168"/>
      <c r="V9" s="985"/>
      <c r="W9" s="994"/>
      <c r="X9" s="2169"/>
      <c r="Y9" s="2142"/>
      <c r="Z9" s="985"/>
      <c r="AA9" s="994"/>
      <c r="AB9" s="2169"/>
      <c r="AC9" s="2142"/>
      <c r="AD9" s="2135"/>
      <c r="AE9" s="994"/>
      <c r="AF9" s="996"/>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row>
    <row r="10" spans="1:63" ht="12.75" customHeight="1">
      <c r="A10" s="266" t="s">
        <v>227</v>
      </c>
      <c r="B10" s="438" t="s">
        <v>228</v>
      </c>
      <c r="C10" s="109" t="s">
        <v>229</v>
      </c>
      <c r="D10" s="661" t="s">
        <v>179</v>
      </c>
      <c r="E10" s="672">
        <v>14351</v>
      </c>
      <c r="F10" s="118">
        <v>19287</v>
      </c>
      <c r="G10" s="139">
        <v>11186</v>
      </c>
      <c r="H10" s="281">
        <v>11061</v>
      </c>
      <c r="I10" s="168">
        <v>8580</v>
      </c>
      <c r="J10" s="118">
        <v>6222</v>
      </c>
      <c r="K10" s="408">
        <v>9056</v>
      </c>
      <c r="L10" s="457">
        <v>11303</v>
      </c>
      <c r="M10" s="408">
        <v>7427</v>
      </c>
      <c r="N10" s="408">
        <v>7090</v>
      </c>
      <c r="O10" s="408">
        <v>6000</v>
      </c>
      <c r="P10" s="457">
        <v>6000</v>
      </c>
      <c r="Q10" s="1055" t="s">
        <v>445</v>
      </c>
      <c r="R10" s="1055"/>
      <c r="S10" s="989"/>
      <c r="T10" s="2135"/>
      <c r="U10" s="2170"/>
      <c r="V10" s="1055"/>
      <c r="W10" s="1713"/>
      <c r="X10" s="2169"/>
      <c r="Y10" s="2152"/>
      <c r="Z10" s="1055"/>
      <c r="AA10" s="989"/>
      <c r="AB10" s="2169"/>
      <c r="AC10" s="2152"/>
      <c r="AD10" s="2135"/>
      <c r="AE10" s="1713"/>
      <c r="AF10" s="996"/>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row>
    <row r="11" spans="1:63">
      <c r="A11" s="266" t="s">
        <v>227</v>
      </c>
      <c r="B11" s="438" t="s">
        <v>225</v>
      </c>
      <c r="C11" s="109" t="s">
        <v>190</v>
      </c>
      <c r="D11" s="661" t="s">
        <v>179</v>
      </c>
      <c r="E11" s="672">
        <v>8787</v>
      </c>
      <c r="F11" s="118">
        <v>8311</v>
      </c>
      <c r="G11" s="139">
        <v>8323</v>
      </c>
      <c r="H11" s="281">
        <v>16656</v>
      </c>
      <c r="I11" s="168">
        <v>7671</v>
      </c>
      <c r="J11" s="118">
        <v>5582</v>
      </c>
      <c r="K11" s="408">
        <v>8264</v>
      </c>
      <c r="L11" s="457">
        <v>11688</v>
      </c>
      <c r="M11" s="408">
        <v>8461</v>
      </c>
      <c r="N11" s="408">
        <v>6580</v>
      </c>
      <c r="O11" s="408">
        <v>6217</v>
      </c>
      <c r="P11" s="457">
        <v>6308</v>
      </c>
      <c r="Q11" s="1055" t="s">
        <v>445</v>
      </c>
      <c r="R11" s="1055"/>
      <c r="S11" s="989"/>
      <c r="T11" s="2135"/>
      <c r="U11" s="2170"/>
      <c r="V11" s="1055"/>
      <c r="W11" s="1713"/>
      <c r="X11" s="2169"/>
      <c r="Y11" s="2152"/>
      <c r="Z11" s="1055"/>
      <c r="AA11" s="989"/>
      <c r="AB11" s="2169"/>
      <c r="AC11" s="2152"/>
      <c r="AD11" s="2135"/>
      <c r="AE11" s="1713"/>
      <c r="AF11" s="996"/>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c r="A12" s="266" t="s">
        <v>227</v>
      </c>
      <c r="B12" s="59" t="s">
        <v>225</v>
      </c>
      <c r="C12" s="109" t="s">
        <v>229</v>
      </c>
      <c r="D12" s="661" t="s">
        <v>179</v>
      </c>
      <c r="E12" s="672">
        <v>18358</v>
      </c>
      <c r="F12" s="118">
        <v>15500</v>
      </c>
      <c r="G12" s="139">
        <v>5230</v>
      </c>
      <c r="H12" s="281">
        <v>9230</v>
      </c>
      <c r="I12" s="168">
        <v>5510</v>
      </c>
      <c r="J12" s="118">
        <v>7360</v>
      </c>
      <c r="K12" s="408">
        <v>12415</v>
      </c>
      <c r="L12" s="457">
        <v>12455</v>
      </c>
      <c r="M12" s="408">
        <v>10711</v>
      </c>
      <c r="N12" s="408">
        <v>8114</v>
      </c>
      <c r="O12" s="408">
        <v>5200</v>
      </c>
      <c r="P12" s="457">
        <v>5100</v>
      </c>
      <c r="Q12" s="1055" t="s">
        <v>445</v>
      </c>
      <c r="R12" s="1055"/>
      <c r="S12" s="989"/>
      <c r="T12" s="2135"/>
      <c r="U12" s="2170"/>
      <c r="V12" s="1055"/>
      <c r="W12" s="1713"/>
      <c r="X12" s="2169"/>
      <c r="Y12" s="2152"/>
      <c r="Z12" s="1055"/>
      <c r="AA12" s="989"/>
      <c r="AB12" s="2169"/>
      <c r="AC12" s="2152"/>
      <c r="AD12" s="2135"/>
      <c r="AE12" s="1713"/>
      <c r="AF12" s="996"/>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63" ht="13.8" thickBot="1">
      <c r="A13" s="771" t="s">
        <v>227</v>
      </c>
      <c r="B13" s="772" t="s">
        <v>175</v>
      </c>
      <c r="C13" s="773" t="s">
        <v>187</v>
      </c>
      <c r="D13" s="662" t="s">
        <v>230</v>
      </c>
      <c r="E13" s="673">
        <v>22295</v>
      </c>
      <c r="F13" s="774">
        <v>21486</v>
      </c>
      <c r="G13" s="774">
        <v>16679</v>
      </c>
      <c r="H13" s="775">
        <v>14275</v>
      </c>
      <c r="I13" s="776">
        <v>49753</v>
      </c>
      <c r="J13" s="774">
        <v>49553</v>
      </c>
      <c r="K13" s="777">
        <v>36639</v>
      </c>
      <c r="L13" s="778">
        <v>36967</v>
      </c>
      <c r="M13" s="777">
        <v>48459</v>
      </c>
      <c r="N13" s="777">
        <v>59534</v>
      </c>
      <c r="O13" s="777">
        <v>67099</v>
      </c>
      <c r="P13" s="778">
        <v>86716</v>
      </c>
      <c r="Q13" s="777">
        <v>76749</v>
      </c>
      <c r="R13" s="777"/>
      <c r="S13" s="777"/>
      <c r="T13" s="2136"/>
      <c r="U13" s="1442"/>
      <c r="V13" s="777"/>
      <c r="W13" s="777"/>
      <c r="X13" s="2201"/>
      <c r="Y13" s="2196"/>
      <c r="Z13" s="777"/>
      <c r="AA13" s="777"/>
      <c r="AB13" s="1817"/>
      <c r="AC13" s="2196"/>
      <c r="AD13" s="2136"/>
      <c r="AE13" s="777"/>
      <c r="AF13" s="778"/>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row>
    <row r="14" spans="1:63" ht="15" customHeight="1">
      <c r="A14" s="463" t="s">
        <v>231</v>
      </c>
      <c r="B14" s="444" t="s">
        <v>225</v>
      </c>
      <c r="C14" s="445" t="s">
        <v>187</v>
      </c>
      <c r="D14" s="663" t="s">
        <v>179</v>
      </c>
      <c r="E14" s="671">
        <v>24286</v>
      </c>
      <c r="F14" s="139">
        <v>17356</v>
      </c>
      <c r="G14" s="139">
        <v>5994</v>
      </c>
      <c r="H14" s="281">
        <v>7562</v>
      </c>
      <c r="I14" s="250">
        <v>6284</v>
      </c>
      <c r="J14" s="139">
        <v>4028</v>
      </c>
      <c r="K14" s="408">
        <v>14264</v>
      </c>
      <c r="L14" s="457">
        <v>13728</v>
      </c>
      <c r="M14" s="408">
        <v>6735</v>
      </c>
      <c r="N14" s="408">
        <v>5389</v>
      </c>
      <c r="O14" s="408">
        <v>10538</v>
      </c>
      <c r="P14" s="457">
        <v>10697</v>
      </c>
      <c r="Q14" s="1055" t="s">
        <v>445</v>
      </c>
      <c r="R14" s="408"/>
      <c r="S14" s="985"/>
      <c r="T14" s="2138"/>
      <c r="U14" s="2202"/>
      <c r="V14" s="408"/>
      <c r="W14" s="985"/>
      <c r="X14" s="140"/>
      <c r="Y14" s="407"/>
      <c r="Z14" s="408"/>
      <c r="AA14" s="985"/>
      <c r="AB14" s="698"/>
      <c r="AC14" s="407"/>
      <c r="AD14" s="2137"/>
      <c r="AE14" s="408"/>
      <c r="AF14" s="457"/>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row>
    <row r="15" spans="1:63" ht="12.75" customHeight="1">
      <c r="A15" s="464" t="s">
        <v>231</v>
      </c>
      <c r="B15" s="440" t="s">
        <v>232</v>
      </c>
      <c r="C15" s="109" t="s">
        <v>187</v>
      </c>
      <c r="D15" s="661" t="s">
        <v>180</v>
      </c>
      <c r="E15" s="672">
        <v>25906</v>
      </c>
      <c r="F15" s="118">
        <v>23514</v>
      </c>
      <c r="G15" s="118">
        <v>18692</v>
      </c>
      <c r="H15" s="281">
        <v>18397</v>
      </c>
      <c r="I15" s="117">
        <v>16144</v>
      </c>
      <c r="J15" s="118">
        <v>9679</v>
      </c>
      <c r="K15" s="410">
        <v>8189</v>
      </c>
      <c r="L15" s="457">
        <v>9935</v>
      </c>
      <c r="M15" s="410">
        <v>11966</v>
      </c>
      <c r="N15" s="410">
        <v>13015</v>
      </c>
      <c r="O15" s="410">
        <v>15439</v>
      </c>
      <c r="P15" s="457">
        <v>10713</v>
      </c>
      <c r="Q15" s="1263">
        <v>5755</v>
      </c>
      <c r="R15" s="1263"/>
      <c r="S15" s="1263"/>
      <c r="T15" s="2137"/>
      <c r="U15" s="1440"/>
      <c r="V15" s="1263"/>
      <c r="W15" s="1263"/>
      <c r="X15" s="140"/>
      <c r="Y15" s="2197"/>
      <c r="Z15" s="1263"/>
      <c r="AA15" s="1263"/>
      <c r="AB15" s="698"/>
      <c r="AC15" s="2197"/>
      <c r="AD15" s="2137"/>
      <c r="AE15" s="1263"/>
      <c r="AF15" s="457"/>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row>
    <row r="16" spans="1:63" ht="14.25" customHeight="1">
      <c r="A16" s="464" t="s">
        <v>231</v>
      </c>
      <c r="B16" s="440" t="s">
        <v>232</v>
      </c>
      <c r="C16" s="109" t="s">
        <v>187</v>
      </c>
      <c r="D16" s="661" t="s">
        <v>181</v>
      </c>
      <c r="E16" s="672">
        <v>22023</v>
      </c>
      <c r="F16" s="118">
        <v>34807</v>
      </c>
      <c r="G16" s="118">
        <v>27703</v>
      </c>
      <c r="H16" s="281">
        <v>21809</v>
      </c>
      <c r="I16" s="117">
        <v>18045</v>
      </c>
      <c r="J16" s="118">
        <v>8816</v>
      </c>
      <c r="K16" s="410">
        <v>20611</v>
      </c>
      <c r="L16" s="457">
        <v>37223</v>
      </c>
      <c r="M16" s="410">
        <v>13826</v>
      </c>
      <c r="N16" s="410">
        <v>16481</v>
      </c>
      <c r="O16" s="410">
        <v>53864</v>
      </c>
      <c r="P16" s="457">
        <v>39546</v>
      </c>
      <c r="Q16" s="1263">
        <v>23327</v>
      </c>
      <c r="R16" s="1263"/>
      <c r="S16" s="1263"/>
      <c r="T16" s="2137"/>
      <c r="U16" s="1440"/>
      <c r="V16" s="1263"/>
      <c r="W16" s="1263"/>
      <c r="X16" s="140"/>
      <c r="Y16" s="2197"/>
      <c r="Z16" s="1263"/>
      <c r="AA16" s="1263"/>
      <c r="AB16" s="698"/>
      <c r="AC16" s="2197"/>
      <c r="AD16" s="2137"/>
      <c r="AE16" s="1263"/>
      <c r="AF16" s="457"/>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row>
    <row r="17" spans="1:63" ht="12" customHeight="1">
      <c r="A17" s="464" t="s">
        <v>231</v>
      </c>
      <c r="B17" s="441" t="s">
        <v>333</v>
      </c>
      <c r="C17" s="109" t="s">
        <v>187</v>
      </c>
      <c r="D17" s="664" t="s">
        <v>180</v>
      </c>
      <c r="E17" s="674">
        <v>55181</v>
      </c>
      <c r="F17" s="449">
        <v>41863</v>
      </c>
      <c r="G17" s="118">
        <v>44373</v>
      </c>
      <c r="H17" s="281">
        <v>41696</v>
      </c>
      <c r="I17" s="454">
        <v>38932</v>
      </c>
      <c r="J17" s="449">
        <v>41453</v>
      </c>
      <c r="K17" s="410">
        <v>52030</v>
      </c>
      <c r="L17" s="457">
        <v>53659</v>
      </c>
      <c r="M17" s="410">
        <v>52402</v>
      </c>
      <c r="N17" s="410">
        <v>35692</v>
      </c>
      <c r="O17" s="410">
        <v>31821</v>
      </c>
      <c r="P17" s="457">
        <v>28330</v>
      </c>
      <c r="Q17" s="1263">
        <v>21000</v>
      </c>
      <c r="R17" s="1263"/>
      <c r="S17" s="1263"/>
      <c r="T17" s="2137"/>
      <c r="U17" s="1440"/>
      <c r="V17" s="1263"/>
      <c r="W17" s="1263"/>
      <c r="X17" s="140"/>
      <c r="Y17" s="2197"/>
      <c r="Z17" s="1263"/>
      <c r="AA17" s="1263"/>
      <c r="AB17" s="698"/>
      <c r="AC17" s="2197"/>
      <c r="AD17" s="2137"/>
      <c r="AE17" s="1263"/>
      <c r="AF17" s="457"/>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row>
    <row r="18" spans="1:63" ht="13.5" customHeight="1">
      <c r="A18" s="464" t="s">
        <v>231</v>
      </c>
      <c r="B18" s="441" t="s">
        <v>333</v>
      </c>
      <c r="C18" s="109" t="s">
        <v>187</v>
      </c>
      <c r="D18" s="664" t="s">
        <v>181</v>
      </c>
      <c r="E18" s="672">
        <v>13874</v>
      </c>
      <c r="F18" s="118">
        <v>20254</v>
      </c>
      <c r="G18" s="118">
        <v>19749</v>
      </c>
      <c r="H18" s="281">
        <v>20940</v>
      </c>
      <c r="I18" s="117">
        <v>27498</v>
      </c>
      <c r="J18" s="118">
        <v>24442</v>
      </c>
      <c r="K18" s="410">
        <v>23296</v>
      </c>
      <c r="L18" s="457">
        <v>30184</v>
      </c>
      <c r="M18" s="410">
        <v>33566</v>
      </c>
      <c r="N18" s="410">
        <v>24672</v>
      </c>
      <c r="O18" s="410">
        <v>40417</v>
      </c>
      <c r="P18" s="457">
        <v>57735</v>
      </c>
      <c r="Q18" s="1263">
        <v>48078</v>
      </c>
      <c r="R18" s="1263"/>
      <c r="S18" s="1263"/>
      <c r="T18" s="2137"/>
      <c r="U18" s="1440"/>
      <c r="V18" s="1263"/>
      <c r="W18" s="1263"/>
      <c r="X18" s="140"/>
      <c r="Y18" s="2197"/>
      <c r="Z18" s="1263"/>
      <c r="AA18" s="1263"/>
      <c r="AB18" s="698"/>
      <c r="AC18" s="2197"/>
      <c r="AD18" s="2137"/>
      <c r="AE18" s="1263"/>
      <c r="AF18" s="457"/>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row>
    <row r="19" spans="1:63" ht="13.5" customHeight="1">
      <c r="A19" s="464" t="s">
        <v>231</v>
      </c>
      <c r="B19" s="443" t="s">
        <v>233</v>
      </c>
      <c r="C19" s="109" t="s">
        <v>187</v>
      </c>
      <c r="D19" s="664" t="s">
        <v>187</v>
      </c>
      <c r="E19" s="672">
        <v>232</v>
      </c>
      <c r="F19" s="118">
        <v>52</v>
      </c>
      <c r="G19" s="118">
        <v>50</v>
      </c>
      <c r="H19" s="281">
        <v>0</v>
      </c>
      <c r="I19" s="117"/>
      <c r="J19" s="118"/>
      <c r="K19" s="410"/>
      <c r="L19" s="457"/>
      <c r="M19" s="410"/>
      <c r="N19" s="410"/>
      <c r="O19" s="410"/>
      <c r="P19" s="457"/>
      <c r="Q19" s="1263">
        <v>0</v>
      </c>
      <c r="R19" s="1263"/>
      <c r="S19" s="1263"/>
      <c r="T19" s="2137"/>
      <c r="U19" s="1440"/>
      <c r="V19" s="1263"/>
      <c r="W19" s="1263"/>
      <c r="X19" s="140"/>
      <c r="Y19" s="2197"/>
      <c r="Z19" s="1263"/>
      <c r="AA19" s="1263"/>
      <c r="AB19" s="698"/>
      <c r="AC19" s="2208"/>
      <c r="AD19" s="2138"/>
      <c r="AE19" s="1263"/>
      <c r="AF19" s="457"/>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row>
    <row r="20" spans="1:63" ht="12" customHeight="1">
      <c r="A20" s="1919" t="s">
        <v>231</v>
      </c>
      <c r="B20" s="1920" t="s">
        <v>615</v>
      </c>
      <c r="C20" s="1917" t="s">
        <v>187</v>
      </c>
      <c r="D20" s="1921" t="s">
        <v>616</v>
      </c>
      <c r="E20" s="1922">
        <v>3550</v>
      </c>
      <c r="F20" s="1923">
        <v>3100</v>
      </c>
      <c r="G20" s="1918">
        <v>2900</v>
      </c>
      <c r="H20" s="281">
        <v>3700</v>
      </c>
      <c r="I20" s="1924">
        <v>3500</v>
      </c>
      <c r="J20" s="1923">
        <v>3350</v>
      </c>
      <c r="K20" s="1263">
        <v>4300</v>
      </c>
      <c r="L20" s="457">
        <v>4450</v>
      </c>
      <c r="M20" s="1263">
        <v>4550</v>
      </c>
      <c r="N20" s="1263">
        <v>3950</v>
      </c>
      <c r="O20" s="1263">
        <v>4700</v>
      </c>
      <c r="P20" s="457">
        <v>4500</v>
      </c>
      <c r="Q20" s="1263">
        <v>3750</v>
      </c>
      <c r="R20" s="1263"/>
      <c r="S20" s="1263"/>
      <c r="T20" s="2137"/>
      <c r="U20" s="1440"/>
      <c r="V20" s="1263"/>
      <c r="W20" s="1263"/>
      <c r="X20" s="140"/>
      <c r="Y20" s="2197"/>
      <c r="Z20" s="1263"/>
      <c r="AA20" s="1263"/>
      <c r="AB20" s="698"/>
      <c r="AC20" s="2197"/>
      <c r="AD20" s="2137"/>
      <c r="AE20" s="1263"/>
      <c r="AF20" s="457"/>
      <c r="AG20" s="15"/>
      <c r="AH20" s="15"/>
      <c r="AI20" s="15"/>
      <c r="AJ20" s="15"/>
      <c r="AK20" s="15"/>
      <c r="AL20" s="15"/>
      <c r="AM20" s="15"/>
      <c r="AN20" s="15"/>
      <c r="AO20" s="15"/>
      <c r="AP20" s="15"/>
      <c r="AQ20" s="15"/>
      <c r="AR20" s="15"/>
      <c r="AS20" s="15"/>
      <c r="AT20" s="15"/>
      <c r="AU20" s="15"/>
      <c r="AV20" s="15"/>
    </row>
    <row r="21" spans="1:63" ht="12" customHeight="1">
      <c r="A21" s="464" t="s">
        <v>231</v>
      </c>
      <c r="B21" s="438" t="s">
        <v>234</v>
      </c>
      <c r="C21" s="109" t="s">
        <v>187</v>
      </c>
      <c r="D21" s="267" t="s">
        <v>235</v>
      </c>
      <c r="E21" s="675">
        <v>3370</v>
      </c>
      <c r="F21" s="176">
        <v>7281</v>
      </c>
      <c r="G21" s="118">
        <v>10582</v>
      </c>
      <c r="H21" s="281">
        <v>10636</v>
      </c>
      <c r="I21" s="455">
        <v>6600</v>
      </c>
      <c r="J21" s="176">
        <v>7500</v>
      </c>
      <c r="K21" s="410">
        <v>6500</v>
      </c>
      <c r="L21" s="457">
        <v>6500</v>
      </c>
      <c r="M21" s="410">
        <v>6000</v>
      </c>
      <c r="N21" s="410">
        <v>8500</v>
      </c>
      <c r="O21" s="410">
        <v>11000</v>
      </c>
      <c r="P21" s="457">
        <v>12500</v>
      </c>
      <c r="Q21" s="1263">
        <v>11000</v>
      </c>
      <c r="R21" s="1263"/>
      <c r="S21" s="1263"/>
      <c r="T21" s="2137"/>
      <c r="U21" s="1440"/>
      <c r="V21" s="1263"/>
      <c r="W21" s="1263"/>
      <c r="X21" s="140"/>
      <c r="Y21" s="2197"/>
      <c r="Z21" s="1263"/>
      <c r="AA21" s="1263"/>
      <c r="AB21" s="698"/>
      <c r="AC21" s="2197"/>
      <c r="AD21" s="2137"/>
      <c r="AE21" s="1263"/>
      <c r="AF21" s="2066"/>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row>
    <row r="22" spans="1:63" ht="12" customHeight="1">
      <c r="A22" s="464" t="s">
        <v>231</v>
      </c>
      <c r="B22" s="623" t="s">
        <v>499</v>
      </c>
      <c r="C22" s="109" t="s">
        <v>187</v>
      </c>
      <c r="D22" s="267" t="s">
        <v>372</v>
      </c>
      <c r="E22" s="676">
        <v>8500</v>
      </c>
      <c r="F22" s="176">
        <v>5550</v>
      </c>
      <c r="G22" s="282">
        <v>7500</v>
      </c>
      <c r="H22" s="281">
        <v>5650</v>
      </c>
      <c r="I22" s="436">
        <v>5600</v>
      </c>
      <c r="J22" s="176">
        <v>5300</v>
      </c>
      <c r="K22" s="450">
        <v>8600</v>
      </c>
      <c r="L22" s="457">
        <v>11200</v>
      </c>
      <c r="M22" s="450">
        <v>10300</v>
      </c>
      <c r="N22" s="450">
        <v>10800</v>
      </c>
      <c r="O22" s="450">
        <v>10866</v>
      </c>
      <c r="P22" s="457">
        <v>10923</v>
      </c>
      <c r="Q22" s="1264">
        <v>13306</v>
      </c>
      <c r="R22" s="1264"/>
      <c r="S22" s="1264"/>
      <c r="T22" s="2137"/>
      <c r="U22" s="2203"/>
      <c r="V22" s="1264"/>
      <c r="W22" s="1264"/>
      <c r="X22" s="140"/>
      <c r="Y22" s="2198"/>
      <c r="Z22" s="1264"/>
      <c r="AA22" s="1264"/>
      <c r="AB22" s="698"/>
      <c r="AC22" s="2198"/>
      <c r="AD22" s="2137"/>
      <c r="AE22" s="1263"/>
      <c r="AF22" s="457"/>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row>
    <row r="23" spans="1:63" ht="13.05" customHeight="1">
      <c r="A23" s="464" t="s">
        <v>231</v>
      </c>
      <c r="B23" s="623" t="s">
        <v>500</v>
      </c>
      <c r="C23" s="109" t="s">
        <v>187</v>
      </c>
      <c r="D23" s="267" t="s">
        <v>250</v>
      </c>
      <c r="E23" s="675">
        <v>8304</v>
      </c>
      <c r="F23" s="176">
        <v>10165</v>
      </c>
      <c r="G23" s="118">
        <v>8004</v>
      </c>
      <c r="H23" s="281">
        <v>6532</v>
      </c>
      <c r="I23" s="455">
        <v>8628</v>
      </c>
      <c r="J23" s="176">
        <v>10556</v>
      </c>
      <c r="K23" s="410">
        <v>10761</v>
      </c>
      <c r="L23" s="457">
        <v>6460</v>
      </c>
      <c r="M23" s="410">
        <v>7285</v>
      </c>
      <c r="N23" s="410">
        <v>8384</v>
      </c>
      <c r="O23" s="410">
        <v>11219</v>
      </c>
      <c r="P23" s="457">
        <v>18233</v>
      </c>
      <c r="Q23" s="1263">
        <v>12700</v>
      </c>
      <c r="R23" s="1263"/>
      <c r="S23" s="1263"/>
      <c r="T23" s="2137"/>
      <c r="U23" s="1440"/>
      <c r="V23" s="1263"/>
      <c r="W23" s="1263"/>
      <c r="X23" s="140"/>
      <c r="Y23" s="2197"/>
      <c r="Z23" s="1263"/>
      <c r="AA23" s="1263"/>
      <c r="AB23" s="698"/>
      <c r="AC23" s="2197"/>
      <c r="AD23" s="2137"/>
      <c r="AE23" s="1263"/>
      <c r="AF23" s="457"/>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row>
    <row r="24" spans="1:63" ht="13.05" customHeight="1">
      <c r="A24" s="464" t="s">
        <v>231</v>
      </c>
      <c r="B24" s="623" t="s">
        <v>538</v>
      </c>
      <c r="C24" s="109" t="s">
        <v>187</v>
      </c>
      <c r="D24" s="262" t="s">
        <v>416</v>
      </c>
      <c r="E24" s="779"/>
      <c r="F24" s="780"/>
      <c r="G24" s="781"/>
      <c r="H24" s="782"/>
      <c r="I24" s="783"/>
      <c r="J24" s="780"/>
      <c r="K24" s="718"/>
      <c r="L24" s="784"/>
      <c r="M24" s="718">
        <v>0</v>
      </c>
      <c r="N24" s="718">
        <v>0</v>
      </c>
      <c r="O24" s="718">
        <v>0</v>
      </c>
      <c r="P24" s="784">
        <v>0</v>
      </c>
      <c r="Q24" s="718">
        <v>0</v>
      </c>
      <c r="R24" s="718"/>
      <c r="S24" s="718"/>
      <c r="T24" s="2139"/>
      <c r="U24" s="2204"/>
      <c r="V24" s="718"/>
      <c r="W24" s="718"/>
      <c r="X24" s="2205"/>
      <c r="Y24" s="2199"/>
      <c r="Z24" s="718"/>
      <c r="AA24" s="718"/>
      <c r="AB24" s="2209"/>
      <c r="AC24" s="2199"/>
      <c r="AD24" s="2139"/>
      <c r="AE24" s="1263"/>
      <c r="AF24" s="457"/>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row>
    <row r="25" spans="1:63" ht="13.05" customHeight="1" thickBot="1">
      <c r="A25" s="785" t="s">
        <v>231</v>
      </c>
      <c r="B25" s="2227" t="s">
        <v>216</v>
      </c>
      <c r="C25" s="2227"/>
      <c r="D25" s="2228"/>
      <c r="E25" s="677">
        <v>5483</v>
      </c>
      <c r="F25" s="786">
        <v>5215</v>
      </c>
      <c r="G25" s="774">
        <v>1222</v>
      </c>
      <c r="H25" s="775">
        <v>624</v>
      </c>
      <c r="I25" s="437">
        <v>61</v>
      </c>
      <c r="J25" s="786">
        <v>75</v>
      </c>
      <c r="K25" s="777">
        <v>1759</v>
      </c>
      <c r="L25" s="778">
        <v>2761</v>
      </c>
      <c r="M25" s="777">
        <v>3305</v>
      </c>
      <c r="N25" s="777">
        <v>1284</v>
      </c>
      <c r="O25" s="777">
        <v>1422</v>
      </c>
      <c r="P25" s="778">
        <v>459</v>
      </c>
      <c r="Q25" s="777">
        <v>2860</v>
      </c>
      <c r="R25" s="777"/>
      <c r="S25" s="777"/>
      <c r="T25" s="2136"/>
      <c r="U25" s="1442"/>
      <c r="V25" s="777"/>
      <c r="W25" s="777"/>
      <c r="X25" s="2201"/>
      <c r="Y25" s="2196"/>
      <c r="Z25" s="777"/>
      <c r="AA25" s="777"/>
      <c r="AB25" s="1817"/>
      <c r="AC25" s="2196"/>
      <c r="AD25" s="2136"/>
      <c r="AE25" s="777"/>
      <c r="AF25" s="778"/>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row>
    <row r="26" spans="1:63" ht="13.5" customHeight="1" thickBot="1">
      <c r="A26" s="684" t="s">
        <v>349</v>
      </c>
      <c r="B26" s="114"/>
      <c r="C26" s="114"/>
      <c r="D26" s="685"/>
      <c r="E26" s="678">
        <f t="shared" ref="E26:AF26" si="0">SUM(E9:E25)</f>
        <v>251522</v>
      </c>
      <c r="F26" s="446">
        <f t="shared" si="0"/>
        <v>250556</v>
      </c>
      <c r="G26" s="446">
        <f t="shared" si="0"/>
        <v>201065</v>
      </c>
      <c r="H26" s="447">
        <f t="shared" si="0"/>
        <v>197612</v>
      </c>
      <c r="I26" s="448">
        <f t="shared" si="0"/>
        <v>215152</v>
      </c>
      <c r="J26" s="446">
        <f t="shared" si="0"/>
        <v>195444</v>
      </c>
      <c r="K26" s="446">
        <f t="shared" si="0"/>
        <v>227166</v>
      </c>
      <c r="L26" s="447">
        <f t="shared" si="0"/>
        <v>261396</v>
      </c>
      <c r="M26" s="446">
        <f t="shared" si="0"/>
        <v>233479</v>
      </c>
      <c r="N26" s="446">
        <f t="shared" si="0"/>
        <v>218139</v>
      </c>
      <c r="O26" s="446">
        <f t="shared" si="0"/>
        <v>282062</v>
      </c>
      <c r="P26" s="447">
        <f t="shared" si="0"/>
        <v>306275</v>
      </c>
      <c r="Q26" s="446">
        <f t="shared" si="0"/>
        <v>218525</v>
      </c>
      <c r="R26" s="446">
        <f t="shared" si="0"/>
        <v>0</v>
      </c>
      <c r="S26" s="446">
        <f t="shared" si="0"/>
        <v>0</v>
      </c>
      <c r="T26" s="2140">
        <f t="shared" si="0"/>
        <v>0</v>
      </c>
      <c r="U26" s="2206">
        <f t="shared" si="0"/>
        <v>0</v>
      </c>
      <c r="V26" s="2141">
        <f t="shared" si="0"/>
        <v>0</v>
      </c>
      <c r="W26" s="2141">
        <f t="shared" si="0"/>
        <v>0</v>
      </c>
      <c r="X26" s="2207">
        <f t="shared" si="0"/>
        <v>0</v>
      </c>
      <c r="Y26" s="2200">
        <f t="shared" si="0"/>
        <v>0</v>
      </c>
      <c r="Z26" s="446">
        <f t="shared" si="0"/>
        <v>0</v>
      </c>
      <c r="AA26" s="446">
        <f t="shared" si="0"/>
        <v>0</v>
      </c>
      <c r="AB26" s="2207">
        <f t="shared" si="0"/>
        <v>0</v>
      </c>
      <c r="AC26" s="2200">
        <f t="shared" si="0"/>
        <v>0</v>
      </c>
      <c r="AD26" s="2140">
        <f t="shared" si="0"/>
        <v>0</v>
      </c>
      <c r="AE26" s="2141">
        <f t="shared" si="0"/>
        <v>0</v>
      </c>
      <c r="AF26" s="447">
        <f t="shared" si="0"/>
        <v>0</v>
      </c>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row>
    <row r="27" spans="1:63" ht="13.5" customHeight="1">
      <c r="A27" s="224"/>
      <c r="E27" s="1369">
        <f t="shared" ref="E27:L27" si="1">SUM(E9:E26)-2*E25</f>
        <v>492078</v>
      </c>
      <c r="F27" s="1369">
        <f t="shared" si="1"/>
        <v>490682</v>
      </c>
      <c r="G27" s="1369">
        <f t="shared" si="1"/>
        <v>399686</v>
      </c>
      <c r="H27" s="1369">
        <f t="shared" si="1"/>
        <v>393976</v>
      </c>
      <c r="I27" s="1369">
        <f t="shared" si="1"/>
        <v>430182</v>
      </c>
      <c r="J27" s="1369">
        <f t="shared" si="1"/>
        <v>390738</v>
      </c>
      <c r="K27" s="1369">
        <f t="shared" si="1"/>
        <v>450814</v>
      </c>
      <c r="L27" s="1369">
        <f t="shared" si="1"/>
        <v>517270</v>
      </c>
      <c r="M27" s="580"/>
      <c r="N27" s="580"/>
      <c r="O27" s="580"/>
      <c r="P27" s="580"/>
      <c r="Q27" s="580"/>
      <c r="R27" s="580"/>
      <c r="S27" s="580"/>
      <c r="T27" s="580"/>
      <c r="U27" s="580"/>
      <c r="V27" s="580"/>
      <c r="W27" s="580"/>
      <c r="X27" s="580"/>
      <c r="Y27" s="580" t="s">
        <v>614</v>
      </c>
      <c r="Z27" s="580">
        <f>SUM(Y16:Z18)</f>
        <v>0</v>
      </c>
      <c r="AA27" s="580"/>
      <c r="AB27" s="580">
        <f>SUM(AA16:AB18)</f>
        <v>0</v>
      </c>
      <c r="AC27" s="580"/>
      <c r="AD27" s="580"/>
      <c r="AE27" s="580"/>
      <c r="AF27" s="580"/>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row>
    <row r="28" spans="1:63" ht="16.2" thickBot="1">
      <c r="E28" s="15"/>
      <c r="F28" s="15"/>
      <c r="G28" s="15"/>
      <c r="H28" s="15"/>
      <c r="I28" s="15"/>
      <c r="J28" s="15"/>
      <c r="K28" s="15"/>
      <c r="L28" s="15"/>
      <c r="M28" s="15"/>
      <c r="N28" s="15"/>
      <c r="O28" s="15"/>
      <c r="P28" s="15"/>
      <c r="Q28" s="688"/>
      <c r="R28" s="13"/>
      <c r="S28" s="13"/>
      <c r="T28" s="13"/>
      <c r="U28" s="13"/>
      <c r="V28" s="13"/>
      <c r="W28" s="13"/>
      <c r="X28" s="13"/>
      <c r="Y28" s="13"/>
      <c r="Z28" s="13"/>
      <c r="AA28" s="13"/>
      <c r="AB28" s="13"/>
      <c r="AC28" s="13"/>
      <c r="AD28" s="13"/>
      <c r="AE28" s="13"/>
      <c r="AF28" s="13"/>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row>
    <row r="29" spans="1:63" ht="16.2" thickBot="1">
      <c r="A29" s="518" t="str">
        <f>A7</f>
        <v>CWDM and DWDM Transceivers</v>
      </c>
      <c r="F29" s="458"/>
      <c r="G29" s="458" t="str">
        <f>Q29</f>
        <v>ASP: Actual Data</v>
      </c>
      <c r="H29" s="3"/>
      <c r="I29" s="1230"/>
      <c r="J29" s="458"/>
      <c r="K29" s="458"/>
      <c r="L29" s="458"/>
      <c r="M29" s="458"/>
      <c r="N29" s="458"/>
      <c r="P29" s="458"/>
      <c r="Q29" s="1748" t="s">
        <v>178</v>
      </c>
      <c r="Y29" s="1231" t="str">
        <f>Q29</f>
        <v>ASP: Actual Data</v>
      </c>
      <c r="AC29" s="1"/>
      <c r="AD29" s="1"/>
      <c r="AE29" s="1857" t="s">
        <v>438</v>
      </c>
      <c r="AF29" s="1710"/>
    </row>
    <row r="30" spans="1:63" ht="13.8" thickBot="1">
      <c r="A30" s="680" t="s">
        <v>217</v>
      </c>
      <c r="B30" s="681" t="s">
        <v>166</v>
      </c>
      <c r="C30" s="682" t="s">
        <v>176</v>
      </c>
      <c r="D30" s="683" t="s">
        <v>177</v>
      </c>
      <c r="E30" s="480" t="s">
        <v>100</v>
      </c>
      <c r="F30" s="460" t="s">
        <v>101</v>
      </c>
      <c r="G30" s="460" t="s">
        <v>102</v>
      </c>
      <c r="H30" s="461" t="s">
        <v>103</v>
      </c>
      <c r="I30" s="459" t="str">
        <f t="shared" ref="I30:N30" si="2">I8</f>
        <v>1Q 18</v>
      </c>
      <c r="J30" s="460" t="str">
        <f t="shared" si="2"/>
        <v>2Q 18</v>
      </c>
      <c r="K30" s="460" t="str">
        <f t="shared" si="2"/>
        <v>3Q 18</v>
      </c>
      <c r="L30" s="970" t="str">
        <f t="shared" si="2"/>
        <v>4Q 18</v>
      </c>
      <c r="M30" s="971" t="str">
        <f t="shared" si="2"/>
        <v>1Q 19</v>
      </c>
      <c r="N30" s="736" t="str">
        <f t="shared" si="2"/>
        <v>2Q 19</v>
      </c>
      <c r="O30" s="742" t="s">
        <v>110</v>
      </c>
      <c r="P30" s="1187" t="s">
        <v>111</v>
      </c>
      <c r="Q30" s="2124" t="s">
        <v>112</v>
      </c>
      <c r="R30" s="2125" t="s">
        <v>113</v>
      </c>
      <c r="S30" s="2125" t="str">
        <f>S8</f>
        <v>3Q 20</v>
      </c>
      <c r="T30" s="2126" t="str">
        <f>T8</f>
        <v>4Q 20</v>
      </c>
      <c r="U30" s="697" t="s">
        <v>463</v>
      </c>
      <c r="V30" s="2125" t="s">
        <v>464</v>
      </c>
      <c r="W30" s="2125" t="s">
        <v>465</v>
      </c>
      <c r="X30" s="1217" t="s">
        <v>466</v>
      </c>
      <c r="Y30" s="2124" t="s">
        <v>467</v>
      </c>
      <c r="Z30" s="2125" t="s">
        <v>468</v>
      </c>
      <c r="AA30" s="2125" t="s">
        <v>469</v>
      </c>
      <c r="AB30" s="2126" t="s">
        <v>470</v>
      </c>
      <c r="AC30" s="2179" t="s">
        <v>568</v>
      </c>
      <c r="AD30" s="2125" t="s">
        <v>594</v>
      </c>
      <c r="AE30" s="2133" t="s">
        <v>595</v>
      </c>
      <c r="AF30" s="462" t="s">
        <v>596</v>
      </c>
    </row>
    <row r="31" spans="1:63">
      <c r="A31" s="266" t="str">
        <f t="shared" ref="A31:D41" si="3">A9</f>
        <v>CWDM</v>
      </c>
      <c r="B31" s="438" t="str">
        <f t="shared" si="3"/>
        <v xml:space="preserve">1 Gbps </v>
      </c>
      <c r="C31" s="109" t="str">
        <f t="shared" si="3"/>
        <v>40 km</v>
      </c>
      <c r="D31" s="439" t="str">
        <f t="shared" si="3"/>
        <v>SFP</v>
      </c>
      <c r="E31" s="665">
        <v>80.738749853131239</v>
      </c>
      <c r="F31" s="141">
        <v>79.572702943800181</v>
      </c>
      <c r="G31" s="141">
        <v>76.831029662991142</v>
      </c>
      <c r="H31" s="278">
        <v>73.310040705563097</v>
      </c>
      <c r="I31" s="141">
        <v>74.213753442410493</v>
      </c>
      <c r="J31" s="141">
        <v>73.770818875780705</v>
      </c>
      <c r="K31" s="420">
        <v>70.363766456783054</v>
      </c>
      <c r="L31" s="972">
        <v>68.837693083909031</v>
      </c>
      <c r="M31" s="973">
        <v>70.658260664624081</v>
      </c>
      <c r="N31" s="737">
        <v>71.454934134504271</v>
      </c>
      <c r="O31" s="738">
        <v>56.609767229575532</v>
      </c>
      <c r="P31" s="972">
        <v>48.76750322959483</v>
      </c>
      <c r="Q31" s="1055" t="s">
        <v>445</v>
      </c>
      <c r="R31" s="993"/>
      <c r="S31" s="994"/>
      <c r="T31" s="2169"/>
      <c r="U31" s="2142"/>
      <c r="V31" s="1711"/>
      <c r="W31" s="994"/>
      <c r="X31" s="2135"/>
      <c r="Y31" s="2168"/>
      <c r="Z31" s="1711"/>
      <c r="AA31" s="994"/>
      <c r="AB31" s="2169"/>
      <c r="AC31" s="2142"/>
      <c r="AD31" s="1712"/>
      <c r="AE31" s="2142"/>
      <c r="AF31" s="996"/>
    </row>
    <row r="32" spans="1:63">
      <c r="A32" s="266" t="str">
        <f t="shared" si="3"/>
        <v>CWDM</v>
      </c>
      <c r="B32" s="438" t="str">
        <f t="shared" si="3"/>
        <v xml:space="preserve">1 Gbps </v>
      </c>
      <c r="C32" s="109" t="str">
        <f t="shared" si="3"/>
        <v>80km</v>
      </c>
      <c r="D32" s="439" t="str">
        <f t="shared" si="3"/>
        <v>SFP</v>
      </c>
      <c r="E32" s="665">
        <v>78.510153396468979</v>
      </c>
      <c r="F32" s="141">
        <v>82.876145530735201</v>
      </c>
      <c r="G32" s="141">
        <v>80.120507777579121</v>
      </c>
      <c r="H32" s="278">
        <v>81.701564053883018</v>
      </c>
      <c r="I32" s="141">
        <v>78.327505827505831</v>
      </c>
      <c r="J32" s="141">
        <v>76.253455480552873</v>
      </c>
      <c r="K32" s="420">
        <v>77.33270759717314</v>
      </c>
      <c r="L32" s="974">
        <v>75.448553481376621</v>
      </c>
      <c r="M32" s="973">
        <v>70.497778376194958</v>
      </c>
      <c r="N32" s="733">
        <v>71.104936530324395</v>
      </c>
      <c r="O32" s="416">
        <v>64.666666666666671</v>
      </c>
      <c r="P32" s="974">
        <v>61.333333333333336</v>
      </c>
      <c r="Q32" s="1055" t="s">
        <v>445</v>
      </c>
      <c r="R32" s="995"/>
      <c r="S32" s="989"/>
      <c r="T32" s="2169"/>
      <c r="U32" s="2152"/>
      <c r="V32" s="1712"/>
      <c r="W32" s="1713"/>
      <c r="X32" s="2135"/>
      <c r="Y32" s="2170"/>
      <c r="Z32" s="1712"/>
      <c r="AA32" s="1713"/>
      <c r="AB32" s="2169"/>
      <c r="AC32" s="2143"/>
      <c r="AD32" s="1712"/>
      <c r="AE32" s="2143"/>
      <c r="AF32" s="996"/>
    </row>
    <row r="33" spans="1:32">
      <c r="A33" s="266" t="str">
        <f t="shared" si="3"/>
        <v>CWDM</v>
      </c>
      <c r="B33" s="438" t="str">
        <f t="shared" si="3"/>
        <v>2.5 Gbps</v>
      </c>
      <c r="C33" s="109" t="str">
        <f t="shared" si="3"/>
        <v>40 km</v>
      </c>
      <c r="D33" s="439" t="str">
        <f t="shared" si="3"/>
        <v>SFP</v>
      </c>
      <c r="E33" s="666">
        <v>79.395015363605324</v>
      </c>
      <c r="F33" s="170">
        <v>67.951871014318371</v>
      </c>
      <c r="G33" s="170">
        <v>81.163642917217345</v>
      </c>
      <c r="H33" s="279">
        <v>88.344800672430353</v>
      </c>
      <c r="I33" s="170">
        <v>74.11523921261896</v>
      </c>
      <c r="J33" s="170">
        <v>74.621282694374798</v>
      </c>
      <c r="K33" s="624">
        <v>69.7783155856728</v>
      </c>
      <c r="L33" s="974">
        <v>68.001197809719358</v>
      </c>
      <c r="M33" s="973">
        <v>73.662214868218882</v>
      </c>
      <c r="N33" s="624">
        <v>71.672796352583589</v>
      </c>
      <c r="O33" s="416">
        <v>68.714814219076729</v>
      </c>
      <c r="P33" s="974">
        <v>67.010145846544077</v>
      </c>
      <c r="Q33" s="1055" t="s">
        <v>445</v>
      </c>
      <c r="R33" s="997"/>
      <c r="S33" s="989"/>
      <c r="T33" s="2169"/>
      <c r="U33" s="2152"/>
      <c r="V33" s="1712"/>
      <c r="W33" s="1713"/>
      <c r="X33" s="2135"/>
      <c r="Y33" s="2170"/>
      <c r="Z33" s="1712"/>
      <c r="AA33" s="1713"/>
      <c r="AB33" s="2169"/>
      <c r="AC33" s="2143"/>
      <c r="AD33" s="1712"/>
      <c r="AE33" s="2143"/>
      <c r="AF33" s="996"/>
    </row>
    <row r="34" spans="1:32">
      <c r="A34" s="266" t="str">
        <f t="shared" si="3"/>
        <v>CWDM</v>
      </c>
      <c r="B34" s="59" t="str">
        <f t="shared" si="3"/>
        <v>2.5 Gbps</v>
      </c>
      <c r="C34" s="109" t="str">
        <f t="shared" si="3"/>
        <v>80km</v>
      </c>
      <c r="D34" s="439" t="str">
        <f t="shared" si="3"/>
        <v>SFP</v>
      </c>
      <c r="E34" s="665">
        <v>122.46579148055343</v>
      </c>
      <c r="F34" s="141">
        <v>125.04509677419355</v>
      </c>
      <c r="G34" s="141">
        <v>162.86959847036329</v>
      </c>
      <c r="H34" s="278">
        <v>143.01765980498374</v>
      </c>
      <c r="I34" s="141">
        <v>135.07096188747718</v>
      </c>
      <c r="J34" s="141">
        <v>132.25611413043475</v>
      </c>
      <c r="K34" s="420">
        <v>78.391220298026496</v>
      </c>
      <c r="L34" s="974">
        <v>99.134323564833508</v>
      </c>
      <c r="M34" s="973">
        <v>118.29670432265884</v>
      </c>
      <c r="N34" s="733">
        <v>120.68930244022661</v>
      </c>
      <c r="O34" s="416">
        <v>108.07692307692308</v>
      </c>
      <c r="P34" s="974">
        <v>104.11764705882354</v>
      </c>
      <c r="Q34" s="1055" t="s">
        <v>445</v>
      </c>
      <c r="R34" s="995"/>
      <c r="S34" s="989"/>
      <c r="T34" s="2169"/>
      <c r="U34" s="2152"/>
      <c r="V34" s="1712"/>
      <c r="W34" s="1713"/>
      <c r="X34" s="2135"/>
      <c r="Y34" s="2170"/>
      <c r="Z34" s="1712"/>
      <c r="AA34" s="1713"/>
      <c r="AB34" s="2169"/>
      <c r="AC34" s="2143"/>
      <c r="AD34" s="1712"/>
      <c r="AE34" s="2143"/>
      <c r="AF34" s="996"/>
    </row>
    <row r="35" spans="1:32" ht="13.8" thickBot="1">
      <c r="A35" s="771" t="str">
        <f t="shared" si="3"/>
        <v>CWDM</v>
      </c>
      <c r="B35" s="772" t="str">
        <f t="shared" si="3"/>
        <v>10 Gbps</v>
      </c>
      <c r="C35" s="773" t="str">
        <f t="shared" si="3"/>
        <v>all</v>
      </c>
      <c r="D35" s="787" t="str">
        <f t="shared" si="3"/>
        <v>XFP/SFP+</v>
      </c>
      <c r="E35" s="667">
        <v>382.89909570414483</v>
      </c>
      <c r="F35" s="753">
        <v>370.94915552153077</v>
      </c>
      <c r="G35" s="753">
        <v>363.15097559952784</v>
      </c>
      <c r="H35" s="788">
        <v>359.56550323935386</v>
      </c>
      <c r="I35" s="753">
        <v>298.41486329300278</v>
      </c>
      <c r="J35" s="753">
        <v>283.81128550047663</v>
      </c>
      <c r="K35" s="758">
        <v>264.97371653156472</v>
      </c>
      <c r="L35" s="975">
        <v>279.04901669056187</v>
      </c>
      <c r="M35" s="976">
        <v>272.90649591744437</v>
      </c>
      <c r="N35" s="734">
        <v>259.32867331348967</v>
      </c>
      <c r="O35" s="758">
        <v>245.529244939546</v>
      </c>
      <c r="P35" s="975">
        <v>222.93410784046611</v>
      </c>
      <c r="Q35" s="1016">
        <v>64.398412193448252</v>
      </c>
      <c r="R35" s="1265"/>
      <c r="S35" s="758"/>
      <c r="T35" s="1018"/>
      <c r="U35" s="2153"/>
      <c r="V35" s="1270"/>
      <c r="W35" s="1111"/>
      <c r="X35" s="2166"/>
      <c r="Y35" s="2180"/>
      <c r="Z35" s="1270"/>
      <c r="AA35" s="1111"/>
      <c r="AB35" s="2181"/>
      <c r="AC35" s="2144"/>
      <c r="AD35" s="976"/>
      <c r="AE35" s="2144"/>
      <c r="AF35" s="975"/>
    </row>
    <row r="36" spans="1:32" ht="14.4">
      <c r="A36" s="463" t="str">
        <f t="shared" si="3"/>
        <v>DWDM</v>
      </c>
      <c r="B36" s="444" t="str">
        <f t="shared" si="3"/>
        <v>2.5 Gbps</v>
      </c>
      <c r="C36" s="445" t="str">
        <f t="shared" si="3"/>
        <v>all</v>
      </c>
      <c r="D36" s="435" t="str">
        <f t="shared" si="3"/>
        <v>SFP</v>
      </c>
      <c r="E36" s="665">
        <v>277.15902165856875</v>
      </c>
      <c r="F36" s="141">
        <v>266.65596911730813</v>
      </c>
      <c r="G36" s="141">
        <v>241.14147480814157</v>
      </c>
      <c r="H36" s="279">
        <v>226.40875429780462</v>
      </c>
      <c r="I36" s="141">
        <v>217.15849777211966</v>
      </c>
      <c r="J36" s="141">
        <v>229.2934458788483</v>
      </c>
      <c r="K36" s="420">
        <v>261.84106842400422</v>
      </c>
      <c r="L36" s="974">
        <v>242.17504370629385</v>
      </c>
      <c r="M36" s="973">
        <v>189.19391239792128</v>
      </c>
      <c r="N36" s="733">
        <v>182.78122100575246</v>
      </c>
      <c r="O36" s="420">
        <v>176.20421332321123</v>
      </c>
      <c r="P36" s="974">
        <v>166.63457044031037</v>
      </c>
      <c r="Q36" s="1055" t="s">
        <v>445</v>
      </c>
      <c r="R36" s="733"/>
      <c r="S36" s="986"/>
      <c r="T36" s="2169"/>
      <c r="U36" s="2154"/>
      <c r="V36" s="1714"/>
      <c r="W36" s="1112"/>
      <c r="X36" s="2165"/>
      <c r="Y36" s="2182"/>
      <c r="Z36" s="1714"/>
      <c r="AA36" s="1112"/>
      <c r="AB36" s="2055"/>
      <c r="AC36" s="2185"/>
      <c r="AD36" s="1712"/>
      <c r="AE36" s="2145"/>
      <c r="AF36" s="974"/>
    </row>
    <row r="37" spans="1:32" ht="14.4">
      <c r="A37" s="464" t="str">
        <f t="shared" si="3"/>
        <v>DWDM</v>
      </c>
      <c r="B37" s="440" t="str">
        <f t="shared" si="3"/>
        <v>10 Gbps fixed wavelength</v>
      </c>
      <c r="C37" s="109" t="str">
        <f t="shared" si="3"/>
        <v>all</v>
      </c>
      <c r="D37" s="439" t="str">
        <f t="shared" si="3"/>
        <v>XFP</v>
      </c>
      <c r="E37" s="666">
        <v>390.26491845085377</v>
      </c>
      <c r="F37" s="121">
        <v>390.74141412470914</v>
      </c>
      <c r="G37" s="121">
        <v>372.09814680239975</v>
      </c>
      <c r="H37" s="279">
        <v>351.28012118418661</v>
      </c>
      <c r="I37" s="121">
        <v>330.19546876509185</v>
      </c>
      <c r="J37" s="121">
        <v>382.0011529380501</v>
      </c>
      <c r="K37" s="416">
        <v>492.55354744168994</v>
      </c>
      <c r="L37" s="974">
        <v>510.09974836436811</v>
      </c>
      <c r="M37" s="977">
        <v>396.58726991270254</v>
      </c>
      <c r="N37" s="624">
        <v>364.60066504851642</v>
      </c>
      <c r="O37" s="416">
        <v>237.5492368415623</v>
      </c>
      <c r="P37" s="974">
        <v>254.98738369944951</v>
      </c>
      <c r="Q37" s="1266">
        <v>191.92006950477847</v>
      </c>
      <c r="R37" s="1218"/>
      <c r="S37" s="122"/>
      <c r="T37" s="2174"/>
      <c r="U37" s="2155"/>
      <c r="V37" s="1714"/>
      <c r="W37" s="1715"/>
      <c r="X37" s="2165"/>
      <c r="Y37" s="1223"/>
      <c r="Z37" s="1714"/>
      <c r="AA37" s="1715"/>
      <c r="AB37" s="2055"/>
      <c r="AC37" s="2143"/>
      <c r="AD37" s="1712"/>
      <c r="AE37" s="2146"/>
      <c r="AF37" s="974"/>
    </row>
    <row r="38" spans="1:32" ht="14.4">
      <c r="A38" s="464" t="str">
        <f t="shared" si="3"/>
        <v>DWDM</v>
      </c>
      <c r="B38" s="440" t="str">
        <f t="shared" si="3"/>
        <v>10 Gbps fixed wavelength</v>
      </c>
      <c r="C38" s="109" t="str">
        <f t="shared" si="3"/>
        <v>all</v>
      </c>
      <c r="D38" s="439" t="str">
        <f t="shared" si="3"/>
        <v>SFP+</v>
      </c>
      <c r="E38" s="666">
        <v>405.88688660956859</v>
      </c>
      <c r="F38" s="121">
        <v>390.47813718458815</v>
      </c>
      <c r="G38" s="121">
        <v>392.41777320473653</v>
      </c>
      <c r="H38" s="279">
        <v>367.83366392531912</v>
      </c>
      <c r="I38" s="121">
        <v>383.81253597441395</v>
      </c>
      <c r="J38" s="121">
        <v>385.32291208909345</v>
      </c>
      <c r="K38" s="416">
        <v>247.27208772014944</v>
      </c>
      <c r="L38" s="974">
        <v>158.71633130053999</v>
      </c>
      <c r="M38" s="977">
        <v>326.44271188589067</v>
      </c>
      <c r="N38" s="624">
        <v>306.15700883303145</v>
      </c>
      <c r="O38" s="416">
        <v>274.03139876466616</v>
      </c>
      <c r="P38" s="974">
        <v>261.12819779129052</v>
      </c>
      <c r="Q38" s="1266">
        <v>169.84441695398937</v>
      </c>
      <c r="R38" s="1218"/>
      <c r="S38" s="122"/>
      <c r="T38" s="2174"/>
      <c r="U38" s="2155"/>
      <c r="V38" s="1714"/>
      <c r="W38" s="1715"/>
      <c r="X38" s="2165"/>
      <c r="Y38" s="1223"/>
      <c r="Z38" s="1714"/>
      <c r="AA38" s="1715"/>
      <c r="AB38" s="2055"/>
      <c r="AC38" s="2146"/>
      <c r="AD38" s="973"/>
      <c r="AE38" s="2146"/>
      <c r="AF38" s="974"/>
    </row>
    <row r="39" spans="1:32" ht="26.4">
      <c r="A39" s="464" t="str">
        <f t="shared" si="3"/>
        <v>DWDM</v>
      </c>
      <c r="B39" s="441" t="str">
        <f t="shared" si="3"/>
        <v>10 Gbps tunable wavelength</v>
      </c>
      <c r="C39" s="109" t="str">
        <f t="shared" si="3"/>
        <v>all</v>
      </c>
      <c r="D39" s="442" t="str">
        <f t="shared" si="3"/>
        <v>XFP</v>
      </c>
      <c r="E39" s="668">
        <v>584.57035936282421</v>
      </c>
      <c r="F39" s="148">
        <v>570.7214963093902</v>
      </c>
      <c r="G39" s="148">
        <v>571.92450363960086</v>
      </c>
      <c r="H39" s="279">
        <v>554.11945990023037</v>
      </c>
      <c r="I39" s="148">
        <v>521.38225624165216</v>
      </c>
      <c r="J39" s="148">
        <v>498.84756229947152</v>
      </c>
      <c r="K39" s="625">
        <v>476.3808664232177</v>
      </c>
      <c r="L39" s="974">
        <v>456.88895003634093</v>
      </c>
      <c r="M39" s="977">
        <v>453.70632800274819</v>
      </c>
      <c r="N39" s="624">
        <v>452.36436736523575</v>
      </c>
      <c r="O39" s="625">
        <v>444.80060337512964</v>
      </c>
      <c r="P39" s="974">
        <v>441.75785386516048</v>
      </c>
      <c r="Q39" s="1266">
        <v>422.85714285714283</v>
      </c>
      <c r="R39" s="1218"/>
      <c r="S39" s="1113"/>
      <c r="T39" s="2174"/>
      <c r="U39" s="2156"/>
      <c r="V39" s="1714"/>
      <c r="W39" s="1716"/>
      <c r="X39" s="2165"/>
      <c r="Y39" s="2183"/>
      <c r="Z39" s="1714"/>
      <c r="AA39" s="1716"/>
      <c r="AB39" s="2055"/>
      <c r="AC39" s="2186"/>
      <c r="AD39" s="973"/>
      <c r="AE39" s="2146"/>
      <c r="AF39" s="974"/>
    </row>
    <row r="40" spans="1:32" ht="26.4">
      <c r="A40" s="464" t="str">
        <f t="shared" si="3"/>
        <v>DWDM</v>
      </c>
      <c r="B40" s="441" t="str">
        <f t="shared" si="3"/>
        <v>10 Gbps tunable wavelength</v>
      </c>
      <c r="C40" s="109" t="str">
        <f t="shared" si="3"/>
        <v>all</v>
      </c>
      <c r="D40" s="442" t="str">
        <f t="shared" si="3"/>
        <v>SFP+</v>
      </c>
      <c r="E40" s="666">
        <v>762.37581086925184</v>
      </c>
      <c r="F40" s="121">
        <v>715.14915572232644</v>
      </c>
      <c r="G40" s="121">
        <v>697.0259759987847</v>
      </c>
      <c r="H40" s="279">
        <v>679.24890162368672</v>
      </c>
      <c r="I40" s="121">
        <v>621.46559749799997</v>
      </c>
      <c r="J40" s="121">
        <v>610.73467801325592</v>
      </c>
      <c r="K40" s="416">
        <v>550.95019488324203</v>
      </c>
      <c r="L40" s="974">
        <v>531.98884475218642</v>
      </c>
      <c r="M40" s="977">
        <v>499.84287672049118</v>
      </c>
      <c r="N40" s="624">
        <v>493.05374513618699</v>
      </c>
      <c r="O40" s="416">
        <v>482.64344211594147</v>
      </c>
      <c r="P40" s="974">
        <v>481.25054126612974</v>
      </c>
      <c r="Q40" s="1266">
        <v>411.20678896792714</v>
      </c>
      <c r="R40" s="1218"/>
      <c r="S40" s="122"/>
      <c r="T40" s="2174"/>
      <c r="U40" s="2155"/>
      <c r="V40" s="1714"/>
      <c r="W40" s="1715"/>
      <c r="X40" s="2165"/>
      <c r="Y40" s="1223"/>
      <c r="Z40" s="1714"/>
      <c r="AA40" s="1715"/>
      <c r="AB40" s="2055"/>
      <c r="AC40" s="2146"/>
      <c r="AD40" s="973"/>
      <c r="AE40" s="2146"/>
      <c r="AF40" s="974"/>
    </row>
    <row r="41" spans="1:32" ht="14.4">
      <c r="A41" s="464" t="str">
        <f t="shared" si="3"/>
        <v>DWDM</v>
      </c>
      <c r="B41" s="443" t="str">
        <f t="shared" si="3"/>
        <v>40 Gbps</v>
      </c>
      <c r="C41" s="109" t="str">
        <f t="shared" si="3"/>
        <v>all</v>
      </c>
      <c r="D41" s="442" t="str">
        <f t="shared" si="3"/>
        <v>all</v>
      </c>
      <c r="E41" s="666">
        <v>8000</v>
      </c>
      <c r="F41" s="121">
        <v>7500</v>
      </c>
      <c r="G41" s="121">
        <v>0</v>
      </c>
      <c r="H41" s="279">
        <v>0</v>
      </c>
      <c r="I41" s="121"/>
      <c r="J41" s="121"/>
      <c r="K41" s="416"/>
      <c r="L41" s="974"/>
      <c r="M41" s="977"/>
      <c r="N41" s="624"/>
      <c r="O41" s="416"/>
      <c r="P41" s="974"/>
      <c r="Q41" s="1266">
        <v>0</v>
      </c>
      <c r="R41" s="1218"/>
      <c r="S41" s="122"/>
      <c r="T41" s="2174"/>
      <c r="U41" s="2155"/>
      <c r="V41" s="1714"/>
      <c r="W41" s="1715"/>
      <c r="X41" s="2165"/>
      <c r="Y41" s="1223"/>
      <c r="Z41" s="1714"/>
      <c r="AA41" s="1715"/>
      <c r="AB41" s="2055"/>
      <c r="AC41" s="2146"/>
      <c r="AD41" s="973"/>
      <c r="AE41" s="2146"/>
      <c r="AF41" s="974"/>
    </row>
    <row r="42" spans="1:32" ht="14.4">
      <c r="A42" s="1919" t="str">
        <f t="shared" ref="A42:D42" si="4">A20</f>
        <v>DWDM</v>
      </c>
      <c r="B42" s="1920" t="str">
        <f t="shared" si="4"/>
        <v>100 Gbps to 800 Gbps</v>
      </c>
      <c r="C42" s="1917" t="str">
        <f t="shared" si="4"/>
        <v>all</v>
      </c>
      <c r="D42" s="1262" t="str">
        <f t="shared" si="4"/>
        <v>On Board</v>
      </c>
      <c r="E42" s="1925">
        <v>12126.760563380281</v>
      </c>
      <c r="F42" s="1926">
        <v>11629.032258064517</v>
      </c>
      <c r="G42" s="1926">
        <v>11637.931034482759</v>
      </c>
      <c r="H42" s="1927">
        <v>11000</v>
      </c>
      <c r="I42" s="1926">
        <v>9954.2857142857138</v>
      </c>
      <c r="J42" s="1926">
        <v>9519.4029850746265</v>
      </c>
      <c r="K42" s="1928">
        <v>8879.0706976744186</v>
      </c>
      <c r="L42" s="974">
        <v>8711.2359550561796</v>
      </c>
      <c r="M42" s="1929">
        <v>7876.9230769230771</v>
      </c>
      <c r="N42" s="1930">
        <v>8086.0759493670885</v>
      </c>
      <c r="O42" s="1928">
        <v>7953.1914893617022</v>
      </c>
      <c r="P42" s="974">
        <v>7937.7777777777774</v>
      </c>
      <c r="Q42" s="1931">
        <v>7794.666666666667</v>
      </c>
      <c r="R42" s="1932"/>
      <c r="S42" s="1717"/>
      <c r="T42" s="2174"/>
      <c r="U42" s="2193"/>
      <c r="V42" s="1714"/>
      <c r="W42" s="1717"/>
      <c r="X42" s="2165"/>
      <c r="Y42" s="2189"/>
      <c r="Z42" s="1714"/>
      <c r="AA42" s="1717"/>
      <c r="AB42" s="2055"/>
      <c r="AC42" s="2187"/>
      <c r="AD42" s="973"/>
      <c r="AE42" s="2146"/>
      <c r="AF42" s="974"/>
    </row>
    <row r="43" spans="1:32" ht="14.4">
      <c r="A43" s="464" t="str">
        <f t="shared" ref="A43:D46" si="5">A21</f>
        <v>DWDM</v>
      </c>
      <c r="B43" s="623" t="str">
        <f t="shared" ref="B43:B46" si="6">B21</f>
        <v>100 Gbps</v>
      </c>
      <c r="C43" s="109" t="str">
        <f t="shared" si="5"/>
        <v>all</v>
      </c>
      <c r="D43" s="419" t="str">
        <f t="shared" si="5"/>
        <v>Direct detect</v>
      </c>
      <c r="E43" s="669">
        <v>4322.679525222552</v>
      </c>
      <c r="F43" s="177">
        <v>3148.5620107128143</v>
      </c>
      <c r="G43" s="177">
        <v>2910.5537705537704</v>
      </c>
      <c r="H43" s="279">
        <v>2850.1918014291086</v>
      </c>
      <c r="I43" s="177">
        <v>2802.1872284969591</v>
      </c>
      <c r="J43" s="177">
        <v>2707.2748729121276</v>
      </c>
      <c r="K43" s="421">
        <v>2650</v>
      </c>
      <c r="L43" s="974">
        <v>2600</v>
      </c>
      <c r="M43" s="977">
        <v>2500</v>
      </c>
      <c r="N43" s="624">
        <v>2500</v>
      </c>
      <c r="O43" s="421">
        <v>2450</v>
      </c>
      <c r="P43" s="974">
        <v>2400</v>
      </c>
      <c r="Q43" s="1266">
        <v>2300</v>
      </c>
      <c r="R43" s="1218"/>
      <c r="S43" s="1114"/>
      <c r="T43" s="2174"/>
      <c r="U43" s="2193"/>
      <c r="V43" s="1714"/>
      <c r="W43" s="1717"/>
      <c r="X43" s="2165"/>
      <c r="Y43" s="2189"/>
      <c r="Z43" s="1714"/>
      <c r="AA43" s="1717"/>
      <c r="AB43" s="2055"/>
      <c r="AC43" s="2187"/>
      <c r="AD43" s="973"/>
      <c r="AE43" s="2146"/>
      <c r="AF43" s="974"/>
    </row>
    <row r="44" spans="1:32" ht="14.4">
      <c r="A44" s="464" t="str">
        <f t="shared" si="5"/>
        <v>DWDM</v>
      </c>
      <c r="B44" s="623" t="str">
        <f t="shared" si="6"/>
        <v>100/200 Gbps</v>
      </c>
      <c r="C44" s="109" t="str">
        <f t="shared" si="5"/>
        <v>all</v>
      </c>
      <c r="D44" s="419" t="str">
        <f t="shared" si="5"/>
        <v>CFP/CFP2 DCO</v>
      </c>
      <c r="E44" s="669">
        <v>7270.588235294118</v>
      </c>
      <c r="F44" s="177">
        <v>7018.0180180180178</v>
      </c>
      <c r="G44" s="177">
        <v>6846.666666666667</v>
      </c>
      <c r="H44" s="279">
        <v>6557.5221238938057</v>
      </c>
      <c r="I44" s="177">
        <v>6085.7142857142853</v>
      </c>
      <c r="J44" s="177">
        <v>5935.8490566037735</v>
      </c>
      <c r="K44" s="421">
        <v>5637.2093023255811</v>
      </c>
      <c r="L44" s="974">
        <v>5467.8571428571431</v>
      </c>
      <c r="M44" s="978">
        <v>5112.6213592233007</v>
      </c>
      <c r="N44" s="624">
        <v>4925.9259259259261</v>
      </c>
      <c r="O44" s="421">
        <v>4862.505563643057</v>
      </c>
      <c r="P44" s="974">
        <v>4757.3742690748231</v>
      </c>
      <c r="Q44" s="1267">
        <v>4480.4975199158271</v>
      </c>
      <c r="R44" s="1218"/>
      <c r="S44" s="1114"/>
      <c r="T44" s="2174"/>
      <c r="U44" s="2193"/>
      <c r="V44" s="1714"/>
      <c r="W44" s="1717"/>
      <c r="X44" s="2165"/>
      <c r="Y44" s="2189"/>
      <c r="Z44" s="1714"/>
      <c r="AA44" s="1717"/>
      <c r="AB44" s="2055"/>
      <c r="AC44" s="2187"/>
      <c r="AD44" s="973"/>
      <c r="AE44" s="2146"/>
      <c r="AF44" s="974"/>
    </row>
    <row r="45" spans="1:32" ht="14.4">
      <c r="A45" s="464" t="str">
        <f t="shared" si="5"/>
        <v>DWDM</v>
      </c>
      <c r="B45" s="623" t="str">
        <f t="shared" si="6"/>
        <v xml:space="preserve">100/200 Gbps </v>
      </c>
      <c r="C45" s="109" t="str">
        <f t="shared" si="5"/>
        <v>all</v>
      </c>
      <c r="D45" s="419" t="str">
        <f t="shared" si="5"/>
        <v>CFP2 ACO</v>
      </c>
      <c r="E45" s="669">
        <v>7882.1471579961462</v>
      </c>
      <c r="F45" s="177">
        <v>7715.3664535169701</v>
      </c>
      <c r="G45" s="177">
        <v>7350.9566466766619</v>
      </c>
      <c r="H45" s="279">
        <v>7110.4748928352728</v>
      </c>
      <c r="I45" s="177">
        <v>6277.6591330551691</v>
      </c>
      <c r="J45" s="177">
        <v>5559.2255589238348</v>
      </c>
      <c r="K45" s="421">
        <v>4638.3392807359915</v>
      </c>
      <c r="L45" s="974">
        <v>4521.9814241486083</v>
      </c>
      <c r="M45" s="977">
        <v>4304.0190803019923</v>
      </c>
      <c r="N45" s="624">
        <v>4131.8773854961846</v>
      </c>
      <c r="O45" s="421">
        <v>3651.1792494874767</v>
      </c>
      <c r="P45" s="974">
        <v>3558.5872385235571</v>
      </c>
      <c r="Q45" s="1266">
        <v>3351.1811023622049</v>
      </c>
      <c r="R45" s="1218"/>
      <c r="S45" s="1114"/>
      <c r="T45" s="2174"/>
      <c r="U45" s="2193"/>
      <c r="V45" s="1714"/>
      <c r="W45" s="1717"/>
      <c r="X45" s="2165"/>
      <c r="Y45" s="2189"/>
      <c r="Z45" s="1714"/>
      <c r="AA45" s="1717"/>
      <c r="AB45" s="2055"/>
      <c r="AC45" s="2187"/>
      <c r="AD45" s="973"/>
      <c r="AE45" s="2146"/>
      <c r="AF45" s="974"/>
    </row>
    <row r="46" spans="1:32" ht="14.4">
      <c r="A46" s="464" t="str">
        <f t="shared" si="5"/>
        <v>DWDM</v>
      </c>
      <c r="B46" s="623" t="str">
        <f t="shared" si="6"/>
        <v>400 Gbps</v>
      </c>
      <c r="C46" s="109" t="str">
        <f t="shared" si="5"/>
        <v>all</v>
      </c>
      <c r="D46" s="419" t="str">
        <f t="shared" si="5"/>
        <v>ZR &amp; ZR+</v>
      </c>
      <c r="E46" s="789"/>
      <c r="F46" s="755"/>
      <c r="G46" s="755"/>
      <c r="H46" s="790"/>
      <c r="I46" s="755"/>
      <c r="J46" s="755"/>
      <c r="K46" s="739"/>
      <c r="L46" s="979"/>
      <c r="M46" s="980"/>
      <c r="N46" s="791"/>
      <c r="O46" s="741"/>
      <c r="P46" s="979"/>
      <c r="Q46" s="1268"/>
      <c r="R46" s="1269"/>
      <c r="S46" s="1115"/>
      <c r="T46" s="2195"/>
      <c r="U46" s="2194"/>
      <c r="V46" s="1718"/>
      <c r="W46" s="1115"/>
      <c r="X46" s="2184"/>
      <c r="Y46" s="2190"/>
      <c r="Z46" s="1718"/>
      <c r="AA46" s="1115"/>
      <c r="AB46" s="2191"/>
      <c r="AC46" s="2187"/>
      <c r="AD46" s="2149"/>
      <c r="AE46" s="2146"/>
      <c r="AF46" s="974"/>
    </row>
    <row r="47" spans="1:32" ht="15" thickBot="1">
      <c r="A47" s="785" t="str">
        <f>A25</f>
        <v>DWDM</v>
      </c>
      <c r="B47" s="2227" t="str">
        <f>B25</f>
        <v>Miscellaneous</v>
      </c>
      <c r="C47" s="2227"/>
      <c r="D47" s="2227"/>
      <c r="E47" s="670">
        <v>160.48787160313697</v>
      </c>
      <c r="F47" s="451">
        <v>132.86251198465965</v>
      </c>
      <c r="G47" s="451">
        <v>601.71603927986916</v>
      </c>
      <c r="H47" s="452">
        <v>600.8782051282052</v>
      </c>
      <c r="I47" s="451">
        <v>251.09836065573771</v>
      </c>
      <c r="J47" s="451">
        <v>401.74666666666701</v>
      </c>
      <c r="K47" s="453">
        <v>253.28709494030716</v>
      </c>
      <c r="L47" s="975">
        <v>243.49438609199566</v>
      </c>
      <c r="M47" s="976">
        <v>243.86081694402435</v>
      </c>
      <c r="N47" s="740">
        <v>235.22352024922108</v>
      </c>
      <c r="O47" s="741">
        <v>200</v>
      </c>
      <c r="P47" s="975">
        <v>190</v>
      </c>
      <c r="Q47" s="1270">
        <v>68.217682317682332</v>
      </c>
      <c r="R47" s="1271"/>
      <c r="S47" s="1115"/>
      <c r="T47" s="2172"/>
      <c r="U47" s="2194"/>
      <c r="V47" s="1270"/>
      <c r="W47" s="1115"/>
      <c r="X47" s="2166"/>
      <c r="Y47" s="2190"/>
      <c r="Z47" s="1270"/>
      <c r="AA47" s="1115"/>
      <c r="AB47" s="2181"/>
      <c r="AC47" s="2188"/>
      <c r="AD47" s="2150"/>
      <c r="AE47" s="2147"/>
      <c r="AF47" s="975"/>
    </row>
    <row r="48" spans="1:32" ht="13.8" thickBot="1">
      <c r="A48" s="2213" t="str">
        <f>A26</f>
        <v>Total CWDM/DWDM</v>
      </c>
      <c r="B48" s="114"/>
      <c r="C48" s="114"/>
      <c r="D48" s="466"/>
      <c r="E48" s="792">
        <f t="shared" ref="E48:J48" si="7">E70/E26</f>
        <v>1178.8417773789113</v>
      </c>
      <c r="F48" s="793">
        <f t="shared" si="7"/>
        <v>1270.6710746422636</v>
      </c>
      <c r="G48" s="793">
        <f t="shared" si="7"/>
        <v>1669.6605996073029</v>
      </c>
      <c r="H48" s="794">
        <f t="shared" si="7"/>
        <v>1541.2407714345006</v>
      </c>
      <c r="I48" s="793">
        <f t="shared" si="7"/>
        <v>1197.079572893138</v>
      </c>
      <c r="J48" s="793">
        <f t="shared" si="7"/>
        <v>1298.8971468590985</v>
      </c>
      <c r="K48" s="793">
        <v>945.87048655978322</v>
      </c>
      <c r="L48" s="981">
        <v>815.12648697940722</v>
      </c>
      <c r="M48" s="982"/>
      <c r="N48" s="797"/>
      <c r="O48" s="798"/>
      <c r="P48" s="981"/>
      <c r="Q48" s="982"/>
      <c r="R48" s="797"/>
      <c r="S48" s="1116"/>
      <c r="T48" s="2178"/>
      <c r="U48" s="2157"/>
      <c r="V48" s="1719"/>
      <c r="W48" s="1116"/>
      <c r="X48" s="2167"/>
      <c r="Y48" s="2177"/>
      <c r="Z48" s="1719"/>
      <c r="AA48" s="2158"/>
      <c r="AB48" s="2192"/>
      <c r="AC48" s="2148"/>
      <c r="AD48" s="2151"/>
      <c r="AE48" s="2148"/>
      <c r="AF48" s="1729"/>
    </row>
    <row r="49" spans="1:32">
      <c r="A49" s="23"/>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row>
    <row r="50" spans="1:32" ht="16.2" thickBot="1">
      <c r="Q50" s="688"/>
      <c r="R50" s="13"/>
      <c r="S50" s="688"/>
      <c r="T50" s="13"/>
      <c r="U50" s="688"/>
      <c r="V50" s="13"/>
      <c r="W50" s="688"/>
      <c r="X50" s="13"/>
      <c r="Y50" s="688"/>
      <c r="Z50" s="13"/>
      <c r="AA50" s="688"/>
      <c r="AB50" s="13"/>
      <c r="AC50" s="688"/>
      <c r="AD50" s="13"/>
      <c r="AE50" s="688"/>
      <c r="AF50" s="13"/>
    </row>
    <row r="51" spans="1:32" ht="16.2" thickBot="1">
      <c r="A51" s="518" t="str">
        <f>A29</f>
        <v>CWDM and DWDM Transceivers</v>
      </c>
      <c r="F51" s="458"/>
      <c r="G51" s="458" t="str">
        <f>Q51</f>
        <v>Sales: Actual Data</v>
      </c>
      <c r="H51" s="3"/>
      <c r="I51" s="1230"/>
      <c r="J51" s="458"/>
      <c r="K51" s="458"/>
      <c r="L51" s="458"/>
      <c r="M51" s="458"/>
      <c r="N51" s="458"/>
      <c r="P51" s="458"/>
      <c r="Q51" s="1748" t="s">
        <v>165</v>
      </c>
      <c r="Y51" s="1231" t="str">
        <f>Q51</f>
        <v>Sales: Actual Data</v>
      </c>
      <c r="AC51" s="1"/>
      <c r="AD51" s="1"/>
      <c r="AE51" s="1857" t="s">
        <v>612</v>
      </c>
      <c r="AF51" s="1710"/>
    </row>
    <row r="52" spans="1:32" ht="13.8" thickBot="1">
      <c r="A52" s="680" t="s">
        <v>217</v>
      </c>
      <c r="B52" s="681" t="s">
        <v>166</v>
      </c>
      <c r="C52" s="682" t="s">
        <v>176</v>
      </c>
      <c r="D52" s="683" t="s">
        <v>177</v>
      </c>
      <c r="E52" s="480" t="s">
        <v>100</v>
      </c>
      <c r="F52" s="460" t="s">
        <v>101</v>
      </c>
      <c r="G52" s="460" t="s">
        <v>102</v>
      </c>
      <c r="H52" s="461" t="s">
        <v>103</v>
      </c>
      <c r="I52" s="459" t="str">
        <f t="shared" ref="I52:N52" si="8">I8</f>
        <v>1Q 18</v>
      </c>
      <c r="J52" s="460" t="str">
        <f t="shared" si="8"/>
        <v>2Q 18</v>
      </c>
      <c r="K52" s="460" t="str">
        <f t="shared" si="8"/>
        <v>3Q 18</v>
      </c>
      <c r="L52" s="461" t="str">
        <f t="shared" si="8"/>
        <v>4Q 18</v>
      </c>
      <c r="M52" s="735" t="str">
        <f t="shared" si="8"/>
        <v>1Q 19</v>
      </c>
      <c r="N52" s="735" t="str">
        <f t="shared" si="8"/>
        <v>2Q 19</v>
      </c>
      <c r="O52" s="735" t="s">
        <v>110</v>
      </c>
      <c r="P52" s="745" t="s">
        <v>111</v>
      </c>
      <c r="Q52" s="2163" t="s">
        <v>112</v>
      </c>
      <c r="R52" s="2125" t="s">
        <v>113</v>
      </c>
      <c r="S52" s="2125" t="str">
        <f>S8</f>
        <v>3Q 20</v>
      </c>
      <c r="T52" s="1217" t="str">
        <f>T8</f>
        <v>4Q 20</v>
      </c>
      <c r="U52" s="2124" t="s">
        <v>463</v>
      </c>
      <c r="V52" s="2125" t="s">
        <v>464</v>
      </c>
      <c r="W52" s="2125" t="s">
        <v>465</v>
      </c>
      <c r="X52" s="2126" t="s">
        <v>466</v>
      </c>
      <c r="Y52" s="2124" t="s">
        <v>467</v>
      </c>
      <c r="Z52" s="2125" t="s">
        <v>468</v>
      </c>
      <c r="AA52" s="2125" t="s">
        <v>469</v>
      </c>
      <c r="AB52" s="2126" t="s">
        <v>470</v>
      </c>
      <c r="AC52" s="2179" t="s">
        <v>568</v>
      </c>
      <c r="AD52" s="2125" t="s">
        <v>594</v>
      </c>
      <c r="AE52" s="2133" t="s">
        <v>595</v>
      </c>
      <c r="AF52" s="2128" t="s">
        <v>596</v>
      </c>
    </row>
    <row r="53" spans="1:32">
      <c r="A53" s="266" t="str">
        <f t="shared" ref="A53:D63" si="9">A9</f>
        <v>CWDM</v>
      </c>
      <c r="B53" s="438" t="str">
        <f t="shared" si="9"/>
        <v xml:space="preserve">1 Gbps </v>
      </c>
      <c r="C53" s="109" t="str">
        <f t="shared" si="9"/>
        <v>40 km</v>
      </c>
      <c r="D53" s="661" t="str">
        <f t="shared" si="9"/>
        <v>SFP</v>
      </c>
      <c r="E53" s="665">
        <f t="shared" ref="E53:P53" si="10">E9*E31</f>
        <v>1374335</v>
      </c>
      <c r="F53" s="141">
        <f t="shared" si="10"/>
        <v>1338015</v>
      </c>
      <c r="G53" s="141">
        <f t="shared" si="10"/>
        <v>989429.99999999988</v>
      </c>
      <c r="H53" s="278">
        <f t="shared" si="10"/>
        <v>648354</v>
      </c>
      <c r="I53" s="141">
        <f t="shared" si="10"/>
        <v>916243</v>
      </c>
      <c r="J53" s="141">
        <f t="shared" si="10"/>
        <v>850430</v>
      </c>
      <c r="K53" s="141">
        <f t="shared" si="10"/>
        <v>737553</v>
      </c>
      <c r="L53" s="743">
        <f t="shared" si="10"/>
        <v>886836</v>
      </c>
      <c r="M53" s="746">
        <f t="shared" si="10"/>
        <v>599606</v>
      </c>
      <c r="N53" s="747">
        <f t="shared" si="10"/>
        <v>618371</v>
      </c>
      <c r="O53" s="747">
        <f t="shared" si="10"/>
        <v>354377.14285714284</v>
      </c>
      <c r="P53" s="984">
        <f t="shared" si="10"/>
        <v>415255.29</v>
      </c>
      <c r="Q53" s="1107" t="s">
        <v>445</v>
      </c>
      <c r="R53" s="747"/>
      <c r="S53" s="747"/>
      <c r="T53" s="2135"/>
      <c r="U53" s="2168"/>
      <c r="V53" s="1711"/>
      <c r="W53" s="994"/>
      <c r="X53" s="2169"/>
      <c r="Y53" s="2168"/>
      <c r="Z53" s="1711"/>
      <c r="AA53" s="994"/>
      <c r="AB53" s="2169"/>
      <c r="AC53" s="2142"/>
      <c r="AD53" s="994"/>
      <c r="AE53" s="2142"/>
      <c r="AF53" s="1730"/>
    </row>
    <row r="54" spans="1:32">
      <c r="A54" s="266" t="str">
        <f t="shared" si="9"/>
        <v>CWDM</v>
      </c>
      <c r="B54" s="438" t="str">
        <f t="shared" si="9"/>
        <v xml:space="preserve">1 Gbps </v>
      </c>
      <c r="C54" s="109" t="str">
        <f t="shared" si="9"/>
        <v>80km</v>
      </c>
      <c r="D54" s="661" t="str">
        <f t="shared" si="9"/>
        <v>SFP</v>
      </c>
      <c r="E54" s="665">
        <f t="shared" ref="E54:P54" si="11">E10*E32</f>
        <v>1126699.2113927263</v>
      </c>
      <c r="F54" s="141">
        <f t="shared" si="11"/>
        <v>1598432.2188512897</v>
      </c>
      <c r="G54" s="141">
        <f t="shared" si="11"/>
        <v>896228</v>
      </c>
      <c r="H54" s="278">
        <f t="shared" si="11"/>
        <v>903701.00000000012</v>
      </c>
      <c r="I54" s="141">
        <f t="shared" si="11"/>
        <v>672050</v>
      </c>
      <c r="J54" s="141">
        <f t="shared" si="11"/>
        <v>474449</v>
      </c>
      <c r="K54" s="141">
        <f t="shared" si="11"/>
        <v>700325</v>
      </c>
      <c r="L54" s="743">
        <f t="shared" si="11"/>
        <v>852795</v>
      </c>
      <c r="M54" s="749">
        <f t="shared" si="11"/>
        <v>523586.99999999994</v>
      </c>
      <c r="N54" s="121">
        <f t="shared" si="11"/>
        <v>504133.99999999994</v>
      </c>
      <c r="O54" s="121">
        <f t="shared" si="11"/>
        <v>388000</v>
      </c>
      <c r="P54" s="278">
        <f t="shared" si="11"/>
        <v>368000</v>
      </c>
      <c r="Q54" s="1108" t="s">
        <v>445</v>
      </c>
      <c r="R54" s="121"/>
      <c r="S54" s="121"/>
      <c r="T54" s="2135"/>
      <c r="U54" s="2170"/>
      <c r="V54" s="1712"/>
      <c r="W54" s="1713"/>
      <c r="X54" s="2169"/>
      <c r="Y54" s="2170"/>
      <c r="Z54" s="1712"/>
      <c r="AA54" s="1713"/>
      <c r="AB54" s="2169"/>
      <c r="AC54" s="2152"/>
      <c r="AD54" s="986"/>
      <c r="AE54" s="2152"/>
      <c r="AF54" s="1731"/>
    </row>
    <row r="55" spans="1:32">
      <c r="A55" s="266" t="str">
        <f t="shared" si="9"/>
        <v>CWDM</v>
      </c>
      <c r="B55" s="438" t="str">
        <f t="shared" si="9"/>
        <v>2.5 Gbps</v>
      </c>
      <c r="C55" s="109" t="str">
        <f t="shared" si="9"/>
        <v>40 km</v>
      </c>
      <c r="D55" s="661" t="str">
        <f t="shared" si="9"/>
        <v>SFP</v>
      </c>
      <c r="E55" s="666">
        <f t="shared" ref="E55:P55" si="12">E11*E33</f>
        <v>697644</v>
      </c>
      <c r="F55" s="170">
        <f t="shared" si="12"/>
        <v>564748</v>
      </c>
      <c r="G55" s="170">
        <f t="shared" si="12"/>
        <v>675525</v>
      </c>
      <c r="H55" s="279">
        <f t="shared" si="12"/>
        <v>1471471</v>
      </c>
      <c r="I55" s="170">
        <f t="shared" si="12"/>
        <v>568538</v>
      </c>
      <c r="J55" s="170">
        <f t="shared" si="12"/>
        <v>416536.00000000012</v>
      </c>
      <c r="K55" s="170">
        <f t="shared" si="12"/>
        <v>576648</v>
      </c>
      <c r="L55" s="170">
        <f t="shared" si="12"/>
        <v>794797.99999999988</v>
      </c>
      <c r="M55" s="751">
        <f t="shared" si="12"/>
        <v>623256</v>
      </c>
      <c r="N55" s="121">
        <f t="shared" si="12"/>
        <v>471607</v>
      </c>
      <c r="O55" s="121">
        <f t="shared" si="12"/>
        <v>427200</v>
      </c>
      <c r="P55" s="279">
        <f t="shared" si="12"/>
        <v>422700.00000000006</v>
      </c>
      <c r="Q55" s="1109" t="s">
        <v>445</v>
      </c>
      <c r="R55" s="121"/>
      <c r="S55" s="121"/>
      <c r="T55" s="2135"/>
      <c r="U55" s="2170"/>
      <c r="V55" s="1712"/>
      <c r="W55" s="1713"/>
      <c r="X55" s="2169"/>
      <c r="Y55" s="2170"/>
      <c r="Z55" s="1712"/>
      <c r="AA55" s="1713"/>
      <c r="AB55" s="2169"/>
      <c r="AC55" s="2152"/>
      <c r="AD55" s="1713"/>
      <c r="AE55" s="2152"/>
      <c r="AF55" s="2159"/>
    </row>
    <row r="56" spans="1:32">
      <c r="A56" s="266" t="str">
        <f t="shared" si="9"/>
        <v>CWDM</v>
      </c>
      <c r="B56" s="59" t="str">
        <f t="shared" si="9"/>
        <v>2.5 Gbps</v>
      </c>
      <c r="C56" s="109" t="str">
        <f t="shared" si="9"/>
        <v>80km</v>
      </c>
      <c r="D56" s="661" t="str">
        <f t="shared" si="9"/>
        <v>SFP</v>
      </c>
      <c r="E56" s="665">
        <f t="shared" ref="E56:P56" si="13">E12*E34</f>
        <v>2248227</v>
      </c>
      <c r="F56" s="141">
        <f t="shared" si="13"/>
        <v>1938199</v>
      </c>
      <c r="G56" s="141">
        <f t="shared" si="13"/>
        <v>851808</v>
      </c>
      <c r="H56" s="278">
        <f t="shared" si="13"/>
        <v>1320053</v>
      </c>
      <c r="I56" s="141">
        <f t="shared" si="13"/>
        <v>744240.9999999993</v>
      </c>
      <c r="J56" s="141">
        <f t="shared" si="13"/>
        <v>973404.99999999977</v>
      </c>
      <c r="K56" s="141">
        <f t="shared" si="13"/>
        <v>973226.99999999895</v>
      </c>
      <c r="L56" s="743">
        <f t="shared" si="13"/>
        <v>1234718.0000000014</v>
      </c>
      <c r="M56" s="749">
        <f t="shared" si="13"/>
        <v>1267075.9999999988</v>
      </c>
      <c r="N56" s="121">
        <f t="shared" si="13"/>
        <v>979272.99999999872</v>
      </c>
      <c r="O56" s="121">
        <f t="shared" si="13"/>
        <v>562000</v>
      </c>
      <c r="P56" s="278">
        <f t="shared" si="13"/>
        <v>531000</v>
      </c>
      <c r="Q56" s="1108" t="s">
        <v>445</v>
      </c>
      <c r="R56" s="121"/>
      <c r="S56" s="121"/>
      <c r="T56" s="2135"/>
      <c r="U56" s="2170"/>
      <c r="V56" s="1712"/>
      <c r="W56" s="1713"/>
      <c r="X56" s="2169"/>
      <c r="Y56" s="2170"/>
      <c r="Z56" s="1712"/>
      <c r="AA56" s="1713"/>
      <c r="AB56" s="2169"/>
      <c r="AC56" s="2152"/>
      <c r="AD56" s="986"/>
      <c r="AE56" s="2152"/>
      <c r="AF56" s="1731"/>
    </row>
    <row r="57" spans="1:32" ht="13.8" thickBot="1">
      <c r="A57" s="771" t="str">
        <f t="shared" si="9"/>
        <v>CWDM</v>
      </c>
      <c r="B57" s="772" t="str">
        <f t="shared" si="9"/>
        <v>10 Gbps</v>
      </c>
      <c r="C57" s="773" t="str">
        <f t="shared" si="9"/>
        <v>all</v>
      </c>
      <c r="D57" s="662" t="str">
        <f t="shared" si="9"/>
        <v>XFP/SFP+</v>
      </c>
      <c r="E57" s="667">
        <f t="shared" ref="E57:P57" si="14">E13*E35</f>
        <v>8536735.3387239091</v>
      </c>
      <c r="F57" s="753">
        <f t="shared" si="14"/>
        <v>7970213.5555356098</v>
      </c>
      <c r="G57" s="753">
        <f t="shared" si="14"/>
        <v>6056995.122024525</v>
      </c>
      <c r="H57" s="788">
        <f t="shared" si="14"/>
        <v>5132797.5587417763</v>
      </c>
      <c r="I57" s="753">
        <f t="shared" si="14"/>
        <v>14847034.693416767</v>
      </c>
      <c r="J57" s="753">
        <f t="shared" si="14"/>
        <v>14063700.630405119</v>
      </c>
      <c r="K57" s="753">
        <f t="shared" si="14"/>
        <v>9708372</v>
      </c>
      <c r="L57" s="744">
        <f t="shared" si="14"/>
        <v>10315605</v>
      </c>
      <c r="M57" s="752">
        <f t="shared" si="14"/>
        <v>13224775.885663437</v>
      </c>
      <c r="N57" s="753">
        <f t="shared" si="14"/>
        <v>15438873.237045294</v>
      </c>
      <c r="O57" s="753">
        <f t="shared" si="14"/>
        <v>16474766.806198597</v>
      </c>
      <c r="P57" s="788">
        <f t="shared" si="14"/>
        <v>19331954.095493861</v>
      </c>
      <c r="Q57" s="983">
        <f t="shared" ref="Q57:AB57" si="15">Q13*Q35</f>
        <v>4942513.73743496</v>
      </c>
      <c r="R57" s="753">
        <f t="shared" si="15"/>
        <v>0</v>
      </c>
      <c r="S57" s="753">
        <f t="shared" si="15"/>
        <v>0</v>
      </c>
      <c r="T57" s="2164">
        <f t="shared" si="15"/>
        <v>0</v>
      </c>
      <c r="U57" s="2171">
        <f t="shared" si="15"/>
        <v>0</v>
      </c>
      <c r="V57" s="1270">
        <f t="shared" si="15"/>
        <v>0</v>
      </c>
      <c r="W57" s="1111">
        <f t="shared" si="15"/>
        <v>0</v>
      </c>
      <c r="X57" s="2172">
        <f t="shared" si="15"/>
        <v>0</v>
      </c>
      <c r="Y57" s="2180">
        <f t="shared" si="15"/>
        <v>0</v>
      </c>
      <c r="Z57" s="1270">
        <f t="shared" si="15"/>
        <v>0</v>
      </c>
      <c r="AA57" s="1111">
        <f t="shared" si="15"/>
        <v>0</v>
      </c>
      <c r="AB57" s="2181">
        <f t="shared" si="15"/>
        <v>0</v>
      </c>
      <c r="AC57" s="2153">
        <f t="shared" ref="AC57:AF63" si="16">AC35*AC13</f>
        <v>0</v>
      </c>
      <c r="AD57" s="1111">
        <f t="shared" si="16"/>
        <v>0</v>
      </c>
      <c r="AE57" s="2153">
        <f t="shared" si="16"/>
        <v>0</v>
      </c>
      <c r="AF57" s="1757">
        <f t="shared" si="16"/>
        <v>0</v>
      </c>
    </row>
    <row r="58" spans="1:32" ht="14.4">
      <c r="A58" s="463" t="str">
        <f t="shared" si="9"/>
        <v>DWDM</v>
      </c>
      <c r="B58" s="444" t="str">
        <f t="shared" si="9"/>
        <v>2.5 Gbps</v>
      </c>
      <c r="C58" s="445" t="str">
        <f t="shared" si="9"/>
        <v>all</v>
      </c>
      <c r="D58" s="663" t="str">
        <f t="shared" si="9"/>
        <v>SFP</v>
      </c>
      <c r="E58" s="665">
        <f t="shared" ref="E58:P58" si="17">E14*E36</f>
        <v>6731084.0000000009</v>
      </c>
      <c r="F58" s="141">
        <f t="shared" si="17"/>
        <v>4628081</v>
      </c>
      <c r="G58" s="141">
        <f t="shared" si="17"/>
        <v>1445402.0000000005</v>
      </c>
      <c r="H58" s="279">
        <f t="shared" si="17"/>
        <v>1712102.9999999986</v>
      </c>
      <c r="I58" s="141">
        <f t="shared" si="17"/>
        <v>1364624</v>
      </c>
      <c r="J58" s="141">
        <f t="shared" si="17"/>
        <v>923594.00000000093</v>
      </c>
      <c r="K58" s="141">
        <f t="shared" si="17"/>
        <v>3734900.9999999963</v>
      </c>
      <c r="L58" s="279">
        <f t="shared" si="17"/>
        <v>3324579.0000000019</v>
      </c>
      <c r="M58" s="141">
        <f t="shared" si="17"/>
        <v>1274220.9999999998</v>
      </c>
      <c r="N58" s="141">
        <f t="shared" si="17"/>
        <v>985008</v>
      </c>
      <c r="O58" s="141">
        <f t="shared" si="17"/>
        <v>1856840</v>
      </c>
      <c r="P58" s="278">
        <f t="shared" si="17"/>
        <v>1782490</v>
      </c>
      <c r="Q58" s="1110" t="s">
        <v>445</v>
      </c>
      <c r="R58" s="141"/>
      <c r="S58" s="141">
        <v>0</v>
      </c>
      <c r="T58" s="2135"/>
      <c r="U58" s="2173">
        <v>0</v>
      </c>
      <c r="V58" s="1714">
        <v>0</v>
      </c>
      <c r="W58" s="1112">
        <v>0</v>
      </c>
      <c r="X58" s="2174">
        <v>0</v>
      </c>
      <c r="Y58" s="2182">
        <v>0</v>
      </c>
      <c r="Z58" s="1714">
        <v>0</v>
      </c>
      <c r="AA58" s="1112">
        <v>0</v>
      </c>
      <c r="AB58" s="2055">
        <v>0</v>
      </c>
      <c r="AC58" s="2154">
        <f t="shared" si="16"/>
        <v>0</v>
      </c>
      <c r="AD58" s="1112">
        <f t="shared" si="16"/>
        <v>0</v>
      </c>
      <c r="AE58" s="2154">
        <f t="shared" si="16"/>
        <v>0</v>
      </c>
      <c r="AF58" s="2160">
        <f t="shared" si="16"/>
        <v>0</v>
      </c>
    </row>
    <row r="59" spans="1:32" ht="14.4">
      <c r="A59" s="464" t="str">
        <f t="shared" si="9"/>
        <v>DWDM</v>
      </c>
      <c r="B59" s="440" t="str">
        <f t="shared" si="9"/>
        <v>10 Gbps fixed wavelength</v>
      </c>
      <c r="C59" s="109" t="str">
        <f t="shared" si="9"/>
        <v>all</v>
      </c>
      <c r="D59" s="661" t="str">
        <f t="shared" si="9"/>
        <v>XFP</v>
      </c>
      <c r="E59" s="666">
        <f t="shared" ref="E59:P59" si="18">E15*E37</f>
        <v>10110202.977387818</v>
      </c>
      <c r="F59" s="121">
        <f t="shared" si="18"/>
        <v>9187893.6117284112</v>
      </c>
      <c r="G59" s="121">
        <f t="shared" si="18"/>
        <v>6955258.5600304566</v>
      </c>
      <c r="H59" s="279">
        <f t="shared" si="18"/>
        <v>6462500.3894254807</v>
      </c>
      <c r="I59" s="121">
        <f t="shared" si="18"/>
        <v>5330675.6477436423</v>
      </c>
      <c r="J59" s="121">
        <f t="shared" si="18"/>
        <v>3697389.159287387</v>
      </c>
      <c r="K59" s="121">
        <f t="shared" si="18"/>
        <v>4033520.9999999991</v>
      </c>
      <c r="L59" s="279">
        <f t="shared" si="18"/>
        <v>5067840.9999999972</v>
      </c>
      <c r="M59" s="121">
        <f t="shared" si="18"/>
        <v>4745563.2717753984</v>
      </c>
      <c r="N59" s="121">
        <f t="shared" si="18"/>
        <v>4745277.6556064412</v>
      </c>
      <c r="O59" s="121">
        <f t="shared" si="18"/>
        <v>3667522.6675968803</v>
      </c>
      <c r="P59" s="279">
        <f t="shared" si="18"/>
        <v>2731679.8415722027</v>
      </c>
      <c r="Q59" s="121">
        <f t="shared" ref="Q59:AB59" si="19">Q15*Q37</f>
        <v>1104500</v>
      </c>
      <c r="R59" s="121">
        <f t="shared" si="19"/>
        <v>0</v>
      </c>
      <c r="S59" s="121">
        <f t="shared" si="19"/>
        <v>0</v>
      </c>
      <c r="T59" s="2165">
        <f t="shared" si="19"/>
        <v>0</v>
      </c>
      <c r="U59" s="2175">
        <f t="shared" si="19"/>
        <v>0</v>
      </c>
      <c r="V59" s="1714">
        <f t="shared" si="19"/>
        <v>0</v>
      </c>
      <c r="W59" s="1715">
        <f t="shared" si="19"/>
        <v>0</v>
      </c>
      <c r="X59" s="2174">
        <f t="shared" si="19"/>
        <v>0</v>
      </c>
      <c r="Y59" s="1223">
        <f t="shared" si="19"/>
        <v>0</v>
      </c>
      <c r="Z59" s="1714">
        <f t="shared" si="19"/>
        <v>0</v>
      </c>
      <c r="AA59" s="1715">
        <f t="shared" si="19"/>
        <v>0</v>
      </c>
      <c r="AB59" s="2055">
        <f t="shared" si="19"/>
        <v>0</v>
      </c>
      <c r="AC59" s="2155">
        <f t="shared" si="16"/>
        <v>0</v>
      </c>
      <c r="AD59" s="1715">
        <f t="shared" si="16"/>
        <v>0</v>
      </c>
      <c r="AE59" s="2155">
        <f t="shared" si="16"/>
        <v>0</v>
      </c>
      <c r="AF59" s="2161">
        <f t="shared" si="16"/>
        <v>0</v>
      </c>
    </row>
    <row r="60" spans="1:32" ht="14.4">
      <c r="A60" s="464" t="str">
        <f t="shared" si="9"/>
        <v>DWDM</v>
      </c>
      <c r="B60" s="440" t="str">
        <f t="shared" si="9"/>
        <v>10 Gbps fixed wavelength</v>
      </c>
      <c r="C60" s="109" t="str">
        <f t="shared" si="9"/>
        <v>all</v>
      </c>
      <c r="D60" s="661" t="str">
        <f t="shared" si="9"/>
        <v>SFP+</v>
      </c>
      <c r="E60" s="666">
        <f t="shared" ref="E60:P60" si="20">E16*E38</f>
        <v>8938846.903802529</v>
      </c>
      <c r="F60" s="121">
        <f t="shared" si="20"/>
        <v>13591372.52098396</v>
      </c>
      <c r="G60" s="121">
        <f t="shared" si="20"/>
        <v>10871149.571090816</v>
      </c>
      <c r="H60" s="279">
        <f t="shared" si="20"/>
        <v>8022084.3765472844</v>
      </c>
      <c r="I60" s="121">
        <f t="shared" si="20"/>
        <v>6925897.2116582999</v>
      </c>
      <c r="J60" s="121">
        <f t="shared" si="20"/>
        <v>3397006.7929774476</v>
      </c>
      <c r="K60" s="121">
        <f t="shared" si="20"/>
        <v>5096525</v>
      </c>
      <c r="L60" s="279">
        <f t="shared" si="20"/>
        <v>5907898</v>
      </c>
      <c r="M60" s="121">
        <f t="shared" si="20"/>
        <v>4513396.9345343243</v>
      </c>
      <c r="N60" s="121">
        <f t="shared" si="20"/>
        <v>5045773.6625771914</v>
      </c>
      <c r="O60" s="121">
        <f t="shared" si="20"/>
        <v>14760427.263059977</v>
      </c>
      <c r="P60" s="279">
        <f t="shared" si="20"/>
        <v>10326575.709854376</v>
      </c>
      <c r="Q60" s="121">
        <f t="shared" ref="Q60:AB60" si="21">Q16*Q38</f>
        <v>3961960.7142857099</v>
      </c>
      <c r="R60" s="121">
        <f t="shared" si="21"/>
        <v>0</v>
      </c>
      <c r="S60" s="121">
        <f t="shared" si="21"/>
        <v>0</v>
      </c>
      <c r="T60" s="2165">
        <f t="shared" si="21"/>
        <v>0</v>
      </c>
      <c r="U60" s="2175">
        <f t="shared" si="21"/>
        <v>0</v>
      </c>
      <c r="V60" s="1714">
        <f t="shared" si="21"/>
        <v>0</v>
      </c>
      <c r="W60" s="1715">
        <f t="shared" si="21"/>
        <v>0</v>
      </c>
      <c r="X60" s="2174">
        <f t="shared" si="21"/>
        <v>0</v>
      </c>
      <c r="Y60" s="1223">
        <f t="shared" si="21"/>
        <v>0</v>
      </c>
      <c r="Z60" s="1714">
        <f t="shared" si="21"/>
        <v>0</v>
      </c>
      <c r="AA60" s="1715">
        <f t="shared" si="21"/>
        <v>0</v>
      </c>
      <c r="AB60" s="2055">
        <f t="shared" si="21"/>
        <v>0</v>
      </c>
      <c r="AC60" s="2155">
        <f t="shared" si="16"/>
        <v>0</v>
      </c>
      <c r="AD60" s="1715">
        <f t="shared" si="16"/>
        <v>0</v>
      </c>
      <c r="AE60" s="2155">
        <f t="shared" si="16"/>
        <v>0</v>
      </c>
      <c r="AF60" s="2161">
        <f t="shared" si="16"/>
        <v>0</v>
      </c>
    </row>
    <row r="61" spans="1:32" ht="16.05" customHeight="1">
      <c r="A61" s="464" t="str">
        <f t="shared" si="9"/>
        <v>DWDM</v>
      </c>
      <c r="B61" s="441" t="str">
        <f t="shared" si="9"/>
        <v>10 Gbps tunable wavelength</v>
      </c>
      <c r="C61" s="109" t="str">
        <f t="shared" si="9"/>
        <v>all</v>
      </c>
      <c r="D61" s="664" t="str">
        <f t="shared" si="9"/>
        <v>XFP</v>
      </c>
      <c r="E61" s="668">
        <f t="shared" ref="E61:P61" si="22">E17*E39</f>
        <v>32257177.000000004</v>
      </c>
      <c r="F61" s="148">
        <f t="shared" si="22"/>
        <v>23892114.000000004</v>
      </c>
      <c r="G61" s="148">
        <f t="shared" si="22"/>
        <v>25378006.000000007</v>
      </c>
      <c r="H61" s="279">
        <f t="shared" si="22"/>
        <v>23104565.000000004</v>
      </c>
      <c r="I61" s="148">
        <f t="shared" si="22"/>
        <v>20298454</v>
      </c>
      <c r="J61" s="148">
        <f t="shared" si="22"/>
        <v>20678727.999999993</v>
      </c>
      <c r="K61" s="148">
        <f t="shared" si="22"/>
        <v>24786096.480000015</v>
      </c>
      <c r="L61" s="279">
        <f t="shared" si="22"/>
        <v>24516204.170000017</v>
      </c>
      <c r="M61" s="148">
        <f t="shared" si="22"/>
        <v>23775119.000000011</v>
      </c>
      <c r="N61" s="121">
        <f t="shared" si="22"/>
        <v>16145788.999999994</v>
      </c>
      <c r="O61" s="148">
        <f t="shared" si="22"/>
        <v>14154000</v>
      </c>
      <c r="P61" s="279">
        <f t="shared" si="22"/>
        <v>12514999.999999996</v>
      </c>
      <c r="Q61" s="148">
        <f t="shared" ref="Q61:AB61" si="23">Q17*Q39</f>
        <v>8880000</v>
      </c>
      <c r="R61" s="121">
        <f t="shared" si="23"/>
        <v>0</v>
      </c>
      <c r="S61" s="148">
        <f t="shared" si="23"/>
        <v>0</v>
      </c>
      <c r="T61" s="2165">
        <f t="shared" si="23"/>
        <v>0</v>
      </c>
      <c r="U61" s="2176">
        <f t="shared" si="23"/>
        <v>0</v>
      </c>
      <c r="V61" s="1714">
        <f t="shared" si="23"/>
        <v>0</v>
      </c>
      <c r="W61" s="1716">
        <f t="shared" si="23"/>
        <v>0</v>
      </c>
      <c r="X61" s="2174">
        <f t="shared" si="23"/>
        <v>0</v>
      </c>
      <c r="Y61" s="2183">
        <f t="shared" si="23"/>
        <v>0</v>
      </c>
      <c r="Z61" s="1714">
        <f t="shared" si="23"/>
        <v>0</v>
      </c>
      <c r="AA61" s="1716">
        <f t="shared" si="23"/>
        <v>0</v>
      </c>
      <c r="AB61" s="2055">
        <f t="shared" si="23"/>
        <v>0</v>
      </c>
      <c r="AC61" s="2156">
        <f t="shared" si="16"/>
        <v>0</v>
      </c>
      <c r="AD61" s="1715">
        <f t="shared" si="16"/>
        <v>0</v>
      </c>
      <c r="AE61" s="2156">
        <f t="shared" si="16"/>
        <v>0</v>
      </c>
      <c r="AF61" s="2161">
        <f t="shared" si="16"/>
        <v>0</v>
      </c>
    </row>
    <row r="62" spans="1:32" ht="16.05" customHeight="1">
      <c r="A62" s="464" t="str">
        <f t="shared" si="9"/>
        <v>DWDM</v>
      </c>
      <c r="B62" s="441" t="str">
        <f t="shared" si="9"/>
        <v>10 Gbps tunable wavelength</v>
      </c>
      <c r="C62" s="109" t="str">
        <f t="shared" si="9"/>
        <v>all</v>
      </c>
      <c r="D62" s="664" t="str">
        <f t="shared" si="9"/>
        <v>SFP+</v>
      </c>
      <c r="E62" s="666">
        <f t="shared" ref="E62:P62" si="24">E18*E40</f>
        <v>10577202</v>
      </c>
      <c r="F62" s="121">
        <f t="shared" si="24"/>
        <v>14484631</v>
      </c>
      <c r="G62" s="121">
        <f t="shared" si="24"/>
        <v>13765566</v>
      </c>
      <c r="H62" s="279">
        <f t="shared" si="24"/>
        <v>14223472</v>
      </c>
      <c r="I62" s="121">
        <f t="shared" si="24"/>
        <v>17089061.000000004</v>
      </c>
      <c r="J62" s="121">
        <f t="shared" si="24"/>
        <v>14927577.000000002</v>
      </c>
      <c r="K62" s="121">
        <f t="shared" si="24"/>
        <v>12834935.740000006</v>
      </c>
      <c r="L62" s="279">
        <f t="shared" si="24"/>
        <v>16057551.289999995</v>
      </c>
      <c r="M62" s="121">
        <f t="shared" si="24"/>
        <v>16777726.000000007</v>
      </c>
      <c r="N62" s="121">
        <f t="shared" si="24"/>
        <v>12164622.000000006</v>
      </c>
      <c r="O62" s="121">
        <f t="shared" si="24"/>
        <v>19507000.000000007</v>
      </c>
      <c r="P62" s="279">
        <f t="shared" si="24"/>
        <v>27785000</v>
      </c>
      <c r="Q62" s="121">
        <f t="shared" ref="Q62:AB62" si="25">Q18*Q40</f>
        <v>19770000</v>
      </c>
      <c r="R62" s="121">
        <f t="shared" si="25"/>
        <v>0</v>
      </c>
      <c r="S62" s="121">
        <f t="shared" si="25"/>
        <v>0</v>
      </c>
      <c r="T62" s="2165">
        <f t="shared" si="25"/>
        <v>0</v>
      </c>
      <c r="U62" s="2175">
        <f t="shared" si="25"/>
        <v>0</v>
      </c>
      <c r="V62" s="1714">
        <f t="shared" si="25"/>
        <v>0</v>
      </c>
      <c r="W62" s="1715">
        <f t="shared" si="25"/>
        <v>0</v>
      </c>
      <c r="X62" s="2174">
        <f t="shared" si="25"/>
        <v>0</v>
      </c>
      <c r="Y62" s="1223">
        <f t="shared" si="25"/>
        <v>0</v>
      </c>
      <c r="Z62" s="1714">
        <f t="shared" si="25"/>
        <v>0</v>
      </c>
      <c r="AA62" s="1715">
        <f t="shared" si="25"/>
        <v>0</v>
      </c>
      <c r="AB62" s="2055">
        <f t="shared" si="25"/>
        <v>0</v>
      </c>
      <c r="AC62" s="2155">
        <f t="shared" si="16"/>
        <v>0</v>
      </c>
      <c r="AD62" s="1715">
        <f t="shared" si="16"/>
        <v>0</v>
      </c>
      <c r="AE62" s="2155">
        <f t="shared" si="16"/>
        <v>0</v>
      </c>
      <c r="AF62" s="2161">
        <f t="shared" si="16"/>
        <v>0</v>
      </c>
    </row>
    <row r="63" spans="1:32" ht="14.4">
      <c r="A63" s="464" t="str">
        <f t="shared" si="9"/>
        <v>DWDM</v>
      </c>
      <c r="B63" s="443" t="str">
        <f t="shared" si="9"/>
        <v>40 Gbps</v>
      </c>
      <c r="C63" s="109" t="str">
        <f t="shared" si="9"/>
        <v>all</v>
      </c>
      <c r="D63" s="664" t="str">
        <f t="shared" si="9"/>
        <v>all</v>
      </c>
      <c r="E63" s="666">
        <f t="shared" ref="E63:Q63" si="26">E19*E41</f>
        <v>1856000</v>
      </c>
      <c r="F63" s="121">
        <f t="shared" si="26"/>
        <v>390000</v>
      </c>
      <c r="G63" s="121">
        <f t="shared" si="26"/>
        <v>0</v>
      </c>
      <c r="H63" s="279">
        <f t="shared" si="26"/>
        <v>0</v>
      </c>
      <c r="I63" s="121">
        <f t="shared" si="26"/>
        <v>0</v>
      </c>
      <c r="J63" s="121">
        <f t="shared" si="26"/>
        <v>0</v>
      </c>
      <c r="K63" s="121">
        <f t="shared" si="26"/>
        <v>0</v>
      </c>
      <c r="L63" s="279">
        <f t="shared" si="26"/>
        <v>0</v>
      </c>
      <c r="M63" s="121">
        <f t="shared" si="26"/>
        <v>0</v>
      </c>
      <c r="N63" s="121">
        <f t="shared" si="26"/>
        <v>0</v>
      </c>
      <c r="O63" s="121">
        <f t="shared" si="26"/>
        <v>0</v>
      </c>
      <c r="P63" s="279">
        <f t="shared" si="26"/>
        <v>0</v>
      </c>
      <c r="Q63" s="121">
        <f t="shared" si="26"/>
        <v>0</v>
      </c>
      <c r="R63" s="121">
        <f t="shared" ref="R63:T63" si="27">R19*R41</f>
        <v>0</v>
      </c>
      <c r="S63" s="121">
        <f t="shared" si="27"/>
        <v>0</v>
      </c>
      <c r="T63" s="2058">
        <f t="shared" si="27"/>
        <v>0</v>
      </c>
      <c r="U63" s="2175">
        <f t="shared" ref="U63:AB63" si="28">U19*U41</f>
        <v>0</v>
      </c>
      <c r="V63" s="1714">
        <f t="shared" si="28"/>
        <v>0</v>
      </c>
      <c r="W63" s="1715">
        <f t="shared" si="28"/>
        <v>0</v>
      </c>
      <c r="X63" s="2174">
        <f t="shared" si="28"/>
        <v>0</v>
      </c>
      <c r="Y63" s="1223">
        <f t="shared" si="28"/>
        <v>0</v>
      </c>
      <c r="Z63" s="1714">
        <f t="shared" si="28"/>
        <v>0</v>
      </c>
      <c r="AA63" s="1715">
        <f t="shared" si="28"/>
        <v>0</v>
      </c>
      <c r="AB63" s="2055">
        <f t="shared" si="28"/>
        <v>0</v>
      </c>
      <c r="AC63" s="2155">
        <f t="shared" si="16"/>
        <v>0</v>
      </c>
      <c r="AD63" s="1715">
        <f t="shared" si="16"/>
        <v>0</v>
      </c>
      <c r="AE63" s="2155">
        <f t="shared" si="16"/>
        <v>0</v>
      </c>
      <c r="AF63" s="2161">
        <f t="shared" si="16"/>
        <v>0</v>
      </c>
    </row>
    <row r="64" spans="1:32" ht="14.4">
      <c r="A64" s="1919" t="str">
        <f t="shared" ref="A64:D64" si="29">A20</f>
        <v>DWDM</v>
      </c>
      <c r="B64" s="1933" t="str">
        <f t="shared" si="29"/>
        <v>100 Gbps to 800 Gbps</v>
      </c>
      <c r="C64" s="1917" t="str">
        <f t="shared" si="29"/>
        <v>all</v>
      </c>
      <c r="D64" s="1921" t="str">
        <f t="shared" si="29"/>
        <v>On Board</v>
      </c>
      <c r="E64" s="1925">
        <f t="shared" ref="E64:Q64" si="30">E20*E42</f>
        <v>43050000</v>
      </c>
      <c r="F64" s="1926">
        <f t="shared" si="30"/>
        <v>36050000</v>
      </c>
      <c r="G64" s="1926">
        <f t="shared" si="30"/>
        <v>33750000</v>
      </c>
      <c r="H64" s="1927">
        <f t="shared" si="30"/>
        <v>40700000</v>
      </c>
      <c r="I64" s="1926">
        <f t="shared" si="30"/>
        <v>34840000</v>
      </c>
      <c r="J64" s="1926">
        <f t="shared" si="30"/>
        <v>31890000</v>
      </c>
      <c r="K64" s="1926">
        <f t="shared" si="30"/>
        <v>38180004</v>
      </c>
      <c r="L64" s="1927">
        <f t="shared" si="30"/>
        <v>38765000</v>
      </c>
      <c r="M64" s="1926">
        <f t="shared" si="30"/>
        <v>35840000</v>
      </c>
      <c r="N64" s="1078">
        <f t="shared" si="30"/>
        <v>31940000</v>
      </c>
      <c r="O64" s="1926">
        <f t="shared" si="30"/>
        <v>37380000</v>
      </c>
      <c r="P64" s="1927">
        <f t="shared" si="30"/>
        <v>35720000</v>
      </c>
      <c r="Q64" s="121">
        <f t="shared" si="30"/>
        <v>29230000</v>
      </c>
      <c r="R64" s="121">
        <f t="shared" ref="R64:AB64" si="31">R20*R42</f>
        <v>0</v>
      </c>
      <c r="S64" s="121">
        <f t="shared" si="31"/>
        <v>0</v>
      </c>
      <c r="T64" s="2058">
        <f t="shared" si="31"/>
        <v>0</v>
      </c>
      <c r="U64" s="2175">
        <f t="shared" si="31"/>
        <v>0</v>
      </c>
      <c r="V64" s="1714">
        <f t="shared" si="31"/>
        <v>0</v>
      </c>
      <c r="W64" s="1715">
        <f t="shared" si="31"/>
        <v>0</v>
      </c>
      <c r="X64" s="2174">
        <f t="shared" si="31"/>
        <v>0</v>
      </c>
      <c r="Y64" s="1223">
        <f t="shared" si="31"/>
        <v>0</v>
      </c>
      <c r="Z64" s="1714">
        <f t="shared" si="31"/>
        <v>0</v>
      </c>
      <c r="AA64" s="1715">
        <f t="shared" si="31"/>
        <v>0</v>
      </c>
      <c r="AB64" s="2055">
        <f t="shared" si="31"/>
        <v>0</v>
      </c>
      <c r="AC64" s="2155">
        <f t="shared" ref="AC64:AF64" si="32">AC42*AC20</f>
        <v>0</v>
      </c>
      <c r="AD64" s="1715">
        <f t="shared" si="32"/>
        <v>0</v>
      </c>
      <c r="AE64" s="2155">
        <f t="shared" si="32"/>
        <v>0</v>
      </c>
      <c r="AF64" s="2161">
        <f t="shared" si="32"/>
        <v>0</v>
      </c>
    </row>
    <row r="65" spans="1:32" ht="14.4">
      <c r="A65" s="464" t="str">
        <f t="shared" ref="A65:D65" si="33">A21</f>
        <v>DWDM</v>
      </c>
      <c r="B65" s="443" t="str">
        <f t="shared" si="33"/>
        <v>100 Gbps</v>
      </c>
      <c r="C65" s="109" t="str">
        <f t="shared" si="33"/>
        <v>all</v>
      </c>
      <c r="D65" s="664" t="str">
        <f t="shared" si="33"/>
        <v>Direct detect</v>
      </c>
      <c r="E65" s="666">
        <f t="shared" ref="E65:P65" si="34">E21*E42</f>
        <v>40867183.098591551</v>
      </c>
      <c r="F65" s="121">
        <f t="shared" si="34"/>
        <v>84670983.870967746</v>
      </c>
      <c r="G65" s="121">
        <f t="shared" si="34"/>
        <v>123152586.20689656</v>
      </c>
      <c r="H65" s="279">
        <f t="shared" si="34"/>
        <v>116996000</v>
      </c>
      <c r="I65" s="121">
        <f t="shared" si="34"/>
        <v>65698285.714285709</v>
      </c>
      <c r="J65" s="121">
        <f t="shared" si="34"/>
        <v>71395522.388059705</v>
      </c>
      <c r="K65" s="121">
        <f t="shared" si="34"/>
        <v>57713959.534883723</v>
      </c>
      <c r="L65" s="279">
        <f t="shared" si="34"/>
        <v>56623033.707865164</v>
      </c>
      <c r="M65" s="121">
        <f t="shared" si="34"/>
        <v>47261538.461538464</v>
      </c>
      <c r="N65" s="121">
        <f t="shared" si="34"/>
        <v>68731645.569620252</v>
      </c>
      <c r="O65" s="121">
        <f t="shared" si="34"/>
        <v>87485106.382978722</v>
      </c>
      <c r="P65" s="279">
        <f t="shared" si="34"/>
        <v>99222222.222222224</v>
      </c>
      <c r="Q65" s="121">
        <f t="shared" ref="Q65:AB68" si="35">Q21*Q43</f>
        <v>25300000</v>
      </c>
      <c r="R65" s="121">
        <f t="shared" si="35"/>
        <v>0</v>
      </c>
      <c r="S65" s="121">
        <f t="shared" si="35"/>
        <v>0</v>
      </c>
      <c r="T65" s="2058">
        <f t="shared" si="35"/>
        <v>0</v>
      </c>
      <c r="U65" s="2175">
        <f t="shared" si="35"/>
        <v>0</v>
      </c>
      <c r="V65" s="1714">
        <f t="shared" si="35"/>
        <v>0</v>
      </c>
      <c r="W65" s="1715">
        <f t="shared" si="35"/>
        <v>0</v>
      </c>
      <c r="X65" s="2174">
        <f t="shared" si="35"/>
        <v>0</v>
      </c>
      <c r="Y65" s="1223">
        <f t="shared" si="35"/>
        <v>0</v>
      </c>
      <c r="Z65" s="1714">
        <f t="shared" si="35"/>
        <v>0</v>
      </c>
      <c r="AA65" s="1715">
        <f t="shared" si="35"/>
        <v>0</v>
      </c>
      <c r="AB65" s="2055">
        <f t="shared" si="35"/>
        <v>0</v>
      </c>
      <c r="AC65" s="2155">
        <f t="shared" ref="AC65:AF65" si="36">AC43*AC21</f>
        <v>0</v>
      </c>
      <c r="AD65" s="1715">
        <f t="shared" si="36"/>
        <v>0</v>
      </c>
      <c r="AE65" s="2155">
        <f t="shared" si="36"/>
        <v>0</v>
      </c>
      <c r="AF65" s="2161">
        <f t="shared" si="36"/>
        <v>0</v>
      </c>
    </row>
    <row r="66" spans="1:32" ht="14.4">
      <c r="A66" s="464" t="str">
        <f t="shared" ref="A66:D68" si="37">A22</f>
        <v>DWDM</v>
      </c>
      <c r="B66" s="438" t="str">
        <f t="shared" si="37"/>
        <v>100/200 Gbps</v>
      </c>
      <c r="C66" s="109" t="str">
        <f t="shared" si="37"/>
        <v>all</v>
      </c>
      <c r="D66" s="267" t="str">
        <f t="shared" si="37"/>
        <v>CFP/CFP2 DCO</v>
      </c>
      <c r="E66" s="669">
        <f t="shared" ref="E66:P66" si="38">E22*E44</f>
        <v>61800000</v>
      </c>
      <c r="F66" s="177">
        <f t="shared" si="38"/>
        <v>38950000</v>
      </c>
      <c r="G66" s="177">
        <f t="shared" si="38"/>
        <v>51350000</v>
      </c>
      <c r="H66" s="279">
        <f t="shared" si="38"/>
        <v>37050000</v>
      </c>
      <c r="I66" s="177">
        <f t="shared" si="38"/>
        <v>34080000</v>
      </c>
      <c r="J66" s="177">
        <f t="shared" si="38"/>
        <v>31460000</v>
      </c>
      <c r="K66" s="177">
        <f t="shared" si="38"/>
        <v>48480000</v>
      </c>
      <c r="L66" s="279">
        <f t="shared" si="38"/>
        <v>61240000</v>
      </c>
      <c r="M66" s="177">
        <f t="shared" si="38"/>
        <v>52660000</v>
      </c>
      <c r="N66" s="121">
        <f t="shared" si="38"/>
        <v>53200000</v>
      </c>
      <c r="O66" s="177">
        <f t="shared" si="38"/>
        <v>52835985.454545461</v>
      </c>
      <c r="P66" s="279">
        <f t="shared" si="38"/>
        <v>51964799.141104296</v>
      </c>
      <c r="Q66" s="121">
        <f t="shared" si="35"/>
        <v>59617499.999999993</v>
      </c>
      <c r="R66" s="121">
        <f t="shared" si="35"/>
        <v>0</v>
      </c>
      <c r="S66" s="121">
        <f t="shared" si="35"/>
        <v>0</v>
      </c>
      <c r="T66" s="2058">
        <f t="shared" si="35"/>
        <v>0</v>
      </c>
      <c r="U66" s="2175">
        <f t="shared" si="35"/>
        <v>0</v>
      </c>
      <c r="V66" s="1714">
        <f t="shared" si="35"/>
        <v>0</v>
      </c>
      <c r="W66" s="1715">
        <f t="shared" si="35"/>
        <v>0</v>
      </c>
      <c r="X66" s="2174">
        <f t="shared" si="35"/>
        <v>0</v>
      </c>
      <c r="Y66" s="1223">
        <f t="shared" si="35"/>
        <v>0</v>
      </c>
      <c r="Z66" s="1714">
        <f t="shared" si="35"/>
        <v>0</v>
      </c>
      <c r="AA66" s="1715">
        <f t="shared" si="35"/>
        <v>0</v>
      </c>
      <c r="AB66" s="2055">
        <f t="shared" si="35"/>
        <v>0</v>
      </c>
      <c r="AC66" s="2155">
        <f t="shared" ref="AC66:AF66" si="39">AC44*AC22</f>
        <v>0</v>
      </c>
      <c r="AD66" s="1715">
        <f t="shared" si="39"/>
        <v>0</v>
      </c>
      <c r="AE66" s="2155">
        <f t="shared" si="39"/>
        <v>0</v>
      </c>
      <c r="AF66" s="2161">
        <f t="shared" si="39"/>
        <v>0</v>
      </c>
    </row>
    <row r="67" spans="1:32" ht="14.4">
      <c r="A67" s="464" t="str">
        <f t="shared" si="37"/>
        <v>DWDM</v>
      </c>
      <c r="B67" s="438" t="str">
        <f t="shared" si="37"/>
        <v xml:space="preserve">100/200 Gbps </v>
      </c>
      <c r="C67" s="109" t="str">
        <f t="shared" si="37"/>
        <v>all</v>
      </c>
      <c r="D67" s="267" t="str">
        <f t="shared" si="37"/>
        <v>CFP2 ACO</v>
      </c>
      <c r="E67" s="669">
        <f t="shared" ref="E67:P67" si="40">E23*E45</f>
        <v>65453350</v>
      </c>
      <c r="F67" s="177">
        <f t="shared" si="40"/>
        <v>78426700</v>
      </c>
      <c r="G67" s="177">
        <f t="shared" si="40"/>
        <v>58837057</v>
      </c>
      <c r="H67" s="279">
        <f t="shared" si="40"/>
        <v>46445622</v>
      </c>
      <c r="I67" s="177">
        <f t="shared" si="40"/>
        <v>54163643</v>
      </c>
      <c r="J67" s="177">
        <f t="shared" si="40"/>
        <v>58683185</v>
      </c>
      <c r="K67" s="177">
        <f t="shared" si="40"/>
        <v>49913169.000000007</v>
      </c>
      <c r="L67" s="279">
        <f t="shared" si="40"/>
        <v>29212000.000000011</v>
      </c>
      <c r="M67" s="177">
        <f t="shared" si="40"/>
        <v>31354779.000000015</v>
      </c>
      <c r="N67" s="121">
        <f t="shared" si="40"/>
        <v>34641660.000000015</v>
      </c>
      <c r="O67" s="177">
        <f t="shared" si="40"/>
        <v>40962580</v>
      </c>
      <c r="P67" s="279">
        <f t="shared" si="40"/>
        <v>64883721.120000012</v>
      </c>
      <c r="Q67" s="121">
        <f t="shared" si="35"/>
        <v>42560000</v>
      </c>
      <c r="R67" s="121">
        <f t="shared" si="35"/>
        <v>0</v>
      </c>
      <c r="S67" s="121">
        <f t="shared" si="35"/>
        <v>0</v>
      </c>
      <c r="T67" s="2058">
        <f t="shared" si="35"/>
        <v>0</v>
      </c>
      <c r="U67" s="2175">
        <f t="shared" si="35"/>
        <v>0</v>
      </c>
      <c r="V67" s="1714">
        <f t="shared" si="35"/>
        <v>0</v>
      </c>
      <c r="W67" s="1715">
        <f t="shared" si="35"/>
        <v>0</v>
      </c>
      <c r="X67" s="2174">
        <f t="shared" si="35"/>
        <v>0</v>
      </c>
      <c r="Y67" s="1223">
        <f t="shared" si="35"/>
        <v>0</v>
      </c>
      <c r="Z67" s="1714">
        <f t="shared" si="35"/>
        <v>0</v>
      </c>
      <c r="AA67" s="1715">
        <f t="shared" si="35"/>
        <v>0</v>
      </c>
      <c r="AB67" s="2055">
        <f t="shared" si="35"/>
        <v>0</v>
      </c>
      <c r="AC67" s="2155">
        <f t="shared" ref="AC67:AF67" si="41">AC45*AC23</f>
        <v>0</v>
      </c>
      <c r="AD67" s="1715">
        <f t="shared" si="41"/>
        <v>0</v>
      </c>
      <c r="AE67" s="2155">
        <f t="shared" si="41"/>
        <v>0</v>
      </c>
      <c r="AF67" s="2161">
        <f t="shared" si="41"/>
        <v>0</v>
      </c>
    </row>
    <row r="68" spans="1:32" ht="14.4">
      <c r="A68" s="464" t="str">
        <f t="shared" si="37"/>
        <v>DWDM</v>
      </c>
      <c r="B68" s="438" t="str">
        <f t="shared" si="37"/>
        <v>400 Gbps</v>
      </c>
      <c r="C68" s="109" t="str">
        <f t="shared" si="37"/>
        <v>all</v>
      </c>
      <c r="D68" s="267" t="str">
        <f t="shared" si="37"/>
        <v>ZR &amp; ZR+</v>
      </c>
      <c r="E68" s="789"/>
      <c r="F68" s="755"/>
      <c r="G68" s="755"/>
      <c r="H68" s="790"/>
      <c r="I68" s="755"/>
      <c r="J68" s="755"/>
      <c r="K68" s="755"/>
      <c r="L68" s="790"/>
      <c r="M68" s="755"/>
      <c r="N68" s="800"/>
      <c r="O68" s="756"/>
      <c r="P68" s="790"/>
      <c r="Q68" s="121">
        <f t="shared" si="35"/>
        <v>0</v>
      </c>
      <c r="R68" s="121">
        <f t="shared" si="35"/>
        <v>0</v>
      </c>
      <c r="S68" s="121">
        <f t="shared" si="35"/>
        <v>0</v>
      </c>
      <c r="T68" s="2058">
        <f t="shared" si="35"/>
        <v>0</v>
      </c>
      <c r="U68" s="2175">
        <f t="shared" si="35"/>
        <v>0</v>
      </c>
      <c r="V68" s="1714">
        <f t="shared" si="35"/>
        <v>0</v>
      </c>
      <c r="W68" s="1715">
        <f t="shared" si="35"/>
        <v>0</v>
      </c>
      <c r="X68" s="2174">
        <f t="shared" si="35"/>
        <v>0</v>
      </c>
      <c r="Y68" s="1223">
        <f t="shared" si="35"/>
        <v>0</v>
      </c>
      <c r="Z68" s="1714">
        <f t="shared" si="35"/>
        <v>0</v>
      </c>
      <c r="AA68" s="1715">
        <f t="shared" si="35"/>
        <v>0</v>
      </c>
      <c r="AB68" s="2055">
        <f t="shared" si="35"/>
        <v>0</v>
      </c>
      <c r="AC68" s="2155">
        <f t="shared" ref="AC68:AF68" si="42">AC46*AC24</f>
        <v>0</v>
      </c>
      <c r="AD68" s="1715">
        <f t="shared" si="42"/>
        <v>0</v>
      </c>
      <c r="AE68" s="2155">
        <f t="shared" si="42"/>
        <v>0</v>
      </c>
      <c r="AF68" s="2161">
        <f t="shared" si="42"/>
        <v>0</v>
      </c>
    </row>
    <row r="69" spans="1:32" ht="15" thickBot="1">
      <c r="A69" s="785" t="str">
        <f>A25</f>
        <v>DWDM</v>
      </c>
      <c r="B69" s="2227" t="str">
        <f>B25</f>
        <v>Miscellaneous</v>
      </c>
      <c r="C69" s="2227"/>
      <c r="D69" s="2228"/>
      <c r="E69" s="670">
        <f t="shared" ref="E69:T69" si="43">E25*E47</f>
        <v>879955</v>
      </c>
      <c r="F69" s="451">
        <f t="shared" si="43"/>
        <v>692878.00000000012</v>
      </c>
      <c r="G69" s="451">
        <f t="shared" si="43"/>
        <v>735297.00000000012</v>
      </c>
      <c r="H69" s="452">
        <f t="shared" si="43"/>
        <v>374948.00000000006</v>
      </c>
      <c r="I69" s="451">
        <f t="shared" si="43"/>
        <v>15317</v>
      </c>
      <c r="J69" s="451">
        <f t="shared" si="43"/>
        <v>30131.000000000025</v>
      </c>
      <c r="K69" s="451">
        <f t="shared" si="43"/>
        <v>445532.00000000029</v>
      </c>
      <c r="L69" s="452">
        <f t="shared" si="43"/>
        <v>672288</v>
      </c>
      <c r="M69" s="755">
        <f t="shared" si="43"/>
        <v>805960.00000000047</v>
      </c>
      <c r="N69" s="756">
        <f t="shared" si="43"/>
        <v>302026.99999999988</v>
      </c>
      <c r="O69" s="756">
        <f t="shared" si="43"/>
        <v>284400</v>
      </c>
      <c r="P69" s="757">
        <f t="shared" si="43"/>
        <v>87210</v>
      </c>
      <c r="Q69" s="755">
        <f t="shared" si="43"/>
        <v>195102.57142857148</v>
      </c>
      <c r="R69" s="756">
        <f t="shared" si="43"/>
        <v>0</v>
      </c>
      <c r="S69" s="756">
        <f t="shared" si="43"/>
        <v>0</v>
      </c>
      <c r="T69" s="2166">
        <f t="shared" si="43"/>
        <v>0</v>
      </c>
      <c r="U69" s="2175">
        <f t="shared" ref="U69:AB69" si="44">U25*U47</f>
        <v>0</v>
      </c>
      <c r="V69" s="1714">
        <f t="shared" si="44"/>
        <v>0</v>
      </c>
      <c r="W69" s="1715">
        <f t="shared" si="44"/>
        <v>0</v>
      </c>
      <c r="X69" s="2174">
        <f t="shared" si="44"/>
        <v>0</v>
      </c>
      <c r="Y69" s="1223">
        <f t="shared" si="44"/>
        <v>0</v>
      </c>
      <c r="Z69" s="1714">
        <f t="shared" si="44"/>
        <v>0</v>
      </c>
      <c r="AA69" s="1715">
        <f t="shared" si="44"/>
        <v>0</v>
      </c>
      <c r="AB69" s="2055">
        <f t="shared" si="44"/>
        <v>0</v>
      </c>
      <c r="AC69" s="2155">
        <f t="shared" ref="AC69:AF69" si="45">AC47*AC25</f>
        <v>0</v>
      </c>
      <c r="AD69" s="1715">
        <f t="shared" si="45"/>
        <v>0</v>
      </c>
      <c r="AE69" s="2155">
        <f t="shared" si="45"/>
        <v>0</v>
      </c>
      <c r="AF69" s="2161">
        <f t="shared" si="45"/>
        <v>0</v>
      </c>
    </row>
    <row r="70" spans="1:32" ht="13.8" thickBot="1">
      <c r="A70" s="2213" t="str">
        <f>A48</f>
        <v>Total CWDM/DWDM</v>
      </c>
      <c r="B70" s="114"/>
      <c r="C70" s="114"/>
      <c r="D70" s="114"/>
      <c r="E70" s="792">
        <f t="shared" ref="E70:AD70" si="46">SUM(E53:E69)</f>
        <v>296504641.52989852</v>
      </c>
      <c r="F70" s="793">
        <f t="shared" si="46"/>
        <v>318374261.77806699</v>
      </c>
      <c r="G70" s="793">
        <f t="shared" si="46"/>
        <v>335710308.46004236</v>
      </c>
      <c r="H70" s="794">
        <f t="shared" si="46"/>
        <v>304567671.32471454</v>
      </c>
      <c r="I70" s="793">
        <f t="shared" si="46"/>
        <v>257554064.26710442</v>
      </c>
      <c r="J70" s="793">
        <f t="shared" si="46"/>
        <v>253861653.97072965</v>
      </c>
      <c r="K70" s="793">
        <f t="shared" si="46"/>
        <v>257914768.75488374</v>
      </c>
      <c r="L70" s="795">
        <f t="shared" si="46"/>
        <v>255471147.16786516</v>
      </c>
      <c r="M70" s="796">
        <f t="shared" si="46"/>
        <v>235246604.55351168</v>
      </c>
      <c r="N70" s="798">
        <f t="shared" si="46"/>
        <v>245914061.1248492</v>
      </c>
      <c r="O70" s="798">
        <f t="shared" si="46"/>
        <v>291100205.71723676</v>
      </c>
      <c r="P70" s="801">
        <f t="shared" si="46"/>
        <v>328087607.42024696</v>
      </c>
      <c r="Q70" s="796">
        <f t="shared" si="46"/>
        <v>195561577.02314922</v>
      </c>
      <c r="R70" s="798">
        <f t="shared" si="46"/>
        <v>0</v>
      </c>
      <c r="S70" s="798">
        <f t="shared" si="46"/>
        <v>0</v>
      </c>
      <c r="T70" s="2167">
        <f t="shared" si="46"/>
        <v>0</v>
      </c>
      <c r="U70" s="1116">
        <f t="shared" si="46"/>
        <v>0</v>
      </c>
      <c r="V70" s="2158">
        <f t="shared" si="46"/>
        <v>0</v>
      </c>
      <c r="W70" s="2157">
        <f t="shared" si="46"/>
        <v>0</v>
      </c>
      <c r="X70" s="2162">
        <f t="shared" si="46"/>
        <v>0</v>
      </c>
      <c r="Y70" s="2177">
        <f t="shared" si="46"/>
        <v>0</v>
      </c>
      <c r="Z70" s="2158">
        <f t="shared" si="46"/>
        <v>0</v>
      </c>
      <c r="AA70" s="2157">
        <f t="shared" si="46"/>
        <v>0</v>
      </c>
      <c r="AB70" s="2162">
        <f t="shared" si="46"/>
        <v>0</v>
      </c>
      <c r="AC70" s="2157">
        <f>SUM(AC53:AC69)</f>
        <v>0</v>
      </c>
      <c r="AD70" s="2158">
        <f t="shared" si="46"/>
        <v>0</v>
      </c>
      <c r="AE70" s="2157">
        <f>SUM(AE53:AE69)</f>
        <v>0</v>
      </c>
      <c r="AF70" s="2162">
        <f>SUM(AF53:AF69)</f>
        <v>0</v>
      </c>
    </row>
    <row r="71" spans="1:32">
      <c r="E71" s="45"/>
      <c r="F71" s="45"/>
      <c r="G71" s="45"/>
      <c r="H71" s="45"/>
      <c r="I71" s="45"/>
      <c r="J71" s="45"/>
      <c r="K71" s="45"/>
      <c r="L71" s="45"/>
      <c r="M71" s="1416"/>
      <c r="N71" s="1416"/>
      <c r="O71" s="1416"/>
      <c r="P71" s="1416"/>
      <c r="Q71" s="1416"/>
      <c r="R71" s="1416"/>
      <c r="S71" s="1416"/>
      <c r="T71" s="1416"/>
      <c r="U71" s="1416"/>
      <c r="V71" s="1416"/>
      <c r="W71" s="1416"/>
      <c r="X71" s="1416"/>
      <c r="Y71" s="1416"/>
      <c r="Z71" s="1416"/>
      <c r="AA71" s="1416"/>
      <c r="AB71" s="1416"/>
      <c r="AC71" s="1416"/>
      <c r="AD71" s="1416"/>
      <c r="AE71" s="1416"/>
      <c r="AF71" s="1416"/>
    </row>
    <row r="72" spans="1:32">
      <c r="L72" s="802"/>
      <c r="P72" s="802"/>
      <c r="Q72" s="802"/>
      <c r="R72" s="802"/>
      <c r="S72" s="802"/>
      <c r="T72" s="802"/>
      <c r="U72" s="802"/>
      <c r="V72" s="802"/>
      <c r="W72" s="802"/>
      <c r="X72" s="802"/>
      <c r="Y72" s="802"/>
      <c r="Z72" s="802"/>
      <c r="AA72" s="802"/>
      <c r="AB72" s="802"/>
      <c r="AD72" s="802"/>
      <c r="AE72" s="802"/>
      <c r="AF72" s="802"/>
    </row>
    <row r="73" spans="1:32">
      <c r="P73" s="67"/>
      <c r="Q73" s="67"/>
      <c r="R73" s="67"/>
      <c r="S73" s="67"/>
      <c r="T73" s="67"/>
      <c r="U73" s="67"/>
      <c r="V73" s="67"/>
      <c r="W73" s="67"/>
      <c r="X73" s="67"/>
      <c r="Y73" s="67"/>
      <c r="Z73" s="67"/>
      <c r="AA73" s="67"/>
      <c r="AB73" s="67"/>
      <c r="AD73" s="67"/>
      <c r="AE73" s="67"/>
      <c r="AF73" s="67"/>
    </row>
    <row r="74" spans="1:32">
      <c r="Q74" s="67"/>
      <c r="R74" s="67"/>
      <c r="S74" s="67"/>
      <c r="T74" s="67"/>
      <c r="U74" s="67"/>
      <c r="V74" s="67"/>
      <c r="W74" s="67"/>
      <c r="X74" s="67"/>
      <c r="Y74" s="67"/>
      <c r="Z74" s="67"/>
      <c r="AA74" s="67"/>
      <c r="AB74" s="67"/>
      <c r="AC74" s="67"/>
      <c r="AD74" s="67"/>
      <c r="AE74" s="67"/>
      <c r="AF74" s="67"/>
    </row>
    <row r="77" spans="1:32">
      <c r="AC77" s="5"/>
      <c r="AD77" s="5"/>
    </row>
    <row r="78" spans="1:32">
      <c r="AC78" s="5"/>
      <c r="AD78" s="5"/>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F199"/>
  <sheetViews>
    <sheetView showGridLines="0" zoomScale="80" zoomScaleNormal="80" zoomScalePageLayoutView="80" workbookViewId="0">
      <pane xSplit="4" ySplit="7" topLeftCell="Q8" activePane="bottomRight" state="frozen"/>
      <selection activeCell="AH67" sqref="AH67"/>
      <selection pane="topRight" activeCell="AH67" sqref="AH67"/>
      <selection pane="bottomLeft" activeCell="AH67" sqref="AH67"/>
      <selection pane="bottomRight" activeCell="A4" sqref="A4"/>
    </sheetView>
  </sheetViews>
  <sheetFormatPr defaultColWidth="11.44140625" defaultRowHeight="13.2" outlineLevelCol="1"/>
  <cols>
    <col min="1" max="1" width="13.109375" customWidth="1"/>
    <col min="2" max="2" width="23.44140625" customWidth="1"/>
    <col min="3" max="3" width="12.44140625" customWidth="1"/>
    <col min="4" max="4" width="15.44140625" customWidth="1"/>
    <col min="5" max="8" width="14.109375" hidden="1" customWidth="1" outlineLevel="1"/>
    <col min="9" max="12" width="16" hidden="1" customWidth="1" outlineLevel="1"/>
    <col min="13" max="16" width="14.109375" hidden="1" customWidth="1" outlineLevel="1"/>
    <col min="17" max="17" width="14.109375" customWidth="1" collapsed="1"/>
    <col min="18" max="20" width="14.109375" customWidth="1"/>
    <col min="21" max="24" width="13.109375" customWidth="1"/>
    <col min="25" max="32" width="14.77734375" customWidth="1"/>
  </cols>
  <sheetData>
    <row r="1" spans="1:32" ht="25.05" customHeight="1">
      <c r="A1" s="69" t="str">
        <f>Introduction!$B$1</f>
        <v>Vendor Survey Results through H1 2023</v>
      </c>
    </row>
    <row r="2" spans="1:32" ht="17.399999999999999">
      <c r="A2" s="249" t="str">
        <f>Introduction!$B$2</f>
        <v>December 2023 QMU - Sample template for illustrative purposes only</v>
      </c>
      <c r="AC2" s="503"/>
    </row>
    <row r="3" spans="1:32" ht="17.399999999999999">
      <c r="A3" s="503" t="s">
        <v>310</v>
      </c>
      <c r="I3" s="13"/>
      <c r="J3" s="13"/>
      <c r="K3" s="13"/>
      <c r="M3" s="13"/>
      <c r="AC3" s="503"/>
    </row>
    <row r="5" spans="1:32" ht="18.600000000000001" thickBot="1">
      <c r="A5" s="2229"/>
      <c r="B5" s="2229"/>
      <c r="C5" s="2229"/>
      <c r="D5" s="2229"/>
      <c r="Q5" s="688"/>
      <c r="R5" s="13"/>
      <c r="S5" s="688"/>
      <c r="T5" s="13"/>
    </row>
    <row r="6" spans="1:32" ht="16.2" thickBot="1">
      <c r="A6" s="518" t="str">
        <f>A3</f>
        <v>Ethernet  transceivers</v>
      </c>
      <c r="I6" s="1231" t="s">
        <v>164</v>
      </c>
      <c r="Q6" s="1231" t="s">
        <v>164</v>
      </c>
      <c r="Y6" s="1231" t="str">
        <f>Q6</f>
        <v>Shipments: Actual Data</v>
      </c>
      <c r="AC6" s="1"/>
      <c r="AD6" s="1"/>
      <c r="AE6" s="1857" t="s">
        <v>280</v>
      </c>
      <c r="AF6" s="1710"/>
    </row>
    <row r="7" spans="1:32" ht="13.8" thickBot="1">
      <c r="A7" s="475" t="s">
        <v>166</v>
      </c>
      <c r="B7" s="467" t="s">
        <v>182</v>
      </c>
      <c r="C7" s="467" t="s">
        <v>176</v>
      </c>
      <c r="D7" s="370" t="s">
        <v>177</v>
      </c>
      <c r="E7" s="480" t="s">
        <v>100</v>
      </c>
      <c r="F7" s="460" t="s">
        <v>101</v>
      </c>
      <c r="G7" s="459" t="s">
        <v>102</v>
      </c>
      <c r="H7" s="1187" t="s">
        <v>103</v>
      </c>
      <c r="I7" s="1203" t="s">
        <v>104</v>
      </c>
      <c r="J7" s="73" t="s">
        <v>105</v>
      </c>
      <c r="K7" s="73" t="s">
        <v>106</v>
      </c>
      <c r="L7" s="76" t="s">
        <v>107</v>
      </c>
      <c r="M7" s="1203" t="s">
        <v>108</v>
      </c>
      <c r="N7" s="73" t="s">
        <v>109</v>
      </c>
      <c r="O7" s="73" t="s">
        <v>110</v>
      </c>
      <c r="P7" s="76" t="s">
        <v>111</v>
      </c>
      <c r="Q7" s="1203" t="s">
        <v>112</v>
      </c>
      <c r="R7" s="73" t="s">
        <v>113</v>
      </c>
      <c r="S7" s="73" t="s">
        <v>114</v>
      </c>
      <c r="T7" s="76" t="s">
        <v>115</v>
      </c>
      <c r="U7" s="1203" t="s">
        <v>463</v>
      </c>
      <c r="V7" s="73" t="s">
        <v>464</v>
      </c>
      <c r="W7" s="73" t="s">
        <v>465</v>
      </c>
      <c r="X7" s="76" t="s">
        <v>466</v>
      </c>
      <c r="Y7" s="1203" t="s">
        <v>467</v>
      </c>
      <c r="Z7" s="73" t="s">
        <v>468</v>
      </c>
      <c r="AA7" s="73" t="s">
        <v>469</v>
      </c>
      <c r="AB7" s="76" t="s">
        <v>470</v>
      </c>
      <c r="AC7" s="1858" t="s">
        <v>568</v>
      </c>
      <c r="AD7" s="2125" t="s">
        <v>594</v>
      </c>
      <c r="AE7" s="2133" t="s">
        <v>595</v>
      </c>
      <c r="AF7" s="462" t="s">
        <v>596</v>
      </c>
    </row>
    <row r="8" spans="1:32" ht="18.75" customHeight="1" thickBot="1">
      <c r="A8" s="2212" t="s">
        <v>184</v>
      </c>
      <c r="B8" s="504" t="s">
        <v>185</v>
      </c>
      <c r="C8" s="504" t="s">
        <v>186</v>
      </c>
      <c r="D8" s="504" t="s">
        <v>187</v>
      </c>
      <c r="E8" s="494">
        <v>724224</v>
      </c>
      <c r="F8" s="395">
        <v>787652</v>
      </c>
      <c r="G8" s="396">
        <v>580510</v>
      </c>
      <c r="H8" s="714">
        <v>568314</v>
      </c>
      <c r="I8" s="1436">
        <v>574706</v>
      </c>
      <c r="J8" s="396">
        <v>952323</v>
      </c>
      <c r="K8" s="593">
        <v>722037</v>
      </c>
      <c r="L8" s="397">
        <v>719017</v>
      </c>
      <c r="M8" s="1436">
        <v>636400</v>
      </c>
      <c r="N8" s="396">
        <v>702241</v>
      </c>
      <c r="O8" s="593">
        <v>640874</v>
      </c>
      <c r="P8" s="397">
        <v>611101</v>
      </c>
      <c r="Q8" s="1436">
        <v>500000</v>
      </c>
      <c r="R8" s="396"/>
      <c r="S8" s="593"/>
      <c r="T8" s="397"/>
      <c r="U8" s="1436"/>
      <c r="V8" s="396"/>
      <c r="W8" s="593"/>
      <c r="X8" s="397"/>
      <c r="Y8" s="1436"/>
      <c r="Z8" s="396"/>
      <c r="AA8" s="593"/>
      <c r="AB8" s="397"/>
      <c r="AC8" s="1813"/>
      <c r="AD8" s="593"/>
      <c r="AE8" s="1720"/>
      <c r="AF8" s="1721"/>
    </row>
    <row r="9" spans="1:32" ht="12.75" customHeight="1">
      <c r="A9" s="1235" t="s">
        <v>356</v>
      </c>
      <c r="B9" s="110" t="s">
        <v>355</v>
      </c>
      <c r="C9" s="110" t="s">
        <v>188</v>
      </c>
      <c r="D9" s="110" t="s">
        <v>179</v>
      </c>
      <c r="E9" s="496">
        <v>1007260</v>
      </c>
      <c r="F9" s="95">
        <v>1009575</v>
      </c>
      <c r="G9" s="132">
        <v>1116275</v>
      </c>
      <c r="H9" s="706">
        <v>1145374</v>
      </c>
      <c r="I9" s="1437">
        <v>1011414</v>
      </c>
      <c r="J9" s="1438">
        <v>1113931</v>
      </c>
      <c r="K9" s="1326">
        <v>1484424</v>
      </c>
      <c r="L9" s="106">
        <v>1352527</v>
      </c>
      <c r="M9" s="1437">
        <v>1104154</v>
      </c>
      <c r="N9" s="1438">
        <v>949743</v>
      </c>
      <c r="O9" s="1326">
        <v>791020</v>
      </c>
      <c r="P9" s="106">
        <v>750000</v>
      </c>
      <c r="Q9" s="1329">
        <v>750016</v>
      </c>
      <c r="R9" s="1438"/>
      <c r="S9" s="1330"/>
      <c r="T9" s="106"/>
      <c r="U9" s="1329"/>
      <c r="V9" s="1438"/>
      <c r="W9" s="1330"/>
      <c r="X9" s="106"/>
      <c r="Y9" s="1329"/>
      <c r="Z9" s="1438"/>
      <c r="AA9" s="1330"/>
      <c r="AB9" s="106"/>
      <c r="AC9" s="1325"/>
      <c r="AD9" s="1263"/>
      <c r="AE9" s="1326"/>
      <c r="AF9" s="1814"/>
    </row>
    <row r="10" spans="1:32" ht="12.75" customHeight="1">
      <c r="A10" s="1235" t="s">
        <v>356</v>
      </c>
      <c r="B10" s="110" t="s">
        <v>355</v>
      </c>
      <c r="C10" s="110" t="s">
        <v>189</v>
      </c>
      <c r="D10" s="110" t="s">
        <v>179</v>
      </c>
      <c r="E10" s="496">
        <v>1388426</v>
      </c>
      <c r="F10" s="95">
        <v>1452496</v>
      </c>
      <c r="G10" s="132">
        <v>1617700</v>
      </c>
      <c r="H10" s="706">
        <v>1953529</v>
      </c>
      <c r="I10" s="1437">
        <v>1806555</v>
      </c>
      <c r="J10" s="1438">
        <v>2079078</v>
      </c>
      <c r="K10" s="1326">
        <v>2033548</v>
      </c>
      <c r="L10" s="106">
        <v>1925880</v>
      </c>
      <c r="M10" s="1437">
        <v>2091632</v>
      </c>
      <c r="N10" s="1438">
        <v>1987670</v>
      </c>
      <c r="O10" s="1326">
        <v>1960723</v>
      </c>
      <c r="P10" s="106">
        <v>2193697</v>
      </c>
      <c r="Q10" s="1329">
        <v>1214386</v>
      </c>
      <c r="R10" s="1438"/>
      <c r="S10" s="1330"/>
      <c r="T10" s="106"/>
      <c r="U10" s="1329"/>
      <c r="V10" s="1438"/>
      <c r="W10" s="1330"/>
      <c r="X10" s="106"/>
      <c r="Y10" s="1329"/>
      <c r="Z10" s="1438"/>
      <c r="AA10" s="1330"/>
      <c r="AB10" s="106"/>
      <c r="AC10" s="1325"/>
      <c r="AD10" s="1263"/>
      <c r="AE10" s="1326"/>
      <c r="AF10" s="1814"/>
    </row>
    <row r="11" spans="1:32" ht="12.75" customHeight="1">
      <c r="A11" s="1235" t="s">
        <v>356</v>
      </c>
      <c r="B11" s="110" t="s">
        <v>355</v>
      </c>
      <c r="C11" s="110" t="s">
        <v>190</v>
      </c>
      <c r="D11" s="110" t="s">
        <v>179</v>
      </c>
      <c r="E11" s="496">
        <v>193741</v>
      </c>
      <c r="F11" s="95">
        <v>220325</v>
      </c>
      <c r="G11" s="132">
        <v>160264</v>
      </c>
      <c r="H11" s="706">
        <v>160286</v>
      </c>
      <c r="I11" s="1437">
        <v>236017</v>
      </c>
      <c r="J11" s="1438">
        <v>273435</v>
      </c>
      <c r="K11" s="1326">
        <v>255472</v>
      </c>
      <c r="L11" s="106">
        <v>251209</v>
      </c>
      <c r="M11" s="1437">
        <v>228079</v>
      </c>
      <c r="N11" s="1438">
        <v>188530</v>
      </c>
      <c r="O11" s="1326">
        <v>239955</v>
      </c>
      <c r="P11" s="106">
        <v>246412</v>
      </c>
      <c r="Q11" s="1329">
        <v>98607</v>
      </c>
      <c r="R11" s="1438"/>
      <c r="S11" s="1330"/>
      <c r="T11" s="106"/>
      <c r="U11" s="1329"/>
      <c r="V11" s="1438"/>
      <c r="W11" s="1330"/>
      <c r="X11" s="106"/>
      <c r="Y11" s="1329"/>
      <c r="Z11" s="1438"/>
      <c r="AA11" s="1330"/>
      <c r="AB11" s="106"/>
      <c r="AC11" s="1325"/>
      <c r="AD11" s="1263"/>
      <c r="AE11" s="1326"/>
      <c r="AF11" s="1814"/>
    </row>
    <row r="12" spans="1:32" ht="12.75" customHeight="1" thickBot="1">
      <c r="A12" s="1236" t="s">
        <v>356</v>
      </c>
      <c r="B12" s="270" t="s">
        <v>355</v>
      </c>
      <c r="C12" s="270" t="s">
        <v>191</v>
      </c>
      <c r="D12" s="270" t="s">
        <v>179</v>
      </c>
      <c r="E12" s="497">
        <v>118832</v>
      </c>
      <c r="F12" s="509">
        <v>138584</v>
      </c>
      <c r="G12" s="511">
        <v>105261</v>
      </c>
      <c r="H12" s="707">
        <v>96278</v>
      </c>
      <c r="I12" s="719">
        <v>114241</v>
      </c>
      <c r="J12" s="509">
        <v>137602</v>
      </c>
      <c r="K12" s="595">
        <v>132614</v>
      </c>
      <c r="L12" s="365">
        <v>131029</v>
      </c>
      <c r="M12" s="719">
        <v>95273</v>
      </c>
      <c r="N12" s="509">
        <v>86033</v>
      </c>
      <c r="O12" s="595">
        <v>74580</v>
      </c>
      <c r="P12" s="365">
        <v>74400</v>
      </c>
      <c r="Q12" s="1119">
        <v>47375</v>
      </c>
      <c r="R12" s="509"/>
      <c r="S12" s="511"/>
      <c r="T12" s="365"/>
      <c r="U12" s="1119"/>
      <c r="V12" s="509"/>
      <c r="W12" s="511"/>
      <c r="X12" s="365"/>
      <c r="Y12" s="1119"/>
      <c r="Z12" s="509"/>
      <c r="AA12" s="511"/>
      <c r="AB12" s="365"/>
      <c r="AC12" s="717"/>
      <c r="AD12" s="777"/>
      <c r="AE12" s="595"/>
      <c r="AF12" s="1445"/>
    </row>
    <row r="13" spans="1:32" ht="12.75" customHeight="1">
      <c r="A13" s="1232" t="s">
        <v>192</v>
      </c>
      <c r="B13" s="469" t="s">
        <v>193</v>
      </c>
      <c r="C13" s="469" t="s">
        <v>194</v>
      </c>
      <c r="D13" s="94" t="s">
        <v>180</v>
      </c>
      <c r="E13" s="496">
        <v>20554</v>
      </c>
      <c r="F13" s="95">
        <v>23993</v>
      </c>
      <c r="G13" s="132">
        <v>19885</v>
      </c>
      <c r="H13" s="706">
        <v>19150</v>
      </c>
      <c r="I13" s="1437">
        <v>16527</v>
      </c>
      <c r="J13" s="1438">
        <v>13803</v>
      </c>
      <c r="K13" s="1326">
        <v>11956</v>
      </c>
      <c r="L13" s="106">
        <v>13601</v>
      </c>
      <c r="M13" s="1437">
        <v>9495</v>
      </c>
      <c r="N13" s="1438">
        <v>7428</v>
      </c>
      <c r="O13" s="1326">
        <v>5000</v>
      </c>
      <c r="P13" s="106">
        <v>4000</v>
      </c>
      <c r="Q13" s="1329">
        <v>6000</v>
      </c>
      <c r="R13" s="1438"/>
      <c r="S13" s="1330"/>
      <c r="T13" s="106"/>
      <c r="U13" s="1329"/>
      <c r="V13" s="1438"/>
      <c r="W13" s="1330"/>
      <c r="X13" s="106"/>
      <c r="Y13" s="1329"/>
      <c r="Z13" s="1438"/>
      <c r="AA13" s="1330"/>
      <c r="AB13" s="106"/>
      <c r="AC13" s="1325"/>
      <c r="AD13" s="1263"/>
      <c r="AE13" s="1326"/>
      <c r="AF13" s="606"/>
    </row>
    <row r="14" spans="1:32" ht="12.75" customHeight="1">
      <c r="A14" s="1232" t="s">
        <v>192</v>
      </c>
      <c r="B14" s="469" t="s">
        <v>193</v>
      </c>
      <c r="C14" s="469" t="s">
        <v>194</v>
      </c>
      <c r="D14" s="94" t="s">
        <v>295</v>
      </c>
      <c r="E14" s="496">
        <v>2256634</v>
      </c>
      <c r="F14" s="95">
        <v>2175363</v>
      </c>
      <c r="G14" s="132">
        <v>2126752</v>
      </c>
      <c r="H14" s="706">
        <v>1780375</v>
      </c>
      <c r="I14" s="1437">
        <v>2510032</v>
      </c>
      <c r="J14" s="1438">
        <v>2539597</v>
      </c>
      <c r="K14" s="1326">
        <v>2583620</v>
      </c>
      <c r="L14" s="106">
        <v>2410909</v>
      </c>
      <c r="M14" s="1437">
        <v>2967356</v>
      </c>
      <c r="N14" s="1438">
        <v>3382608</v>
      </c>
      <c r="O14" s="1326">
        <v>3411280</v>
      </c>
      <c r="P14" s="106">
        <v>3620959</v>
      </c>
      <c r="Q14" s="1329">
        <v>2716009</v>
      </c>
      <c r="R14" s="1438"/>
      <c r="S14" s="1330"/>
      <c r="T14" s="106"/>
      <c r="U14" s="1329"/>
      <c r="V14" s="1438"/>
      <c r="W14" s="1330"/>
      <c r="X14" s="106"/>
      <c r="Y14" s="1329"/>
      <c r="Z14" s="1438"/>
      <c r="AA14" s="1330"/>
      <c r="AB14" s="106"/>
      <c r="AC14" s="1325"/>
      <c r="AD14" s="1263"/>
      <c r="AE14" s="1326"/>
      <c r="AF14" s="1328"/>
    </row>
    <row r="15" spans="1:32" ht="12.75" customHeight="1">
      <c r="A15" s="1232" t="s">
        <v>192</v>
      </c>
      <c r="B15" s="130" t="s">
        <v>193</v>
      </c>
      <c r="C15" s="130" t="s">
        <v>194</v>
      </c>
      <c r="D15" s="241" t="s">
        <v>293</v>
      </c>
      <c r="E15" s="496">
        <v>534757</v>
      </c>
      <c r="F15" s="95">
        <v>678266</v>
      </c>
      <c r="G15" s="132">
        <v>677682</v>
      </c>
      <c r="H15" s="706">
        <v>713378</v>
      </c>
      <c r="I15" s="1437">
        <v>878155</v>
      </c>
      <c r="J15" s="1438">
        <v>997868</v>
      </c>
      <c r="K15" s="1326">
        <v>1555483</v>
      </c>
      <c r="L15" s="106">
        <v>1555543</v>
      </c>
      <c r="M15" s="1437"/>
      <c r="N15" s="1438"/>
      <c r="O15" s="1326"/>
      <c r="P15" s="106"/>
      <c r="Q15" s="1329"/>
      <c r="R15" s="1438"/>
      <c r="S15" s="1330"/>
      <c r="T15" s="106"/>
      <c r="U15" s="1329"/>
      <c r="V15" s="1438"/>
      <c r="W15" s="1330"/>
      <c r="X15" s="106"/>
      <c r="Y15" s="1329"/>
      <c r="Z15" s="1438"/>
      <c r="AA15" s="1330"/>
      <c r="AB15" s="106"/>
      <c r="AC15" s="1722"/>
      <c r="AD15" s="1723"/>
      <c r="AE15" s="1326"/>
      <c r="AF15" s="1328"/>
    </row>
    <row r="16" spans="1:32" ht="12.75" customHeight="1">
      <c r="A16" s="1232" t="s">
        <v>192</v>
      </c>
      <c r="B16" s="260" t="s">
        <v>195</v>
      </c>
      <c r="C16" s="260" t="s">
        <v>196</v>
      </c>
      <c r="D16" s="241" t="s">
        <v>181</v>
      </c>
      <c r="E16" s="496">
        <v>24519</v>
      </c>
      <c r="F16" s="95">
        <v>31148</v>
      </c>
      <c r="G16" s="132">
        <v>31608</v>
      </c>
      <c r="H16" s="706">
        <v>20887</v>
      </c>
      <c r="I16" s="1437">
        <v>27022</v>
      </c>
      <c r="J16" s="1438">
        <v>29057</v>
      </c>
      <c r="K16" s="1326">
        <v>28856</v>
      </c>
      <c r="L16" s="106">
        <v>12235</v>
      </c>
      <c r="M16" s="1437">
        <v>16769</v>
      </c>
      <c r="N16" s="1438">
        <v>15349</v>
      </c>
      <c r="O16" s="1326">
        <v>10200</v>
      </c>
      <c r="P16" s="106">
        <v>8700</v>
      </c>
      <c r="Q16" s="1329">
        <v>5000</v>
      </c>
      <c r="R16" s="1438"/>
      <c r="S16" s="1330"/>
      <c r="T16" s="106"/>
      <c r="U16" s="1329"/>
      <c r="V16" s="1438"/>
      <c r="W16" s="1330"/>
      <c r="X16" s="106"/>
      <c r="Y16" s="1329"/>
      <c r="Z16" s="1438"/>
      <c r="AA16" s="1330"/>
      <c r="AB16" s="106"/>
      <c r="AC16" s="1722"/>
      <c r="AD16" s="1723"/>
      <c r="AE16" s="1326"/>
      <c r="AF16" s="1328"/>
    </row>
    <row r="17" spans="1:32" ht="12.75" customHeight="1">
      <c r="A17" s="1232" t="s">
        <v>192</v>
      </c>
      <c r="B17" s="469" t="s">
        <v>197</v>
      </c>
      <c r="C17" s="469" t="s">
        <v>189</v>
      </c>
      <c r="D17" s="110" t="s">
        <v>180</v>
      </c>
      <c r="E17" s="496">
        <v>31337</v>
      </c>
      <c r="F17" s="95">
        <v>13265</v>
      </c>
      <c r="G17" s="132">
        <v>11062</v>
      </c>
      <c r="H17" s="706">
        <v>9574</v>
      </c>
      <c r="I17" s="1437">
        <v>24017</v>
      </c>
      <c r="J17" s="1438">
        <v>32564</v>
      </c>
      <c r="K17" s="1326">
        <v>77643</v>
      </c>
      <c r="L17" s="106">
        <v>64180</v>
      </c>
      <c r="M17" s="1437">
        <v>53816</v>
      </c>
      <c r="N17" s="1438">
        <v>53449</v>
      </c>
      <c r="O17" s="1326">
        <v>43520</v>
      </c>
      <c r="P17" s="106">
        <v>39950</v>
      </c>
      <c r="Q17" s="1329">
        <v>50628</v>
      </c>
      <c r="R17" s="1438"/>
      <c r="S17" s="1330"/>
      <c r="T17" s="106"/>
      <c r="U17" s="1329"/>
      <c r="V17" s="1438"/>
      <c r="W17" s="1330"/>
      <c r="X17" s="106"/>
      <c r="Y17" s="1329"/>
      <c r="Z17" s="1438"/>
      <c r="AA17" s="1330"/>
      <c r="AB17" s="106"/>
      <c r="AC17" s="1325"/>
      <c r="AD17" s="1263"/>
      <c r="AE17" s="1326"/>
      <c r="AF17" s="1328"/>
    </row>
    <row r="18" spans="1:32" ht="12.75" customHeight="1">
      <c r="A18" s="1232" t="s">
        <v>192</v>
      </c>
      <c r="B18" s="469" t="s">
        <v>197</v>
      </c>
      <c r="C18" s="469" t="s">
        <v>189</v>
      </c>
      <c r="D18" s="110" t="s">
        <v>181</v>
      </c>
      <c r="E18" s="496">
        <v>1148914</v>
      </c>
      <c r="F18" s="95">
        <v>1057733</v>
      </c>
      <c r="G18" s="132">
        <v>1033489</v>
      </c>
      <c r="H18" s="706">
        <v>1218667</v>
      </c>
      <c r="I18" s="1437">
        <v>1727697</v>
      </c>
      <c r="J18" s="1438">
        <v>1716133</v>
      </c>
      <c r="K18" s="1326">
        <v>1888378</v>
      </c>
      <c r="L18" s="106">
        <v>1556647</v>
      </c>
      <c r="M18" s="1437">
        <v>1344271</v>
      </c>
      <c r="N18" s="1438">
        <v>1449982</v>
      </c>
      <c r="O18" s="1326">
        <v>1621406</v>
      </c>
      <c r="P18" s="106">
        <v>1859210</v>
      </c>
      <c r="Q18" s="1329">
        <v>1044305</v>
      </c>
      <c r="R18" s="1438"/>
      <c r="S18" s="1330"/>
      <c r="T18" s="106"/>
      <c r="U18" s="1329"/>
      <c r="V18" s="1438"/>
      <c r="W18" s="1330"/>
      <c r="X18" s="106"/>
      <c r="Y18" s="1329"/>
      <c r="Z18" s="1438"/>
      <c r="AA18" s="1330"/>
      <c r="AB18" s="106"/>
      <c r="AC18" s="1325"/>
      <c r="AD18" s="1263"/>
      <c r="AE18" s="1326"/>
      <c r="AF18" s="1328"/>
    </row>
    <row r="19" spans="1:32" ht="12.75" customHeight="1">
      <c r="A19" s="1232" t="s">
        <v>192</v>
      </c>
      <c r="B19" s="260" t="s">
        <v>197</v>
      </c>
      <c r="C19" s="260" t="s">
        <v>183</v>
      </c>
      <c r="D19" s="241" t="s">
        <v>296</v>
      </c>
      <c r="E19" s="496">
        <v>370986</v>
      </c>
      <c r="F19" s="59">
        <v>403568</v>
      </c>
      <c r="G19" s="132">
        <v>325617</v>
      </c>
      <c r="H19" s="706">
        <v>330000</v>
      </c>
      <c r="I19" s="1437"/>
      <c r="J19" s="1439"/>
      <c r="K19" s="1326">
        <v>0</v>
      </c>
      <c r="L19" s="106">
        <v>0</v>
      </c>
      <c r="M19" s="1437">
        <v>0</v>
      </c>
      <c r="N19" s="1439">
        <v>0</v>
      </c>
      <c r="O19" s="1326">
        <v>0</v>
      </c>
      <c r="P19" s="106">
        <v>0</v>
      </c>
      <c r="Q19" s="1329">
        <v>0</v>
      </c>
      <c r="R19" s="1447"/>
      <c r="S19" s="1330"/>
      <c r="T19" s="106"/>
      <c r="U19" s="1329"/>
      <c r="V19" s="1447"/>
      <c r="W19" s="1330"/>
      <c r="X19" s="106"/>
      <c r="Y19" s="1329"/>
      <c r="Z19" s="1447"/>
      <c r="AA19" s="1330"/>
      <c r="AB19" s="106"/>
      <c r="AC19" s="1325"/>
      <c r="AD19" s="1859"/>
      <c r="AE19" s="1326"/>
      <c r="AF19" s="1328"/>
    </row>
    <row r="20" spans="1:32" ht="12.75" customHeight="1">
      <c r="A20" s="1232" t="s">
        <v>192</v>
      </c>
      <c r="B20" s="473" t="s">
        <v>198</v>
      </c>
      <c r="C20" s="473" t="s">
        <v>190</v>
      </c>
      <c r="D20" s="110" t="s">
        <v>292</v>
      </c>
      <c r="E20" s="496">
        <v>24529</v>
      </c>
      <c r="F20" s="95">
        <v>19038</v>
      </c>
      <c r="G20" s="132">
        <v>29871</v>
      </c>
      <c r="H20" s="706">
        <v>33796</v>
      </c>
      <c r="I20" s="1437">
        <v>39224</v>
      </c>
      <c r="J20" s="1438">
        <v>48386</v>
      </c>
      <c r="K20" s="1326">
        <v>45761</v>
      </c>
      <c r="L20" s="106">
        <v>22898</v>
      </c>
      <c r="M20" s="1437">
        <v>24444</v>
      </c>
      <c r="N20" s="1438">
        <v>20302</v>
      </c>
      <c r="O20" s="1326">
        <v>19800</v>
      </c>
      <c r="P20" s="106">
        <v>21304</v>
      </c>
      <c r="Q20" s="1329">
        <v>22886</v>
      </c>
      <c r="R20" s="1438"/>
      <c r="S20" s="1330"/>
      <c r="T20" s="106"/>
      <c r="U20" s="1329"/>
      <c r="V20" s="1438"/>
      <c r="W20" s="1330"/>
      <c r="X20" s="106"/>
      <c r="Y20" s="1329"/>
      <c r="Z20" s="1438"/>
      <c r="AA20" s="1330"/>
      <c r="AB20" s="106"/>
      <c r="AC20" s="1325"/>
      <c r="AD20" s="1263"/>
      <c r="AE20" s="1326"/>
      <c r="AF20" s="1328"/>
    </row>
    <row r="21" spans="1:32" ht="12.75" customHeight="1">
      <c r="A21" s="1232" t="s">
        <v>192</v>
      </c>
      <c r="B21" s="469" t="s">
        <v>198</v>
      </c>
      <c r="C21" s="469" t="s">
        <v>190</v>
      </c>
      <c r="D21" s="582" t="s">
        <v>181</v>
      </c>
      <c r="E21" s="496">
        <v>90278</v>
      </c>
      <c r="F21" s="95">
        <v>95386</v>
      </c>
      <c r="G21" s="132">
        <v>119720</v>
      </c>
      <c r="H21" s="706">
        <v>125147</v>
      </c>
      <c r="I21" s="1437">
        <v>160463</v>
      </c>
      <c r="J21" s="1438">
        <v>243284</v>
      </c>
      <c r="K21" s="1326">
        <v>252458</v>
      </c>
      <c r="L21" s="106">
        <v>246881</v>
      </c>
      <c r="M21" s="1437">
        <v>128669</v>
      </c>
      <c r="N21" s="1438">
        <v>158329</v>
      </c>
      <c r="O21" s="1326">
        <v>160162</v>
      </c>
      <c r="P21" s="106">
        <v>181508</v>
      </c>
      <c r="Q21" s="1329">
        <v>170345</v>
      </c>
      <c r="R21" s="1438"/>
      <c r="S21" s="1330"/>
      <c r="T21" s="106"/>
      <c r="U21" s="1329"/>
      <c r="V21" s="1438"/>
      <c r="W21" s="1330"/>
      <c r="X21" s="106"/>
      <c r="Y21" s="1329"/>
      <c r="Z21" s="1438"/>
      <c r="AA21" s="1330"/>
      <c r="AB21" s="106"/>
      <c r="AC21" s="1325"/>
      <c r="AD21" s="1263"/>
      <c r="AE21" s="1326"/>
      <c r="AF21" s="1328"/>
    </row>
    <row r="22" spans="1:32" ht="12.75" customHeight="1">
      <c r="A22" s="1232" t="s">
        <v>192</v>
      </c>
      <c r="B22" s="473" t="s">
        <v>199</v>
      </c>
      <c r="C22" s="473" t="s">
        <v>191</v>
      </c>
      <c r="D22" s="110" t="s">
        <v>292</v>
      </c>
      <c r="E22" s="496">
        <v>5450</v>
      </c>
      <c r="F22" s="95">
        <v>3005</v>
      </c>
      <c r="G22" s="132">
        <v>500</v>
      </c>
      <c r="H22" s="706">
        <v>500</v>
      </c>
      <c r="I22" s="1437">
        <v>3400</v>
      </c>
      <c r="J22" s="1438">
        <v>1850</v>
      </c>
      <c r="K22" s="1326">
        <v>2218</v>
      </c>
      <c r="L22" s="106">
        <v>2514</v>
      </c>
      <c r="M22" s="1437">
        <v>1837</v>
      </c>
      <c r="N22" s="1438">
        <v>1603</v>
      </c>
      <c r="O22" s="1326">
        <v>1200</v>
      </c>
      <c r="P22" s="106">
        <v>850</v>
      </c>
      <c r="Q22" s="1329">
        <v>2958</v>
      </c>
      <c r="R22" s="1438"/>
      <c r="S22" s="1330"/>
      <c r="T22" s="106"/>
      <c r="U22" s="1329"/>
      <c r="V22" s="1438"/>
      <c r="W22" s="1330"/>
      <c r="X22" s="106"/>
      <c r="Y22" s="1329"/>
      <c r="Z22" s="1438"/>
      <c r="AA22" s="1330"/>
      <c r="AB22" s="106"/>
      <c r="AC22" s="1722"/>
      <c r="AD22" s="1723"/>
      <c r="AE22" s="1326"/>
      <c r="AF22" s="1328"/>
    </row>
    <row r="23" spans="1:32" ht="12.75" customHeight="1" thickBot="1">
      <c r="A23" s="1233" t="s">
        <v>192</v>
      </c>
      <c r="B23" s="474" t="s">
        <v>199</v>
      </c>
      <c r="C23" s="474" t="s">
        <v>191</v>
      </c>
      <c r="D23" s="270" t="s">
        <v>181</v>
      </c>
      <c r="E23" s="497">
        <v>32781</v>
      </c>
      <c r="F23" s="509">
        <v>24747</v>
      </c>
      <c r="G23" s="511">
        <v>33387</v>
      </c>
      <c r="H23" s="707">
        <v>35150</v>
      </c>
      <c r="I23" s="719">
        <v>57115</v>
      </c>
      <c r="J23" s="509">
        <v>52019</v>
      </c>
      <c r="K23" s="595">
        <v>83628</v>
      </c>
      <c r="L23" s="365">
        <v>81997</v>
      </c>
      <c r="M23" s="719">
        <v>50892</v>
      </c>
      <c r="N23" s="509">
        <v>56722</v>
      </c>
      <c r="O23" s="595">
        <v>46228</v>
      </c>
      <c r="P23" s="365">
        <v>53477</v>
      </c>
      <c r="Q23" s="1119">
        <v>40211</v>
      </c>
      <c r="R23" s="509"/>
      <c r="S23" s="511"/>
      <c r="T23" s="365"/>
      <c r="U23" s="1119"/>
      <c r="V23" s="509"/>
      <c r="W23" s="511"/>
      <c r="X23" s="365"/>
      <c r="Y23" s="1119"/>
      <c r="Z23" s="509"/>
      <c r="AA23" s="511"/>
      <c r="AB23" s="365"/>
      <c r="AC23" s="717"/>
      <c r="AD23" s="777"/>
      <c r="AE23" s="595"/>
      <c r="AF23" s="609"/>
    </row>
    <row r="24" spans="1:32" ht="13.05" customHeight="1">
      <c r="A24" s="1232" t="s">
        <v>289</v>
      </c>
      <c r="B24" s="260" t="s">
        <v>281</v>
      </c>
      <c r="C24" s="260" t="s">
        <v>202</v>
      </c>
      <c r="D24" s="490" t="s">
        <v>282</v>
      </c>
      <c r="E24" s="495">
        <v>6262</v>
      </c>
      <c r="F24" s="103">
        <v>15363</v>
      </c>
      <c r="G24" s="290">
        <v>14661</v>
      </c>
      <c r="H24" s="708">
        <v>59579</v>
      </c>
      <c r="I24" s="1380">
        <v>48658</v>
      </c>
      <c r="J24" s="103">
        <v>74327</v>
      </c>
      <c r="K24" s="596">
        <v>91426</v>
      </c>
      <c r="L24" s="364">
        <v>104567</v>
      </c>
      <c r="M24" s="1380">
        <v>118216</v>
      </c>
      <c r="N24" s="103">
        <v>140911</v>
      </c>
      <c r="O24" s="596">
        <v>139000</v>
      </c>
      <c r="P24" s="364">
        <v>272000</v>
      </c>
      <c r="Q24" s="1120">
        <v>281931</v>
      </c>
      <c r="R24" s="103"/>
      <c r="S24" s="290"/>
      <c r="T24" s="364"/>
      <c r="U24" s="1120"/>
      <c r="V24" s="103"/>
      <c r="W24" s="290"/>
      <c r="X24" s="364"/>
      <c r="Y24" s="1120"/>
      <c r="Z24" s="103"/>
      <c r="AA24" s="290"/>
      <c r="AB24" s="364"/>
      <c r="AC24" s="1810"/>
      <c r="AD24" s="408"/>
      <c r="AE24" s="596"/>
      <c r="AF24" s="1756"/>
    </row>
    <row r="25" spans="1:32" ht="13.05" customHeight="1">
      <c r="A25" s="1232" t="s">
        <v>289</v>
      </c>
      <c r="B25" s="260" t="s">
        <v>283</v>
      </c>
      <c r="C25" s="260" t="s">
        <v>189</v>
      </c>
      <c r="D25" s="490" t="s">
        <v>282</v>
      </c>
      <c r="E25" s="496">
        <v>3638</v>
      </c>
      <c r="F25" s="95">
        <v>2706</v>
      </c>
      <c r="G25" s="132">
        <v>4752</v>
      </c>
      <c r="H25" s="706">
        <v>6366</v>
      </c>
      <c r="I25" s="1437">
        <v>18621.8</v>
      </c>
      <c r="J25" s="1438">
        <v>8708.2000000000007</v>
      </c>
      <c r="K25" s="1326">
        <v>14317</v>
      </c>
      <c r="L25" s="106">
        <v>15062</v>
      </c>
      <c r="M25" s="1437">
        <v>4291</v>
      </c>
      <c r="N25" s="1438">
        <v>6766</v>
      </c>
      <c r="O25" s="1326">
        <v>14500</v>
      </c>
      <c r="P25" s="106">
        <v>25500</v>
      </c>
      <c r="Q25" s="1329">
        <v>23174</v>
      </c>
      <c r="R25" s="1438"/>
      <c r="S25" s="1330"/>
      <c r="T25" s="106"/>
      <c r="U25" s="1329"/>
      <c r="V25" s="1438"/>
      <c r="W25" s="1330"/>
      <c r="X25" s="106"/>
      <c r="Y25" s="1329"/>
      <c r="Z25" s="1438"/>
      <c r="AA25" s="1330"/>
      <c r="AB25" s="106"/>
      <c r="AC25" s="1325"/>
      <c r="AD25" s="1263"/>
      <c r="AE25" s="1326"/>
      <c r="AF25" s="1328"/>
    </row>
    <row r="26" spans="1:32" ht="13.05" customHeight="1" thickBot="1">
      <c r="A26" s="1233" t="s">
        <v>289</v>
      </c>
      <c r="B26" s="771" t="s">
        <v>290</v>
      </c>
      <c r="C26" s="771" t="s">
        <v>190</v>
      </c>
      <c r="D26" s="1254" t="s">
        <v>282</v>
      </c>
      <c r="E26" s="497"/>
      <c r="F26" s="803"/>
      <c r="G26" s="511">
        <v>0</v>
      </c>
      <c r="H26" s="707">
        <v>0</v>
      </c>
      <c r="I26" s="719"/>
      <c r="J26" s="803"/>
      <c r="K26" s="595"/>
      <c r="L26" s="365"/>
      <c r="M26" s="719"/>
      <c r="N26" s="803"/>
      <c r="O26" s="595"/>
      <c r="P26" s="365"/>
      <c r="Q26" s="1119"/>
      <c r="R26" s="1448"/>
      <c r="S26" s="511"/>
      <c r="T26" s="365"/>
      <c r="U26" s="1119"/>
      <c r="V26" s="1448"/>
      <c r="W26" s="511"/>
      <c r="X26" s="365"/>
      <c r="Y26" s="1119"/>
      <c r="Z26" s="1448"/>
      <c r="AA26" s="511"/>
      <c r="AB26" s="365"/>
      <c r="AC26" s="717"/>
      <c r="AD26" s="1860"/>
      <c r="AE26" s="595"/>
      <c r="AF26" s="609"/>
    </row>
    <row r="27" spans="1:32" ht="12.75" customHeight="1">
      <c r="A27" s="1232" t="s">
        <v>200</v>
      </c>
      <c r="B27" s="260" t="s">
        <v>201</v>
      </c>
      <c r="C27" s="260" t="s">
        <v>202</v>
      </c>
      <c r="D27" s="263" t="s">
        <v>204</v>
      </c>
      <c r="E27" s="1253">
        <v>218714</v>
      </c>
      <c r="F27" s="103">
        <v>177692</v>
      </c>
      <c r="G27" s="290">
        <v>192569</v>
      </c>
      <c r="H27" s="708">
        <v>204837</v>
      </c>
      <c r="I27" s="1120">
        <v>225151.2</v>
      </c>
      <c r="J27" s="103">
        <v>272315.3</v>
      </c>
      <c r="K27" s="596">
        <v>271250</v>
      </c>
      <c r="L27" s="364">
        <v>191923</v>
      </c>
      <c r="M27" s="1120">
        <v>180394</v>
      </c>
      <c r="N27" s="103">
        <v>187579</v>
      </c>
      <c r="O27" s="596">
        <v>144143</v>
      </c>
      <c r="P27" s="364">
        <v>172547</v>
      </c>
      <c r="Q27" s="1120">
        <v>150102</v>
      </c>
      <c r="R27" s="103"/>
      <c r="S27" s="290"/>
      <c r="T27" s="364"/>
      <c r="U27" s="1120"/>
      <c r="V27" s="103"/>
      <c r="W27" s="290"/>
      <c r="X27" s="364"/>
      <c r="Y27" s="1120"/>
      <c r="Z27" s="103"/>
      <c r="AA27" s="290"/>
      <c r="AB27" s="364"/>
      <c r="AC27" s="1810"/>
      <c r="AD27" s="408"/>
      <c r="AE27" s="596"/>
      <c r="AF27" s="1756"/>
    </row>
    <row r="28" spans="1:32" ht="12.75" customHeight="1">
      <c r="A28" s="1232" t="s">
        <v>200</v>
      </c>
      <c r="B28" s="108" t="s">
        <v>288</v>
      </c>
      <c r="C28" s="266" t="s">
        <v>202</v>
      </c>
      <c r="D28" s="263" t="s">
        <v>204</v>
      </c>
      <c r="E28" s="496">
        <v>152177</v>
      </c>
      <c r="F28" s="59">
        <v>192304</v>
      </c>
      <c r="G28" s="132">
        <v>215562</v>
      </c>
      <c r="H28" s="706">
        <v>190476</v>
      </c>
      <c r="I28" s="1437">
        <v>123196</v>
      </c>
      <c r="J28" s="1323">
        <v>102868</v>
      </c>
      <c r="K28" s="1326">
        <v>183335</v>
      </c>
      <c r="L28" s="106">
        <v>184928</v>
      </c>
      <c r="M28" s="1437">
        <v>145320</v>
      </c>
      <c r="N28" s="1323">
        <v>126282</v>
      </c>
      <c r="O28" s="1326">
        <v>105000</v>
      </c>
      <c r="P28" s="106">
        <v>84000</v>
      </c>
      <c r="Q28" s="1329">
        <v>153000</v>
      </c>
      <c r="R28" s="1330"/>
      <c r="S28" s="1330"/>
      <c r="T28" s="106"/>
      <c r="U28" s="1329"/>
      <c r="V28" s="1330"/>
      <c r="W28" s="1330"/>
      <c r="X28" s="106"/>
      <c r="Y28" s="1329"/>
      <c r="Z28" s="1330"/>
      <c r="AA28" s="1330"/>
      <c r="AB28" s="106"/>
      <c r="AC28" s="1325"/>
      <c r="AD28" s="1326"/>
      <c r="AE28" s="1326"/>
      <c r="AF28" s="1328"/>
    </row>
    <row r="29" spans="1:32" ht="12.75" customHeight="1">
      <c r="A29" s="1232" t="s">
        <v>200</v>
      </c>
      <c r="B29" s="107" t="s">
        <v>246</v>
      </c>
      <c r="C29" s="266" t="s">
        <v>194</v>
      </c>
      <c r="D29" s="267" t="s">
        <v>204</v>
      </c>
      <c r="E29" s="496">
        <v>85605</v>
      </c>
      <c r="F29" s="59">
        <v>158864</v>
      </c>
      <c r="G29" s="132">
        <v>112352</v>
      </c>
      <c r="H29" s="706">
        <v>109714</v>
      </c>
      <c r="I29" s="1437">
        <v>140171</v>
      </c>
      <c r="J29" s="1323">
        <v>165936</v>
      </c>
      <c r="K29" s="1326">
        <v>92014</v>
      </c>
      <c r="L29" s="106">
        <v>92946</v>
      </c>
      <c r="M29" s="1437">
        <v>95921</v>
      </c>
      <c r="N29" s="1323">
        <v>87193</v>
      </c>
      <c r="O29" s="1326">
        <v>58794</v>
      </c>
      <c r="P29" s="106">
        <v>59322</v>
      </c>
      <c r="Q29" s="1329">
        <v>62726</v>
      </c>
      <c r="R29" s="1330"/>
      <c r="S29" s="1330"/>
      <c r="T29" s="106"/>
      <c r="U29" s="1329"/>
      <c r="V29" s="1330"/>
      <c r="W29" s="1330"/>
      <c r="X29" s="106"/>
      <c r="Y29" s="1329"/>
      <c r="Z29" s="1330"/>
      <c r="AA29" s="1330"/>
      <c r="AB29" s="106"/>
      <c r="AC29" s="1325"/>
      <c r="AD29" s="1326"/>
      <c r="AE29" s="1326"/>
      <c r="AF29" s="1328"/>
    </row>
    <row r="30" spans="1:32" ht="12.75" customHeight="1">
      <c r="A30" s="1232" t="s">
        <v>200</v>
      </c>
      <c r="B30" s="107" t="s">
        <v>205</v>
      </c>
      <c r="C30" s="266" t="s">
        <v>188</v>
      </c>
      <c r="D30" s="267" t="s">
        <v>204</v>
      </c>
      <c r="E30" s="496">
        <v>121206</v>
      </c>
      <c r="F30" s="59">
        <v>192434</v>
      </c>
      <c r="G30" s="132">
        <v>135000</v>
      </c>
      <c r="H30" s="706">
        <v>165000</v>
      </c>
      <c r="I30" s="1437">
        <v>144300</v>
      </c>
      <c r="J30" s="1323">
        <v>132200</v>
      </c>
      <c r="K30" s="1326">
        <v>127105</v>
      </c>
      <c r="L30" s="106">
        <v>99103</v>
      </c>
      <c r="M30" s="1437">
        <v>103600</v>
      </c>
      <c r="N30" s="1323">
        <v>127800</v>
      </c>
      <c r="O30" s="1326">
        <v>146200</v>
      </c>
      <c r="P30" s="106">
        <v>118900</v>
      </c>
      <c r="Q30" s="1329">
        <v>71021</v>
      </c>
      <c r="R30" s="1330"/>
      <c r="S30" s="1330"/>
      <c r="T30" s="106"/>
      <c r="U30" s="1329"/>
      <c r="V30" s="1330"/>
      <c r="W30" s="1330"/>
      <c r="X30" s="106"/>
      <c r="Y30" s="1329"/>
      <c r="Z30" s="1330"/>
      <c r="AA30" s="1330"/>
      <c r="AB30" s="106"/>
      <c r="AC30" s="1325"/>
      <c r="AD30" s="1326"/>
      <c r="AE30" s="1326"/>
      <c r="AF30" s="1328"/>
    </row>
    <row r="31" spans="1:32" ht="12.75" customHeight="1">
      <c r="A31" s="1232" t="s">
        <v>200</v>
      </c>
      <c r="B31" s="473" t="s">
        <v>206</v>
      </c>
      <c r="C31" s="268" t="s">
        <v>183</v>
      </c>
      <c r="D31" s="110" t="s">
        <v>203</v>
      </c>
      <c r="E31" s="496">
        <v>158</v>
      </c>
      <c r="F31" s="95">
        <v>54</v>
      </c>
      <c r="G31" s="132">
        <v>179</v>
      </c>
      <c r="H31" s="706">
        <v>11</v>
      </c>
      <c r="I31" s="1437"/>
      <c r="J31" s="1438"/>
      <c r="K31" s="1326">
        <v>0</v>
      </c>
      <c r="L31" s="106">
        <v>0</v>
      </c>
      <c r="M31" s="1437">
        <v>0</v>
      </c>
      <c r="N31" s="1438"/>
      <c r="O31" s="1326">
        <v>0</v>
      </c>
      <c r="P31" s="106">
        <v>0</v>
      </c>
      <c r="Q31" s="1329">
        <v>0</v>
      </c>
      <c r="R31" s="1438"/>
      <c r="S31" s="1330"/>
      <c r="T31" s="106"/>
      <c r="U31" s="1329"/>
      <c r="V31" s="1438"/>
      <c r="W31" s="1330"/>
      <c r="X31" s="106"/>
      <c r="Y31" s="1329"/>
      <c r="Z31" s="1438"/>
      <c r="AA31" s="1330"/>
      <c r="AB31" s="106"/>
      <c r="AC31" s="1325"/>
      <c r="AD31" s="1263"/>
      <c r="AE31" s="1326"/>
      <c r="AF31" s="1328"/>
    </row>
    <row r="32" spans="1:32" ht="12.75" customHeight="1">
      <c r="A32" s="1232" t="s">
        <v>200</v>
      </c>
      <c r="B32" s="130" t="s">
        <v>207</v>
      </c>
      <c r="C32" s="505" t="s">
        <v>183</v>
      </c>
      <c r="D32" s="241" t="s">
        <v>204</v>
      </c>
      <c r="E32" s="496">
        <v>207899</v>
      </c>
      <c r="F32" s="95">
        <v>256444</v>
      </c>
      <c r="G32" s="132">
        <v>175597</v>
      </c>
      <c r="H32" s="706">
        <v>166676</v>
      </c>
      <c r="I32" s="1437">
        <v>116789</v>
      </c>
      <c r="J32" s="1438">
        <v>69001</v>
      </c>
      <c r="K32" s="1326">
        <v>51290</v>
      </c>
      <c r="L32" s="106">
        <v>34741</v>
      </c>
      <c r="M32" s="1437">
        <v>124619</v>
      </c>
      <c r="N32" s="1438">
        <v>84771</v>
      </c>
      <c r="O32" s="1326">
        <v>92900</v>
      </c>
      <c r="P32" s="106">
        <v>128500</v>
      </c>
      <c r="Q32" s="1329">
        <v>109934</v>
      </c>
      <c r="R32" s="1438"/>
      <c r="S32" s="1330"/>
      <c r="T32" s="106"/>
      <c r="U32" s="1329"/>
      <c r="V32" s="1438"/>
      <c r="W32" s="1330"/>
      <c r="X32" s="106"/>
      <c r="Y32" s="1329"/>
      <c r="Z32" s="1438"/>
      <c r="AA32" s="1330"/>
      <c r="AB32" s="106"/>
      <c r="AC32" s="1325"/>
      <c r="AD32" s="1263"/>
      <c r="AE32" s="1326"/>
      <c r="AF32" s="1814"/>
    </row>
    <row r="33" spans="1:32" ht="12.75" customHeight="1">
      <c r="A33" s="1232" t="s">
        <v>200</v>
      </c>
      <c r="B33" s="1255" t="s">
        <v>208</v>
      </c>
      <c r="C33" s="1255" t="s">
        <v>189</v>
      </c>
      <c r="D33" s="1256" t="s">
        <v>203</v>
      </c>
      <c r="E33" s="496">
        <v>1329</v>
      </c>
      <c r="F33" s="95">
        <v>1055</v>
      </c>
      <c r="G33" s="132">
        <v>138</v>
      </c>
      <c r="H33" s="706">
        <v>324</v>
      </c>
      <c r="I33" s="1437"/>
      <c r="J33" s="1438"/>
      <c r="K33" s="1326">
        <v>0</v>
      </c>
      <c r="L33" s="106">
        <v>0</v>
      </c>
      <c r="M33" s="1437">
        <v>0</v>
      </c>
      <c r="N33" s="1438">
        <v>0</v>
      </c>
      <c r="O33" s="1326">
        <v>0</v>
      </c>
      <c r="P33" s="106">
        <v>0</v>
      </c>
      <c r="Q33" s="1329">
        <v>0</v>
      </c>
      <c r="R33" s="1438"/>
      <c r="S33" s="1330"/>
      <c r="T33" s="106"/>
      <c r="U33" s="1329"/>
      <c r="V33" s="1438"/>
      <c r="W33" s="1330"/>
      <c r="X33" s="106"/>
      <c r="Y33" s="1329"/>
      <c r="Z33" s="1438"/>
      <c r="AA33" s="1330"/>
      <c r="AB33" s="106"/>
      <c r="AC33" s="1325"/>
      <c r="AD33" s="1263"/>
      <c r="AE33" s="1326"/>
      <c r="AF33" s="1814"/>
    </row>
    <row r="34" spans="1:32" ht="12.75" customHeight="1">
      <c r="A34" s="1232" t="s">
        <v>200</v>
      </c>
      <c r="B34" s="130" t="s">
        <v>208</v>
      </c>
      <c r="C34" s="260" t="s">
        <v>189</v>
      </c>
      <c r="D34" s="110" t="s">
        <v>209</v>
      </c>
      <c r="E34" s="498">
        <v>80148</v>
      </c>
      <c r="F34" s="95">
        <v>75172</v>
      </c>
      <c r="G34" s="132">
        <v>141330</v>
      </c>
      <c r="H34" s="706">
        <v>127708</v>
      </c>
      <c r="I34" s="1329">
        <v>71054</v>
      </c>
      <c r="J34" s="1438">
        <v>99784</v>
      </c>
      <c r="K34" s="1326">
        <v>42827</v>
      </c>
      <c r="L34" s="106">
        <v>55672</v>
      </c>
      <c r="M34" s="1329">
        <v>68803</v>
      </c>
      <c r="N34" s="1438">
        <v>93763</v>
      </c>
      <c r="O34" s="1326">
        <v>77000</v>
      </c>
      <c r="P34" s="106">
        <v>120500</v>
      </c>
      <c r="Q34" s="1329">
        <v>106350</v>
      </c>
      <c r="R34" s="1438"/>
      <c r="S34" s="1330"/>
      <c r="T34" s="106"/>
      <c r="U34" s="1329"/>
      <c r="V34" s="1438"/>
      <c r="W34" s="1330"/>
      <c r="X34" s="106"/>
      <c r="Y34" s="1329"/>
      <c r="Z34" s="1438"/>
      <c r="AA34" s="1330"/>
      <c r="AB34" s="106"/>
      <c r="AC34" s="1325"/>
      <c r="AD34" s="1263"/>
      <c r="AE34" s="1326"/>
      <c r="AF34" s="1814"/>
    </row>
    <row r="35" spans="1:32" ht="13.05" customHeight="1" thickBot="1">
      <c r="A35" s="1233" t="s">
        <v>200</v>
      </c>
      <c r="B35" s="264" t="s">
        <v>210</v>
      </c>
      <c r="C35" s="771" t="s">
        <v>190</v>
      </c>
      <c r="D35" s="264" t="s">
        <v>211</v>
      </c>
      <c r="E35" s="497">
        <v>1035</v>
      </c>
      <c r="F35" s="803">
        <v>1031</v>
      </c>
      <c r="G35" s="511">
        <v>1486</v>
      </c>
      <c r="H35" s="707">
        <v>1880</v>
      </c>
      <c r="I35" s="719">
        <v>1733</v>
      </c>
      <c r="J35" s="803">
        <v>2416</v>
      </c>
      <c r="K35" s="595">
        <v>2433</v>
      </c>
      <c r="L35" s="365">
        <v>1642</v>
      </c>
      <c r="M35" s="719">
        <v>1226</v>
      </c>
      <c r="N35" s="803">
        <v>1149</v>
      </c>
      <c r="O35" s="595">
        <v>1100</v>
      </c>
      <c r="P35" s="365">
        <v>1000</v>
      </c>
      <c r="Q35" s="1119">
        <v>500</v>
      </c>
      <c r="R35" s="1448"/>
      <c r="S35" s="511"/>
      <c r="T35" s="365"/>
      <c r="U35" s="1119"/>
      <c r="V35" s="1448"/>
      <c r="W35" s="511"/>
      <c r="X35" s="365"/>
      <c r="Y35" s="1119"/>
      <c r="Z35" s="1448"/>
      <c r="AA35" s="511"/>
      <c r="AB35" s="365"/>
      <c r="AC35" s="717"/>
      <c r="AD35" s="1860"/>
      <c r="AE35" s="595"/>
      <c r="AF35" s="1445"/>
    </row>
    <row r="36" spans="1:32" ht="13.05" customHeight="1">
      <c r="A36" s="1232" t="s">
        <v>291</v>
      </c>
      <c r="B36" s="261" t="s">
        <v>284</v>
      </c>
      <c r="C36" s="261" t="s">
        <v>187</v>
      </c>
      <c r="D36" s="491" t="s">
        <v>187</v>
      </c>
      <c r="E36" s="499"/>
      <c r="F36" s="95"/>
      <c r="G36" s="363"/>
      <c r="H36" s="709"/>
      <c r="I36" s="1440"/>
      <c r="J36" s="1438"/>
      <c r="K36" s="1263"/>
      <c r="L36" s="1441"/>
      <c r="M36" s="1440"/>
      <c r="N36" s="1438"/>
      <c r="O36" s="1263"/>
      <c r="P36" s="1449"/>
      <c r="Q36" s="1440" t="s">
        <v>459</v>
      </c>
      <c r="R36" s="1438"/>
      <c r="S36" s="1438"/>
      <c r="T36" s="1449"/>
      <c r="U36" s="1440"/>
      <c r="V36" s="1438"/>
      <c r="W36" s="1438"/>
      <c r="X36" s="1449"/>
      <c r="Y36" s="1440"/>
      <c r="Z36" s="1438"/>
      <c r="AA36" s="1438"/>
      <c r="AB36" s="1449"/>
      <c r="AC36" s="1815"/>
      <c r="AD36" s="1263"/>
      <c r="AE36" s="1263"/>
      <c r="AF36" s="1272"/>
    </row>
    <row r="37" spans="1:32" ht="13.05" customHeight="1">
      <c r="A37" s="1232" t="s">
        <v>291</v>
      </c>
      <c r="B37" s="179"/>
      <c r="C37" s="179"/>
      <c r="D37" s="241" t="s">
        <v>187</v>
      </c>
      <c r="E37" s="499"/>
      <c r="F37" s="95"/>
      <c r="G37" s="363"/>
      <c r="H37" s="709"/>
      <c r="I37" s="1440"/>
      <c r="J37" s="1438"/>
      <c r="K37" s="1263"/>
      <c r="L37" s="1441"/>
      <c r="M37" s="1440"/>
      <c r="N37" s="1438"/>
      <c r="O37" s="1263"/>
      <c r="P37" s="1449"/>
      <c r="Q37" s="1440" t="s">
        <v>459</v>
      </c>
      <c r="R37" s="1438"/>
      <c r="S37" s="1438"/>
      <c r="T37" s="1449"/>
      <c r="U37" s="1440"/>
      <c r="V37" s="1438"/>
      <c r="W37" s="1438"/>
      <c r="X37" s="1449"/>
      <c r="Y37" s="1440"/>
      <c r="Z37" s="1438"/>
      <c r="AA37" s="1438"/>
      <c r="AB37" s="1449"/>
      <c r="AC37" s="1815"/>
      <c r="AD37" s="1263"/>
      <c r="AE37" s="1263"/>
      <c r="AF37" s="1272"/>
    </row>
    <row r="38" spans="1:32" ht="13.05" customHeight="1" thickBot="1">
      <c r="A38" s="1233" t="s">
        <v>291</v>
      </c>
      <c r="B38" s="804"/>
      <c r="C38" s="804"/>
      <c r="D38" s="270"/>
      <c r="E38" s="500"/>
      <c r="F38" s="509"/>
      <c r="G38" s="805"/>
      <c r="H38" s="1434"/>
      <c r="I38" s="1442"/>
      <c r="J38" s="509"/>
      <c r="K38" s="777"/>
      <c r="L38" s="1443"/>
      <c r="M38" s="1442"/>
      <c r="N38" s="509"/>
      <c r="O38" s="777"/>
      <c r="P38" s="1450"/>
      <c r="Q38" s="1442">
        <v>6000</v>
      </c>
      <c r="R38" s="509"/>
      <c r="S38" s="509"/>
      <c r="T38" s="1450"/>
      <c r="U38" s="1442"/>
      <c r="V38" s="509"/>
      <c r="W38" s="509"/>
      <c r="X38" s="1450"/>
      <c r="Y38" s="1442"/>
      <c r="Z38" s="509"/>
      <c r="AA38" s="509"/>
      <c r="AB38" s="1450"/>
      <c r="AC38" s="1816"/>
      <c r="AD38" s="777"/>
      <c r="AE38" s="777"/>
      <c r="AF38" s="1817"/>
    </row>
    <row r="39" spans="1:32" ht="12.75" customHeight="1">
      <c r="A39" s="1234" t="s">
        <v>212</v>
      </c>
      <c r="B39" s="469" t="s">
        <v>247</v>
      </c>
      <c r="C39" s="472" t="s">
        <v>202</v>
      </c>
      <c r="D39" s="110" t="s">
        <v>203</v>
      </c>
      <c r="E39" s="495">
        <v>2000</v>
      </c>
      <c r="F39" s="104">
        <v>2000</v>
      </c>
      <c r="G39" s="290">
        <v>1062</v>
      </c>
      <c r="H39" s="708">
        <v>1851</v>
      </c>
      <c r="I39" s="1380">
        <v>1701</v>
      </c>
      <c r="J39" s="104">
        <v>1674</v>
      </c>
      <c r="K39" s="596">
        <v>1125</v>
      </c>
      <c r="L39" s="364">
        <v>594</v>
      </c>
      <c r="M39" s="1380"/>
      <c r="N39" s="104"/>
      <c r="O39" s="596"/>
      <c r="P39" s="364"/>
      <c r="Q39" s="1120"/>
      <c r="R39" s="290"/>
      <c r="S39" s="290"/>
      <c r="T39" s="364"/>
      <c r="U39" s="1120"/>
      <c r="V39" s="290"/>
      <c r="W39" s="290"/>
      <c r="X39" s="364"/>
      <c r="Y39" s="1120"/>
      <c r="Z39" s="290"/>
      <c r="AA39" s="290"/>
      <c r="AB39" s="364"/>
      <c r="AC39" s="1725"/>
      <c r="AD39" s="1726"/>
      <c r="AE39" s="596"/>
      <c r="AF39" s="1818"/>
    </row>
    <row r="40" spans="1:32" ht="13.05" customHeight="1">
      <c r="A40" s="1232" t="s">
        <v>212</v>
      </c>
      <c r="B40" s="469" t="s">
        <v>248</v>
      </c>
      <c r="C40" s="470" t="s">
        <v>202</v>
      </c>
      <c r="D40" s="110" t="s">
        <v>249</v>
      </c>
      <c r="E40" s="496">
        <v>1000</v>
      </c>
      <c r="F40" s="96">
        <v>1000</v>
      </c>
      <c r="G40" s="132">
        <v>72</v>
      </c>
      <c r="H40" s="706">
        <v>197</v>
      </c>
      <c r="I40" s="1437"/>
      <c r="J40" s="1323"/>
      <c r="K40" s="1326">
        <v>649</v>
      </c>
      <c r="L40" s="106">
        <v>658</v>
      </c>
      <c r="M40" s="1437"/>
      <c r="N40" s="1323"/>
      <c r="O40" s="1326"/>
      <c r="P40" s="106"/>
      <c r="Q40" s="1329"/>
      <c r="R40" s="1330"/>
      <c r="S40" s="1330"/>
      <c r="T40" s="106"/>
      <c r="U40" s="1329"/>
      <c r="V40" s="1330"/>
      <c r="W40" s="1330"/>
      <c r="X40" s="106"/>
      <c r="Y40" s="1329"/>
      <c r="Z40" s="1330"/>
      <c r="AA40" s="1330"/>
      <c r="AB40" s="106"/>
      <c r="AC40" s="1722"/>
      <c r="AD40" s="1724"/>
      <c r="AE40" s="1326"/>
      <c r="AF40" s="1814"/>
    </row>
    <row r="41" spans="1:32" ht="12.75" customHeight="1">
      <c r="A41" s="1232" t="s">
        <v>212</v>
      </c>
      <c r="B41" s="260" t="s">
        <v>248</v>
      </c>
      <c r="C41" s="130" t="s">
        <v>202</v>
      </c>
      <c r="D41" s="241" t="s">
        <v>213</v>
      </c>
      <c r="E41" s="496">
        <v>99941</v>
      </c>
      <c r="F41" s="95">
        <v>145394</v>
      </c>
      <c r="G41" s="132">
        <v>157482</v>
      </c>
      <c r="H41" s="706">
        <v>219975</v>
      </c>
      <c r="I41" s="1437">
        <v>275804.79999999999</v>
      </c>
      <c r="J41" s="1438">
        <v>643746.19999999995</v>
      </c>
      <c r="K41" s="1326">
        <v>603886</v>
      </c>
      <c r="L41" s="106">
        <v>392380</v>
      </c>
      <c r="M41" s="1437">
        <v>418172</v>
      </c>
      <c r="N41" s="1438">
        <v>479823</v>
      </c>
      <c r="O41" s="1326">
        <v>424100</v>
      </c>
      <c r="P41" s="106">
        <v>661450</v>
      </c>
      <c r="Q41" s="1329">
        <v>680200</v>
      </c>
      <c r="R41" s="1438"/>
      <c r="S41" s="1330"/>
      <c r="T41" s="106"/>
      <c r="U41" s="1329"/>
      <c r="V41" s="1438"/>
      <c r="W41" s="1330"/>
      <c r="X41" s="106"/>
      <c r="Y41" s="1329"/>
      <c r="Z41" s="1438"/>
      <c r="AA41" s="1330"/>
      <c r="AB41" s="106"/>
      <c r="AC41" s="1325"/>
      <c r="AD41" s="1263"/>
      <c r="AE41" s="1326"/>
      <c r="AF41" s="1814"/>
    </row>
    <row r="42" spans="1:32" ht="14.4">
      <c r="A42" s="1232" t="s">
        <v>212</v>
      </c>
      <c r="B42" s="650" t="s">
        <v>417</v>
      </c>
      <c r="C42" s="266" t="s">
        <v>202</v>
      </c>
      <c r="D42" s="241" t="s">
        <v>211</v>
      </c>
      <c r="E42" s="496"/>
      <c r="F42" s="95"/>
      <c r="G42" s="132"/>
      <c r="H42" s="706"/>
      <c r="I42" s="1437"/>
      <c r="J42" s="1438"/>
      <c r="K42" s="1326"/>
      <c r="L42" s="106"/>
      <c r="M42" s="1437"/>
      <c r="N42" s="1438"/>
      <c r="O42" s="1326"/>
      <c r="P42" s="106"/>
      <c r="Q42" s="1329"/>
      <c r="R42" s="1438"/>
      <c r="S42" s="1330"/>
      <c r="T42" s="106"/>
      <c r="U42" s="1329"/>
      <c r="V42" s="1438"/>
      <c r="W42" s="1330"/>
      <c r="X42" s="106"/>
      <c r="Y42" s="1329"/>
      <c r="Z42" s="1438"/>
      <c r="AA42" s="1330"/>
      <c r="AB42" s="106"/>
      <c r="AC42" s="1325"/>
      <c r="AD42" s="1263"/>
      <c r="AE42" s="1326"/>
      <c r="AF42" s="1814"/>
    </row>
    <row r="43" spans="1:32" ht="12.75" customHeight="1">
      <c r="A43" s="1232" t="s">
        <v>212</v>
      </c>
      <c r="B43" s="649" t="s">
        <v>373</v>
      </c>
      <c r="C43" s="469" t="s">
        <v>194</v>
      </c>
      <c r="D43" s="241" t="s">
        <v>213</v>
      </c>
      <c r="E43" s="496"/>
      <c r="F43" s="96"/>
      <c r="G43" s="132"/>
      <c r="H43" s="706"/>
      <c r="I43" s="1437"/>
      <c r="J43" s="1323"/>
      <c r="K43" s="1326"/>
      <c r="L43" s="106"/>
      <c r="M43" s="1437">
        <v>7205</v>
      </c>
      <c r="N43" s="1323">
        <v>19001</v>
      </c>
      <c r="O43" s="1326">
        <v>20000</v>
      </c>
      <c r="P43" s="106">
        <v>25000</v>
      </c>
      <c r="Q43" s="1329">
        <v>130000</v>
      </c>
      <c r="R43" s="1330"/>
      <c r="S43" s="1330"/>
      <c r="T43" s="106"/>
      <c r="U43" s="1329"/>
      <c r="V43" s="1330"/>
      <c r="W43" s="1330"/>
      <c r="X43" s="106"/>
      <c r="Y43" s="1329"/>
      <c r="Z43" s="1330"/>
      <c r="AA43" s="1330"/>
      <c r="AB43" s="106"/>
      <c r="AC43" s="1325"/>
      <c r="AD43" s="1326"/>
      <c r="AE43" s="1326"/>
      <c r="AF43" s="1814"/>
    </row>
    <row r="44" spans="1:32" ht="12.75" customHeight="1">
      <c r="A44" s="1232" t="s">
        <v>212</v>
      </c>
      <c r="B44" s="650" t="s">
        <v>405</v>
      </c>
      <c r="C44" s="266" t="s">
        <v>188</v>
      </c>
      <c r="D44" s="267" t="s">
        <v>187</v>
      </c>
      <c r="E44" s="496">
        <v>148814</v>
      </c>
      <c r="F44" s="96">
        <v>198416</v>
      </c>
      <c r="G44" s="132">
        <v>173304</v>
      </c>
      <c r="H44" s="706">
        <v>189504</v>
      </c>
      <c r="I44" s="1437">
        <v>155360</v>
      </c>
      <c r="J44" s="1323">
        <v>147943</v>
      </c>
      <c r="K44" s="1326">
        <v>108100</v>
      </c>
      <c r="L44" s="106">
        <v>102908</v>
      </c>
      <c r="M44" s="1437">
        <v>44800</v>
      </c>
      <c r="N44" s="1323">
        <v>76000</v>
      </c>
      <c r="O44" s="1326">
        <v>100500</v>
      </c>
      <c r="P44" s="106">
        <v>158000</v>
      </c>
      <c r="Q44" s="1329">
        <v>185079</v>
      </c>
      <c r="R44" s="1330"/>
      <c r="S44" s="1330"/>
      <c r="T44" s="106"/>
      <c r="U44" s="1329"/>
      <c r="V44" s="1330"/>
      <c r="W44" s="1330"/>
      <c r="X44" s="106"/>
      <c r="Y44" s="1329"/>
      <c r="Z44" s="1330"/>
      <c r="AA44" s="1330"/>
      <c r="AB44" s="106"/>
      <c r="AC44" s="1325"/>
      <c r="AD44" s="1326"/>
      <c r="AE44" s="1326"/>
      <c r="AF44" s="1814"/>
    </row>
    <row r="45" spans="1:32" ht="12.75" customHeight="1">
      <c r="A45" s="1232" t="s">
        <v>212</v>
      </c>
      <c r="B45" s="268" t="s">
        <v>513</v>
      </c>
      <c r="C45" s="473"/>
      <c r="D45" s="262"/>
      <c r="E45" s="496"/>
      <c r="F45" s="96"/>
      <c r="G45" s="132"/>
      <c r="H45" s="706"/>
      <c r="I45" s="1437"/>
      <c r="J45" s="1323"/>
      <c r="K45" s="1326"/>
      <c r="L45" s="106"/>
      <c r="M45" s="1437"/>
      <c r="N45" s="1323"/>
      <c r="O45" s="1326">
        <v>2000</v>
      </c>
      <c r="P45" s="106">
        <v>16000</v>
      </c>
      <c r="Q45" s="1329">
        <v>42200</v>
      </c>
      <c r="R45" s="1330"/>
      <c r="S45" s="1330"/>
      <c r="T45" s="106"/>
      <c r="U45" s="1329"/>
      <c r="V45" s="1330"/>
      <c r="W45" s="1330"/>
      <c r="X45" s="106"/>
      <c r="Y45" s="1329"/>
      <c r="Z45" s="1330"/>
      <c r="AA45" s="1330"/>
      <c r="AB45" s="106"/>
      <c r="AC45" s="1325"/>
      <c r="AD45" s="1326"/>
      <c r="AE45" s="1326"/>
      <c r="AF45" s="1814"/>
    </row>
    <row r="46" spans="1:32" ht="12.75" customHeight="1">
      <c r="A46" s="1232" t="s">
        <v>212</v>
      </c>
      <c r="B46" s="268" t="s">
        <v>404</v>
      </c>
      <c r="C46" s="473" t="s">
        <v>183</v>
      </c>
      <c r="D46" s="262" t="s">
        <v>213</v>
      </c>
      <c r="E46" s="496">
        <v>101862</v>
      </c>
      <c r="F46" s="96">
        <v>187158</v>
      </c>
      <c r="G46" s="132">
        <v>301521</v>
      </c>
      <c r="H46" s="706">
        <v>385762</v>
      </c>
      <c r="I46" s="1437">
        <v>642192.80000000005</v>
      </c>
      <c r="J46" s="1323">
        <v>706442.2</v>
      </c>
      <c r="K46" s="1326">
        <v>770844.61904761905</v>
      </c>
      <c r="L46" s="106">
        <v>846813</v>
      </c>
      <c r="M46" s="1437">
        <v>910903</v>
      </c>
      <c r="N46" s="1323">
        <v>950256</v>
      </c>
      <c r="O46" s="1326">
        <v>943300</v>
      </c>
      <c r="P46" s="106">
        <v>1192500</v>
      </c>
      <c r="Q46" s="1329">
        <v>974944</v>
      </c>
      <c r="R46" s="1330"/>
      <c r="S46" s="1330"/>
      <c r="T46" s="106"/>
      <c r="U46" s="1329"/>
      <c r="V46" s="1330"/>
      <c r="W46" s="1330"/>
      <c r="X46" s="106"/>
      <c r="Y46" s="1329"/>
      <c r="Z46" s="1330"/>
      <c r="AA46" s="1330"/>
      <c r="AB46" s="106"/>
      <c r="AC46" s="1325"/>
      <c r="AD46" s="1326"/>
      <c r="AE46" s="1326"/>
      <c r="AF46" s="1814"/>
    </row>
    <row r="47" spans="1:32" ht="12.75" customHeight="1">
      <c r="A47" s="1232" t="s">
        <v>212</v>
      </c>
      <c r="B47" s="643" t="s">
        <v>376</v>
      </c>
      <c r="C47" s="470" t="s">
        <v>377</v>
      </c>
      <c r="D47" s="110" t="s">
        <v>213</v>
      </c>
      <c r="E47" s="496"/>
      <c r="F47" s="96"/>
      <c r="G47" s="132"/>
      <c r="H47" s="706"/>
      <c r="I47" s="1437"/>
      <c r="J47" s="1323"/>
      <c r="K47" s="1326">
        <v>10</v>
      </c>
      <c r="L47" s="106">
        <v>9</v>
      </c>
      <c r="M47" s="1437">
        <v>838</v>
      </c>
      <c r="N47" s="1323">
        <v>830</v>
      </c>
      <c r="O47" s="1326">
        <v>815</v>
      </c>
      <c r="P47" s="106">
        <v>4600</v>
      </c>
      <c r="Q47" s="1329">
        <v>9900</v>
      </c>
      <c r="R47" s="1330"/>
      <c r="S47" s="1330"/>
      <c r="T47" s="106"/>
      <c r="U47" s="1329"/>
      <c r="V47" s="1330"/>
      <c r="W47" s="1330"/>
      <c r="X47" s="106"/>
      <c r="Y47" s="1329"/>
      <c r="Z47" s="1330"/>
      <c r="AA47" s="1330"/>
      <c r="AB47" s="106"/>
      <c r="AC47" s="1325"/>
      <c r="AD47" s="1326"/>
      <c r="AE47" s="1326"/>
      <c r="AF47" s="1814"/>
    </row>
    <row r="48" spans="1:32" ht="12.75" customHeight="1">
      <c r="A48" s="1232" t="s">
        <v>212</v>
      </c>
      <c r="B48" s="268" t="s">
        <v>214</v>
      </c>
      <c r="C48" s="473" t="s">
        <v>189</v>
      </c>
      <c r="D48" s="1256" t="s">
        <v>203</v>
      </c>
      <c r="E48" s="496">
        <v>20174</v>
      </c>
      <c r="F48" s="271">
        <v>18351</v>
      </c>
      <c r="G48" s="132">
        <v>15834</v>
      </c>
      <c r="H48" s="706">
        <v>12990</v>
      </c>
      <c r="I48" s="1437">
        <v>9768</v>
      </c>
      <c r="J48" s="1444">
        <v>11011</v>
      </c>
      <c r="K48" s="1326">
        <v>11177</v>
      </c>
      <c r="L48" s="106">
        <v>6760</v>
      </c>
      <c r="M48" s="1437">
        <v>5541</v>
      </c>
      <c r="N48" s="1444">
        <v>8278</v>
      </c>
      <c r="O48" s="1326">
        <v>11391</v>
      </c>
      <c r="P48" s="106">
        <v>12159</v>
      </c>
      <c r="Q48" s="1329">
        <v>5977</v>
      </c>
      <c r="R48" s="1444"/>
      <c r="S48" s="1330"/>
      <c r="T48" s="106"/>
      <c r="U48" s="1329"/>
      <c r="V48" s="1444"/>
      <c r="W48" s="1330"/>
      <c r="X48" s="106"/>
      <c r="Y48" s="1329"/>
      <c r="Z48" s="1444"/>
      <c r="AA48" s="1330"/>
      <c r="AB48" s="106"/>
      <c r="AC48" s="1325"/>
      <c r="AD48" s="1819"/>
      <c r="AE48" s="1326"/>
      <c r="AF48" s="1814"/>
    </row>
    <row r="49" spans="1:32" ht="12.75" customHeight="1">
      <c r="A49" s="1232" t="s">
        <v>212</v>
      </c>
      <c r="B49" s="643" t="s">
        <v>214</v>
      </c>
      <c r="C49" s="470" t="s">
        <v>189</v>
      </c>
      <c r="D49" s="110" t="s">
        <v>379</v>
      </c>
      <c r="E49" s="496">
        <v>12780</v>
      </c>
      <c r="F49" s="271">
        <v>15280</v>
      </c>
      <c r="G49" s="132">
        <v>15512</v>
      </c>
      <c r="H49" s="706">
        <v>16759</v>
      </c>
      <c r="I49" s="1437">
        <v>14006</v>
      </c>
      <c r="J49" s="1444">
        <v>16620</v>
      </c>
      <c r="K49" s="1326">
        <v>14846</v>
      </c>
      <c r="L49" s="106">
        <v>13124</v>
      </c>
      <c r="M49" s="1437">
        <v>7801</v>
      </c>
      <c r="N49" s="1444">
        <v>10319</v>
      </c>
      <c r="O49" s="1326">
        <v>13000</v>
      </c>
      <c r="P49" s="106">
        <v>15000</v>
      </c>
      <c r="Q49" s="1329">
        <v>11000</v>
      </c>
      <c r="R49" s="1444"/>
      <c r="S49" s="1330"/>
      <c r="T49" s="106"/>
      <c r="U49" s="1329"/>
      <c r="V49" s="1444"/>
      <c r="W49" s="1330"/>
      <c r="X49" s="106"/>
      <c r="Y49" s="1329"/>
      <c r="Z49" s="1444"/>
      <c r="AA49" s="1330"/>
      <c r="AB49" s="106"/>
      <c r="AC49" s="1325"/>
      <c r="AD49" s="1819"/>
      <c r="AE49" s="1326"/>
      <c r="AF49" s="1328"/>
    </row>
    <row r="50" spans="1:32" ht="12.75" customHeight="1">
      <c r="A50" s="1232" t="s">
        <v>212</v>
      </c>
      <c r="B50" s="643" t="s">
        <v>214</v>
      </c>
      <c r="C50" s="470" t="s">
        <v>189</v>
      </c>
      <c r="D50" s="490" t="s">
        <v>378</v>
      </c>
      <c r="E50" s="496">
        <v>6107</v>
      </c>
      <c r="F50" s="95">
        <v>5338</v>
      </c>
      <c r="G50" s="360">
        <v>3511</v>
      </c>
      <c r="H50" s="710">
        <v>2915</v>
      </c>
      <c r="I50" s="1437">
        <v>4307</v>
      </c>
      <c r="J50" s="1438">
        <v>4506</v>
      </c>
      <c r="K50" s="1326">
        <v>3313</v>
      </c>
      <c r="L50" s="361">
        <v>3075</v>
      </c>
      <c r="M50" s="1437">
        <v>3311</v>
      </c>
      <c r="N50" s="1438">
        <v>3529</v>
      </c>
      <c r="O50" s="1326">
        <v>3500</v>
      </c>
      <c r="P50" s="106">
        <v>4400</v>
      </c>
      <c r="Q50" s="1329">
        <v>4000</v>
      </c>
      <c r="R50" s="1438"/>
      <c r="S50" s="1330"/>
      <c r="T50" s="106"/>
      <c r="U50" s="1329"/>
      <c r="V50" s="1438"/>
      <c r="W50" s="1330"/>
      <c r="X50" s="106"/>
      <c r="Y50" s="1329"/>
      <c r="Z50" s="1438"/>
      <c r="AA50" s="1330"/>
      <c r="AB50" s="106"/>
      <c r="AC50" s="1325"/>
      <c r="AD50" s="1263"/>
      <c r="AE50" s="1326"/>
      <c r="AF50" s="1328"/>
    </row>
    <row r="51" spans="1:32" ht="12.75" customHeight="1">
      <c r="A51" s="1232" t="s">
        <v>212</v>
      </c>
      <c r="B51" s="468" t="s">
        <v>214</v>
      </c>
      <c r="C51" s="130" t="s">
        <v>189</v>
      </c>
      <c r="D51" s="490" t="s">
        <v>213</v>
      </c>
      <c r="E51" s="496">
        <v>57278</v>
      </c>
      <c r="F51" s="95">
        <v>98074</v>
      </c>
      <c r="G51" s="360">
        <v>102827</v>
      </c>
      <c r="H51" s="710">
        <v>104173</v>
      </c>
      <c r="I51" s="1437">
        <v>103722</v>
      </c>
      <c r="J51" s="1438">
        <v>93303</v>
      </c>
      <c r="K51" s="1326">
        <v>101586.11764705883</v>
      </c>
      <c r="L51" s="361">
        <v>99280</v>
      </c>
      <c r="M51" s="1437">
        <v>96431</v>
      </c>
      <c r="N51" s="1438">
        <v>115765</v>
      </c>
      <c r="O51" s="1326">
        <v>146716</v>
      </c>
      <c r="P51" s="106">
        <v>211459</v>
      </c>
      <c r="Q51" s="1329">
        <v>201525</v>
      </c>
      <c r="R51" s="1438"/>
      <c r="S51" s="1330"/>
      <c r="T51" s="106"/>
      <c r="U51" s="1329"/>
      <c r="V51" s="1438"/>
      <c r="W51" s="1330"/>
      <c r="X51" s="106"/>
      <c r="Y51" s="1329"/>
      <c r="Z51" s="1438"/>
      <c r="AA51" s="1330"/>
      <c r="AB51" s="106"/>
      <c r="AC51" s="1325"/>
      <c r="AD51" s="1263"/>
      <c r="AE51" s="1326"/>
      <c r="AF51" s="1814"/>
    </row>
    <row r="52" spans="1:32" ht="12.75" customHeight="1">
      <c r="A52" s="1232" t="s">
        <v>212</v>
      </c>
      <c r="B52" s="651" t="s">
        <v>411</v>
      </c>
      <c r="C52" s="470" t="s">
        <v>189</v>
      </c>
      <c r="D52" s="490" t="s">
        <v>213</v>
      </c>
      <c r="E52" s="496"/>
      <c r="F52" s="95"/>
      <c r="G52" s="360"/>
      <c r="H52" s="710"/>
      <c r="I52" s="1437"/>
      <c r="J52" s="1438"/>
      <c r="K52" s="1326"/>
      <c r="L52" s="361"/>
      <c r="M52" s="1437">
        <v>13500</v>
      </c>
      <c r="N52" s="1438">
        <v>21400</v>
      </c>
      <c r="O52" s="1326">
        <v>23000</v>
      </c>
      <c r="P52" s="106">
        <v>29500</v>
      </c>
      <c r="Q52" s="1329">
        <v>26600</v>
      </c>
      <c r="R52" s="1438"/>
      <c r="S52" s="1330"/>
      <c r="T52" s="106"/>
      <c r="U52" s="1329"/>
      <c r="V52" s="1438"/>
      <c r="W52" s="1330"/>
      <c r="X52" s="106"/>
      <c r="Y52" s="1329"/>
      <c r="Z52" s="1438"/>
      <c r="AA52" s="1330"/>
      <c r="AB52" s="106"/>
      <c r="AC52" s="1325"/>
      <c r="AD52" s="1263"/>
      <c r="AE52" s="1326"/>
      <c r="AF52" s="1814"/>
    </row>
    <row r="53" spans="1:32" ht="12.75" customHeight="1">
      <c r="A53" s="1232" t="s">
        <v>212</v>
      </c>
      <c r="B53" s="651" t="s">
        <v>388</v>
      </c>
      <c r="C53" s="470" t="s">
        <v>374</v>
      </c>
      <c r="D53" s="490" t="s">
        <v>213</v>
      </c>
      <c r="E53" s="496"/>
      <c r="F53" s="95"/>
      <c r="G53" s="360"/>
      <c r="H53" s="710"/>
      <c r="I53" s="1437"/>
      <c r="J53" s="1438"/>
      <c r="K53" s="1326"/>
      <c r="L53" s="361"/>
      <c r="M53" s="1437"/>
      <c r="N53" s="1438"/>
      <c r="O53" s="1326"/>
      <c r="P53" s="106"/>
      <c r="Q53" s="1329"/>
      <c r="R53" s="1438"/>
      <c r="S53" s="1330"/>
      <c r="T53" s="106"/>
      <c r="U53" s="1329"/>
      <c r="V53" s="1438"/>
      <c r="W53" s="1330"/>
      <c r="X53" s="106"/>
      <c r="Y53" s="1329"/>
      <c r="Z53" s="1438"/>
      <c r="AA53" s="1330"/>
      <c r="AB53" s="106"/>
      <c r="AC53" s="1325"/>
      <c r="AD53" s="1263"/>
      <c r="AE53" s="1326"/>
      <c r="AF53" s="1814"/>
    </row>
    <row r="54" spans="1:32" ht="12.75" customHeight="1">
      <c r="A54" s="1232" t="s">
        <v>212</v>
      </c>
      <c r="B54" s="1025" t="s">
        <v>325</v>
      </c>
      <c r="C54" s="259" t="s">
        <v>190</v>
      </c>
      <c r="D54" s="490" t="s">
        <v>211</v>
      </c>
      <c r="E54" s="496"/>
      <c r="F54" s="95"/>
      <c r="G54" s="360">
        <v>708</v>
      </c>
      <c r="H54" s="710">
        <v>1330</v>
      </c>
      <c r="I54" s="1437">
        <v>1368</v>
      </c>
      <c r="J54" s="1438">
        <v>1196</v>
      </c>
      <c r="K54" s="1326">
        <v>1314</v>
      </c>
      <c r="L54" s="361">
        <v>1522</v>
      </c>
      <c r="M54" s="1437">
        <v>3439</v>
      </c>
      <c r="N54" s="1438">
        <v>6069</v>
      </c>
      <c r="O54" s="1326">
        <v>5833</v>
      </c>
      <c r="P54" s="106">
        <v>5259</v>
      </c>
      <c r="Q54" s="1329">
        <v>6607</v>
      </c>
      <c r="R54" s="1438"/>
      <c r="S54" s="1330"/>
      <c r="T54" s="106"/>
      <c r="U54" s="1329"/>
      <c r="V54" s="1438"/>
      <c r="W54" s="1330"/>
      <c r="X54" s="106"/>
      <c r="Y54" s="1329"/>
      <c r="Z54" s="1438"/>
      <c r="AA54" s="1330"/>
      <c r="AB54" s="106"/>
      <c r="AC54" s="1325"/>
      <c r="AD54" s="1263"/>
      <c r="AE54" s="1326"/>
      <c r="AF54" s="1814"/>
    </row>
    <row r="55" spans="1:32" ht="13.5" customHeight="1" thickBot="1">
      <c r="A55" s="1233" t="s">
        <v>212</v>
      </c>
      <c r="B55" s="1026" t="s">
        <v>215</v>
      </c>
      <c r="C55" s="1027" t="s">
        <v>190</v>
      </c>
      <c r="D55" s="270" t="s">
        <v>211</v>
      </c>
      <c r="E55" s="500">
        <v>3180</v>
      </c>
      <c r="F55" s="509">
        <v>1282</v>
      </c>
      <c r="G55" s="805">
        <v>1905</v>
      </c>
      <c r="H55" s="1434">
        <v>1867</v>
      </c>
      <c r="I55" s="1442">
        <v>1314</v>
      </c>
      <c r="J55" s="509">
        <v>989</v>
      </c>
      <c r="K55" s="777">
        <v>1274</v>
      </c>
      <c r="L55" s="1443">
        <v>1129</v>
      </c>
      <c r="M55" s="1442">
        <v>1354</v>
      </c>
      <c r="N55" s="509">
        <v>1525</v>
      </c>
      <c r="O55" s="777">
        <v>2636</v>
      </c>
      <c r="P55" s="1450">
        <v>619</v>
      </c>
      <c r="Q55" s="1442">
        <v>1507</v>
      </c>
      <c r="R55" s="509"/>
      <c r="S55" s="509"/>
      <c r="T55" s="1450"/>
      <c r="U55" s="1442"/>
      <c r="V55" s="509"/>
      <c r="W55" s="509"/>
      <c r="X55" s="1450"/>
      <c r="Y55" s="1442"/>
      <c r="Z55" s="509"/>
      <c r="AA55" s="509"/>
      <c r="AB55" s="1450"/>
      <c r="AC55" s="1816"/>
      <c r="AD55" s="777"/>
      <c r="AE55" s="777"/>
      <c r="AF55" s="1817"/>
    </row>
    <row r="56" spans="1:32" ht="13.05" customHeight="1">
      <c r="A56" s="1234" t="s">
        <v>285</v>
      </c>
      <c r="B56" s="260" t="s">
        <v>285</v>
      </c>
      <c r="C56" s="260" t="s">
        <v>202</v>
      </c>
      <c r="D56" s="490" t="s">
        <v>187</v>
      </c>
      <c r="E56" s="496"/>
      <c r="F56" s="95"/>
      <c r="G56" s="360"/>
      <c r="H56" s="710"/>
      <c r="I56" s="1437"/>
      <c r="J56" s="1438"/>
      <c r="K56" s="1326"/>
      <c r="L56" s="361"/>
      <c r="M56" s="1437"/>
      <c r="N56" s="1438"/>
      <c r="O56" s="1326"/>
      <c r="P56" s="106"/>
      <c r="Q56" s="1329"/>
      <c r="R56" s="1438"/>
      <c r="S56" s="1330"/>
      <c r="T56" s="106"/>
      <c r="U56" s="1329"/>
      <c r="V56" s="1438"/>
      <c r="W56" s="1330"/>
      <c r="X56" s="106"/>
      <c r="Y56" s="1329"/>
      <c r="Z56" s="1438"/>
      <c r="AA56" s="1330"/>
      <c r="AB56" s="106"/>
      <c r="AC56" s="1325"/>
      <c r="AD56" s="1263"/>
      <c r="AE56" s="1326"/>
      <c r="AF56" s="1814"/>
    </row>
    <row r="57" spans="1:32" ht="13.05" customHeight="1" thickBot="1">
      <c r="A57" s="1232" t="s">
        <v>285</v>
      </c>
      <c r="B57" s="1024" t="s">
        <v>285</v>
      </c>
      <c r="C57" s="1024" t="s">
        <v>183</v>
      </c>
      <c r="D57" s="270" t="s">
        <v>187</v>
      </c>
      <c r="E57" s="500"/>
      <c r="F57" s="509"/>
      <c r="G57" s="805"/>
      <c r="H57" s="1434"/>
      <c r="I57" s="1442"/>
      <c r="J57" s="509"/>
      <c r="K57" s="777"/>
      <c r="L57" s="1443"/>
      <c r="M57" s="1442">
        <v>106</v>
      </c>
      <c r="N57" s="509">
        <v>266</v>
      </c>
      <c r="O57" s="777">
        <v>1550</v>
      </c>
      <c r="P57" s="1450">
        <v>4150</v>
      </c>
      <c r="Q57" s="1442">
        <v>600</v>
      </c>
      <c r="R57" s="509"/>
      <c r="S57" s="509"/>
      <c r="T57" s="1450"/>
      <c r="U57" s="1442"/>
      <c r="V57" s="509"/>
      <c r="W57" s="509"/>
      <c r="X57" s="1450"/>
      <c r="Y57" s="1442"/>
      <c r="Z57" s="509"/>
      <c r="AA57" s="509"/>
      <c r="AB57" s="1450"/>
      <c r="AC57" s="1816"/>
      <c r="AD57" s="777"/>
      <c r="AE57" s="777"/>
      <c r="AF57" s="1817"/>
    </row>
    <row r="58" spans="1:32" ht="13.05" customHeight="1">
      <c r="A58" s="1234" t="s">
        <v>287</v>
      </c>
      <c r="B58" s="957" t="s">
        <v>402</v>
      </c>
      <c r="C58" s="957" t="s">
        <v>202</v>
      </c>
      <c r="D58" s="490" t="s">
        <v>187</v>
      </c>
      <c r="E58" s="496"/>
      <c r="F58" s="95"/>
      <c r="G58" s="360"/>
      <c r="H58" s="710"/>
      <c r="I58" s="1437"/>
      <c r="J58" s="1438"/>
      <c r="K58" s="1326"/>
      <c r="L58" s="361"/>
      <c r="M58" s="1437">
        <v>16160</v>
      </c>
      <c r="N58" s="1438">
        <v>15080</v>
      </c>
      <c r="O58" s="1326">
        <v>32250</v>
      </c>
      <c r="P58" s="106">
        <v>37180</v>
      </c>
      <c r="Q58" s="1329">
        <v>37400</v>
      </c>
      <c r="R58" s="1438"/>
      <c r="S58" s="1330"/>
      <c r="T58" s="106"/>
      <c r="U58" s="1329"/>
      <c r="V58" s="1438"/>
      <c r="W58" s="1330"/>
      <c r="X58" s="106"/>
      <c r="Y58" s="1329"/>
      <c r="Z58" s="1438"/>
      <c r="AA58" s="1330"/>
      <c r="AB58" s="106"/>
      <c r="AC58" s="1325"/>
      <c r="AD58" s="1263"/>
      <c r="AE58" s="1326"/>
      <c r="AF58" s="1814"/>
    </row>
    <row r="59" spans="1:32" ht="13.05" customHeight="1">
      <c r="A59" s="1232" t="s">
        <v>287</v>
      </c>
      <c r="B59" s="957" t="s">
        <v>418</v>
      </c>
      <c r="C59" s="701" t="s">
        <v>202</v>
      </c>
      <c r="D59" s="490" t="s">
        <v>187</v>
      </c>
      <c r="E59" s="496"/>
      <c r="F59" s="95"/>
      <c r="G59" s="360"/>
      <c r="H59" s="710"/>
      <c r="I59" s="1437"/>
      <c r="J59" s="1438"/>
      <c r="K59" s="1326"/>
      <c r="L59" s="361"/>
      <c r="M59" s="1437"/>
      <c r="N59" s="1438"/>
      <c r="O59" s="1326"/>
      <c r="P59" s="106"/>
      <c r="Q59" s="1329"/>
      <c r="R59" s="1438"/>
      <c r="S59" s="1330"/>
      <c r="T59" s="106"/>
      <c r="U59" s="1329"/>
      <c r="V59" s="1438"/>
      <c r="W59" s="1330"/>
      <c r="X59" s="106"/>
      <c r="Y59" s="1329"/>
      <c r="Z59" s="1438"/>
      <c r="AA59" s="1330"/>
      <c r="AB59" s="106"/>
      <c r="AC59" s="1325"/>
      <c r="AD59" s="1263"/>
      <c r="AE59" s="1326"/>
      <c r="AF59" s="1814"/>
    </row>
    <row r="60" spans="1:32" ht="13.05" customHeight="1">
      <c r="A60" s="1232" t="s">
        <v>287</v>
      </c>
      <c r="B60" s="957" t="s">
        <v>403</v>
      </c>
      <c r="C60" s="701" t="s">
        <v>286</v>
      </c>
      <c r="D60" s="490" t="s">
        <v>187</v>
      </c>
      <c r="E60" s="496"/>
      <c r="F60" s="95"/>
      <c r="G60" s="360"/>
      <c r="H60" s="710"/>
      <c r="I60" s="1437"/>
      <c r="J60" s="1438"/>
      <c r="K60" s="1326"/>
      <c r="L60" s="361"/>
      <c r="M60" s="1437">
        <v>1898</v>
      </c>
      <c r="N60" s="1438">
        <v>4335</v>
      </c>
      <c r="O60" s="1326">
        <v>10150</v>
      </c>
      <c r="P60" s="106">
        <v>15900</v>
      </c>
      <c r="Q60" s="1329">
        <v>43512</v>
      </c>
      <c r="R60" s="1438"/>
      <c r="S60" s="1330"/>
      <c r="T60" s="106"/>
      <c r="U60" s="1329"/>
      <c r="V60" s="1438"/>
      <c r="W60" s="1330"/>
      <c r="X60" s="106"/>
      <c r="Y60" s="1329"/>
      <c r="Z60" s="1438"/>
      <c r="AA60" s="1330"/>
      <c r="AB60" s="106"/>
      <c r="AC60" s="1325"/>
      <c r="AD60" s="1263"/>
      <c r="AE60" s="1326"/>
      <c r="AF60" s="1814"/>
    </row>
    <row r="61" spans="1:32" ht="13.05" customHeight="1" thickBot="1">
      <c r="A61" s="1232" t="s">
        <v>401</v>
      </c>
      <c r="B61" s="957" t="s">
        <v>401</v>
      </c>
      <c r="C61" s="701" t="s">
        <v>183</v>
      </c>
      <c r="D61" s="490" t="s">
        <v>409</v>
      </c>
      <c r="E61" s="497"/>
      <c r="F61" s="803"/>
      <c r="G61" s="571"/>
      <c r="H61" s="711"/>
      <c r="I61" s="719"/>
      <c r="J61" s="803"/>
      <c r="K61" s="595"/>
      <c r="L61" s="362"/>
      <c r="M61" s="719">
        <v>9000</v>
      </c>
      <c r="N61" s="803">
        <v>12000</v>
      </c>
      <c r="O61" s="595">
        <v>11000</v>
      </c>
      <c r="P61" s="365">
        <v>21000</v>
      </c>
      <c r="Q61" s="1119">
        <v>42000</v>
      </c>
      <c r="R61" s="1448"/>
      <c r="S61" s="511"/>
      <c r="T61" s="365"/>
      <c r="U61" s="1119"/>
      <c r="V61" s="1448"/>
      <c r="W61" s="511"/>
      <c r="X61" s="365"/>
      <c r="Y61" s="1119"/>
      <c r="Z61" s="1448"/>
      <c r="AA61" s="511"/>
      <c r="AB61" s="365"/>
      <c r="AC61" s="717"/>
      <c r="AD61" s="1860"/>
      <c r="AE61" s="595"/>
      <c r="AF61" s="1445"/>
    </row>
    <row r="62" spans="1:32" ht="13.05" customHeight="1">
      <c r="A62" s="1232" t="s">
        <v>287</v>
      </c>
      <c r="B62" s="957" t="s">
        <v>406</v>
      </c>
      <c r="C62" s="701" t="s">
        <v>183</v>
      </c>
      <c r="D62" s="490" t="s">
        <v>187</v>
      </c>
      <c r="E62" s="496"/>
      <c r="F62" s="702"/>
      <c r="G62" s="566"/>
      <c r="H62" s="712"/>
      <c r="I62" s="1212"/>
      <c r="J62" s="702"/>
      <c r="K62" s="402"/>
      <c r="L62" s="687"/>
      <c r="M62" s="1212">
        <v>508</v>
      </c>
      <c r="N62" s="702">
        <v>561</v>
      </c>
      <c r="O62" s="402">
        <v>645</v>
      </c>
      <c r="P62" s="1451">
        <v>841</v>
      </c>
      <c r="Q62" s="1118">
        <v>1172</v>
      </c>
      <c r="R62" s="702"/>
      <c r="S62" s="285"/>
      <c r="T62" s="1451"/>
      <c r="U62" s="1118"/>
      <c r="V62" s="702"/>
      <c r="W62" s="285"/>
      <c r="X62" s="1451"/>
      <c r="Y62" s="1118"/>
      <c r="Z62" s="702"/>
      <c r="AA62" s="285"/>
      <c r="AB62" s="1451"/>
      <c r="AC62" s="1809"/>
      <c r="AD62" s="718"/>
      <c r="AE62" s="402"/>
      <c r="AF62" s="1820"/>
    </row>
    <row r="63" spans="1:32" ht="13.05" customHeight="1">
      <c r="A63" s="1232" t="s">
        <v>287</v>
      </c>
      <c r="B63" s="957" t="s">
        <v>407</v>
      </c>
      <c r="C63" s="701" t="s">
        <v>189</v>
      </c>
      <c r="D63" s="490" t="s">
        <v>187</v>
      </c>
      <c r="E63" s="496"/>
      <c r="F63" s="702"/>
      <c r="G63" s="566"/>
      <c r="H63" s="712"/>
      <c r="I63" s="1212"/>
      <c r="J63" s="702"/>
      <c r="K63" s="402"/>
      <c r="L63" s="687"/>
      <c r="M63" s="1212">
        <v>338.85714285714289</v>
      </c>
      <c r="N63" s="702">
        <v>512.76923076923072</v>
      </c>
      <c r="O63" s="402">
        <v>390</v>
      </c>
      <c r="P63" s="1451">
        <v>580</v>
      </c>
      <c r="Q63" s="1118">
        <v>720</v>
      </c>
      <c r="R63" s="702"/>
      <c r="S63" s="285"/>
      <c r="T63" s="1451"/>
      <c r="U63" s="1118"/>
      <c r="V63" s="702"/>
      <c r="W63" s="285"/>
      <c r="X63" s="1451"/>
      <c r="Y63" s="1118"/>
      <c r="Z63" s="702"/>
      <c r="AA63" s="285"/>
      <c r="AB63" s="1451"/>
      <c r="AC63" s="1809"/>
      <c r="AD63" s="718"/>
      <c r="AE63" s="402"/>
      <c r="AF63" s="1820"/>
    </row>
    <row r="64" spans="1:32" ht="13.05" customHeight="1">
      <c r="A64" s="1232" t="s">
        <v>287</v>
      </c>
      <c r="B64" s="957" t="s">
        <v>408</v>
      </c>
      <c r="C64" s="701" t="s">
        <v>189</v>
      </c>
      <c r="D64" s="490" t="s">
        <v>187</v>
      </c>
      <c r="E64" s="496"/>
      <c r="F64" s="702"/>
      <c r="G64" s="566"/>
      <c r="H64" s="712"/>
      <c r="I64" s="1212"/>
      <c r="J64" s="702"/>
      <c r="K64" s="402"/>
      <c r="L64" s="687"/>
      <c r="M64" s="1212">
        <v>25</v>
      </c>
      <c r="N64" s="702">
        <v>45</v>
      </c>
      <c r="O64" s="402">
        <v>36</v>
      </c>
      <c r="P64" s="1451">
        <v>70</v>
      </c>
      <c r="Q64" s="1118">
        <v>190</v>
      </c>
      <c r="R64" s="702"/>
      <c r="S64" s="285"/>
      <c r="T64" s="1451"/>
      <c r="U64" s="1118"/>
      <c r="V64" s="702"/>
      <c r="W64" s="285"/>
      <c r="X64" s="1451"/>
      <c r="Y64" s="1118"/>
      <c r="Z64" s="702"/>
      <c r="AA64" s="285"/>
      <c r="AB64" s="1451"/>
      <c r="AC64" s="1809"/>
      <c r="AD64" s="718"/>
      <c r="AE64" s="402"/>
      <c r="AF64" s="1820"/>
    </row>
    <row r="65" spans="1:32" ht="13.05" customHeight="1" thickBot="1">
      <c r="A65" s="1366" t="s">
        <v>511</v>
      </c>
      <c r="B65" s="474" t="s">
        <v>512</v>
      </c>
      <c r="C65" s="474" t="s">
        <v>187</v>
      </c>
      <c r="D65" s="493" t="s">
        <v>187</v>
      </c>
      <c r="E65" s="497"/>
      <c r="F65" s="803"/>
      <c r="G65" s="571"/>
      <c r="H65" s="711"/>
      <c r="I65" s="719"/>
      <c r="J65" s="803"/>
      <c r="K65" s="595">
        <v>13923</v>
      </c>
      <c r="L65" s="1445">
        <v>18368</v>
      </c>
      <c r="M65" s="719"/>
      <c r="N65" s="803"/>
      <c r="O65" s="595"/>
      <c r="P65" s="1445"/>
      <c r="Q65" s="719"/>
      <c r="R65" s="803"/>
      <c r="S65" s="595"/>
      <c r="T65" s="1445"/>
      <c r="U65" s="719"/>
      <c r="V65" s="803"/>
      <c r="W65" s="595"/>
      <c r="X65" s="1445"/>
      <c r="Y65" s="719"/>
      <c r="Z65" s="803"/>
      <c r="AA65" s="595"/>
      <c r="AB65" s="1445"/>
      <c r="AC65" s="717"/>
      <c r="AD65" s="1860"/>
      <c r="AE65" s="595"/>
      <c r="AF65" s="1445"/>
    </row>
    <row r="66" spans="1:32" ht="13.8" thickBot="1">
      <c r="A66" s="111" t="s">
        <v>162</v>
      </c>
      <c r="B66" s="269" t="s">
        <v>187</v>
      </c>
      <c r="C66" s="259" t="s">
        <v>216</v>
      </c>
      <c r="D66" s="258" t="s">
        <v>187</v>
      </c>
      <c r="E66" s="501">
        <v>106928</v>
      </c>
      <c r="F66" s="113">
        <v>106477</v>
      </c>
      <c r="G66" s="400">
        <v>100000</v>
      </c>
      <c r="H66" s="1435">
        <v>100000</v>
      </c>
      <c r="I66" s="1381">
        <v>115764</v>
      </c>
      <c r="J66" s="113">
        <v>132714</v>
      </c>
      <c r="K66" s="598">
        <v>259565</v>
      </c>
      <c r="L66" s="401">
        <v>233008</v>
      </c>
      <c r="M66" s="1381">
        <v>350969</v>
      </c>
      <c r="N66" s="113">
        <v>331444</v>
      </c>
      <c r="O66" s="598">
        <v>150120</v>
      </c>
      <c r="P66" s="401">
        <v>141210</v>
      </c>
      <c r="Q66" s="1381">
        <v>3060</v>
      </c>
      <c r="R66" s="113"/>
      <c r="S66" s="598"/>
      <c r="T66" s="401"/>
      <c r="U66" s="1381"/>
      <c r="V66" s="113"/>
      <c r="W66" s="598"/>
      <c r="X66" s="401"/>
      <c r="Y66" s="1381"/>
      <c r="Z66" s="113"/>
      <c r="AA66" s="598"/>
      <c r="AB66" s="401"/>
      <c r="AC66" s="1821"/>
      <c r="AD66" s="1822"/>
      <c r="AE66" s="598"/>
      <c r="AF66" s="1823"/>
    </row>
    <row r="67" spans="1:32" ht="13.8" thickBot="1">
      <c r="A67" s="507" t="s">
        <v>357</v>
      </c>
      <c r="B67" s="114"/>
      <c r="C67" s="114"/>
      <c r="D67" s="506"/>
      <c r="E67" s="502">
        <f t="shared" ref="E67:Z67" si="0">SUM(E9:E66)</f>
        <v>8687233</v>
      </c>
      <c r="F67" s="115">
        <f t="shared" si="0"/>
        <v>9198381</v>
      </c>
      <c r="G67" s="98">
        <f t="shared" si="0"/>
        <v>9276437</v>
      </c>
      <c r="H67" s="713">
        <f t="shared" si="0"/>
        <v>9711985</v>
      </c>
      <c r="I67" s="1446">
        <f t="shared" si="0"/>
        <v>10826860.600000001</v>
      </c>
      <c r="J67" s="115">
        <f t="shared" si="0"/>
        <v>11966306.899999999</v>
      </c>
      <c r="K67" s="98">
        <f t="shared" si="0"/>
        <v>13203668.736694679</v>
      </c>
      <c r="L67" s="99">
        <f t="shared" si="0"/>
        <v>12128262</v>
      </c>
      <c r="M67" s="1446">
        <f t="shared" si="0"/>
        <v>10851376.857142856</v>
      </c>
      <c r="N67" s="115">
        <f t="shared" si="0"/>
        <v>11271000.76923077</v>
      </c>
      <c r="O67" s="98">
        <f t="shared" si="0"/>
        <v>11066643</v>
      </c>
      <c r="P67" s="99">
        <f t="shared" si="0"/>
        <v>12593613</v>
      </c>
      <c r="Q67" s="1446">
        <f t="shared" si="0"/>
        <v>9541657</v>
      </c>
      <c r="R67" s="115">
        <f t="shared" si="0"/>
        <v>0</v>
      </c>
      <c r="S67" s="98">
        <f t="shared" si="0"/>
        <v>0</v>
      </c>
      <c r="T67" s="99">
        <f t="shared" si="0"/>
        <v>0</v>
      </c>
      <c r="U67" s="1446">
        <f t="shared" si="0"/>
        <v>0</v>
      </c>
      <c r="V67" s="115">
        <f t="shared" si="0"/>
        <v>0</v>
      </c>
      <c r="W67" s="98">
        <f t="shared" si="0"/>
        <v>0</v>
      </c>
      <c r="X67" s="99">
        <f t="shared" si="0"/>
        <v>0</v>
      </c>
      <c r="Y67" s="1446">
        <f t="shared" si="0"/>
        <v>0</v>
      </c>
      <c r="Z67" s="115">
        <f t="shared" si="0"/>
        <v>0</v>
      </c>
      <c r="AA67" s="98">
        <f>SUM(AA9:AA66)</f>
        <v>0</v>
      </c>
      <c r="AB67" s="99">
        <f>SUM(AB9:AB66)</f>
        <v>0</v>
      </c>
      <c r="AC67" s="1824">
        <f>SUM(AC9:AC66)</f>
        <v>0</v>
      </c>
      <c r="AD67" s="1825">
        <f t="shared" ref="AD67" si="1">SUM(AD9:AD66)</f>
        <v>0</v>
      </c>
      <c r="AE67" s="1826">
        <f>SUM(AE9:AE66)</f>
        <v>0</v>
      </c>
      <c r="AF67" s="1827">
        <f>SUM(AF9:AF66)</f>
        <v>0</v>
      </c>
    </row>
    <row r="68" spans="1:32" ht="15.6">
      <c r="A68" s="806"/>
      <c r="U68" s="67"/>
      <c r="V68" s="67"/>
      <c r="W68" s="67"/>
      <c r="X68" s="67"/>
      <c r="Y68" s="67"/>
      <c r="Z68" s="67"/>
      <c r="AA68" s="67"/>
      <c r="AB68" s="67"/>
      <c r="AC68" s="67"/>
      <c r="AD68" s="67"/>
      <c r="AE68" s="67"/>
      <c r="AF68" s="67"/>
    </row>
    <row r="69" spans="1:32" ht="16.2" thickBot="1">
      <c r="E69" s="648"/>
      <c r="F69" s="648"/>
      <c r="G69" s="648"/>
      <c r="H69" s="648"/>
      <c r="I69" s="648"/>
      <c r="J69" s="648"/>
      <c r="K69" s="648"/>
      <c r="L69" s="648"/>
      <c r="M69" s="648"/>
      <c r="N69" s="648"/>
      <c r="O69" s="688"/>
      <c r="Q69" s="688"/>
      <c r="R69" s="13"/>
      <c r="S69" s="688"/>
      <c r="T69" s="13"/>
    </row>
    <row r="70" spans="1:32" ht="16.2" thickBot="1">
      <c r="A70" s="518" t="str">
        <f>$A$6</f>
        <v>Ethernet  transceivers</v>
      </c>
      <c r="I70" s="1231" t="s">
        <v>294</v>
      </c>
      <c r="Q70" s="1748" t="s">
        <v>178</v>
      </c>
      <c r="Y70" s="1748" t="s">
        <v>178</v>
      </c>
      <c r="AC70" s="1"/>
      <c r="AD70" s="1"/>
      <c r="AE70" s="1857" t="s">
        <v>438</v>
      </c>
      <c r="AF70" s="1710"/>
    </row>
    <row r="71" spans="1:32" ht="13.8" thickBot="1">
      <c r="A71" s="475" t="s">
        <v>166</v>
      </c>
      <c r="B71" s="467" t="s">
        <v>182</v>
      </c>
      <c r="C71" s="467" t="s">
        <v>176</v>
      </c>
      <c r="D71" s="471" t="s">
        <v>177</v>
      </c>
      <c r="E71" s="485" t="s">
        <v>100</v>
      </c>
      <c r="F71" s="73" t="s">
        <v>101</v>
      </c>
      <c r="G71" s="73" t="s">
        <v>102</v>
      </c>
      <c r="H71" s="272" t="s">
        <v>103</v>
      </c>
      <c r="I71" s="485" t="str">
        <f t="shared" ref="I71:N71" si="2">I7</f>
        <v>1Q 18</v>
      </c>
      <c r="J71" s="73" t="str">
        <f t="shared" si="2"/>
        <v>2Q 18</v>
      </c>
      <c r="K71" s="73" t="str">
        <f t="shared" si="2"/>
        <v>3Q 18</v>
      </c>
      <c r="L71" s="93" t="str">
        <f t="shared" si="2"/>
        <v>4Q 18</v>
      </c>
      <c r="M71" s="72" t="str">
        <f t="shared" si="2"/>
        <v>1Q 19</v>
      </c>
      <c r="N71" s="73" t="str">
        <f t="shared" si="2"/>
        <v>2Q 19</v>
      </c>
      <c r="O71" s="73" t="s">
        <v>110</v>
      </c>
      <c r="P71" s="76" t="s">
        <v>111</v>
      </c>
      <c r="Q71" s="1203" t="s">
        <v>112</v>
      </c>
      <c r="R71" s="73" t="s">
        <v>113</v>
      </c>
      <c r="S71" s="73" t="s">
        <v>114</v>
      </c>
      <c r="T71" s="76" t="s">
        <v>115</v>
      </c>
      <c r="U71" s="1203" t="s">
        <v>463</v>
      </c>
      <c r="V71" s="73" t="s">
        <v>464</v>
      </c>
      <c r="W71" s="73" t="s">
        <v>465</v>
      </c>
      <c r="X71" s="76" t="s">
        <v>466</v>
      </c>
      <c r="Y71" s="1203" t="s">
        <v>467</v>
      </c>
      <c r="Z71" s="73" t="s">
        <v>468</v>
      </c>
      <c r="AA71" s="73" t="str">
        <f t="shared" ref="AA71:AB71" si="3">AA7</f>
        <v>3Q 22</v>
      </c>
      <c r="AB71" s="76" t="str">
        <f t="shared" si="3"/>
        <v>4Q 22</v>
      </c>
      <c r="AC71" s="1858" t="s">
        <v>568</v>
      </c>
      <c r="AD71" s="76" t="s">
        <v>594</v>
      </c>
      <c r="AE71" s="1372" t="s">
        <v>595</v>
      </c>
      <c r="AF71" s="462" t="s">
        <v>596</v>
      </c>
    </row>
    <row r="72" spans="1:32" ht="27" thickBot="1">
      <c r="A72" s="504" t="str">
        <f t="shared" ref="A72:D91" si="4">A8</f>
        <v>GigE over copper</v>
      </c>
      <c r="B72" s="504" t="str">
        <f t="shared" si="4"/>
        <v>1000BASE-T</v>
      </c>
      <c r="C72" s="504" t="str">
        <f t="shared" si="4"/>
        <v xml:space="preserve">100m </v>
      </c>
      <c r="D72" s="504" t="str">
        <f t="shared" si="4"/>
        <v>all</v>
      </c>
      <c r="E72" s="486">
        <v>18.81313930496642</v>
      </c>
      <c r="F72" s="398">
        <v>19.143786850030217</v>
      </c>
      <c r="G72" s="398">
        <v>20.179869425160629</v>
      </c>
      <c r="H72" s="399">
        <v>19.817592035388877</v>
      </c>
      <c r="I72" s="486">
        <v>19.288286532592291</v>
      </c>
      <c r="J72" s="398">
        <v>17.524978394935356</v>
      </c>
      <c r="K72" s="597">
        <v>18.603221247664603</v>
      </c>
      <c r="L72" s="703">
        <v>18.606464548126116</v>
      </c>
      <c r="M72" s="720">
        <v>20.124591451917027</v>
      </c>
      <c r="N72" s="721">
        <v>19.948576770652807</v>
      </c>
      <c r="O72" s="593">
        <v>18.727316133904637</v>
      </c>
      <c r="P72" s="715">
        <v>18.058100052200864</v>
      </c>
      <c r="Q72" s="1121">
        <v>17.899999999999999</v>
      </c>
      <c r="R72" s="1122"/>
      <c r="S72" s="593"/>
      <c r="T72" s="715"/>
      <c r="U72" s="1121"/>
      <c r="V72" s="1122"/>
      <c r="W72" s="396"/>
      <c r="X72" s="1123"/>
      <c r="Y72" s="1121"/>
      <c r="Z72" s="1122"/>
      <c r="AA72" s="396"/>
      <c r="AB72" s="1123"/>
      <c r="AC72" s="720"/>
      <c r="AD72" s="721"/>
      <c r="AE72" s="593"/>
      <c r="AF72" s="715"/>
    </row>
    <row r="73" spans="1:32" ht="12.75" customHeight="1">
      <c r="A73" s="1235" t="str">
        <f t="shared" si="4"/>
        <v>1 GbE</v>
      </c>
      <c r="B73" s="110" t="str">
        <f t="shared" si="4"/>
        <v>GbE  single rate</v>
      </c>
      <c r="C73" s="110" t="str">
        <f t="shared" si="4"/>
        <v>500 m</v>
      </c>
      <c r="D73" s="110" t="str">
        <f t="shared" si="4"/>
        <v>SFP</v>
      </c>
      <c r="E73" s="487">
        <v>10.418059885233207</v>
      </c>
      <c r="F73" s="97">
        <v>9.986676571824777</v>
      </c>
      <c r="G73" s="97">
        <v>7.2689104387359764</v>
      </c>
      <c r="H73" s="97">
        <v>8.47584282513834</v>
      </c>
      <c r="I73" s="487">
        <v>8.7259312210430089</v>
      </c>
      <c r="J73" s="97">
        <v>8.7364172466696779</v>
      </c>
      <c r="K73" s="807">
        <v>7.6665621210651418</v>
      </c>
      <c r="L73" s="704">
        <v>7.9371526261582934</v>
      </c>
      <c r="M73" s="724">
        <v>6.7549562832720778</v>
      </c>
      <c r="N73" s="808">
        <v>6.6710583810567723</v>
      </c>
      <c r="O73" s="808">
        <v>6.5857348739602033</v>
      </c>
      <c r="P73" s="809">
        <v>5.9666666666666668</v>
      </c>
      <c r="Q73" s="1124">
        <v>7.800300260261114</v>
      </c>
      <c r="R73" s="1125"/>
      <c r="S73" s="808"/>
      <c r="T73" s="809"/>
      <c r="U73" s="1124"/>
      <c r="V73" s="1125"/>
      <c r="W73" s="1125"/>
      <c r="X73" s="1126"/>
      <c r="Y73" s="1124"/>
      <c r="Z73" s="1125"/>
      <c r="AA73" s="1125"/>
      <c r="AB73" s="1126"/>
      <c r="AC73" s="724"/>
      <c r="AD73" s="1861"/>
      <c r="AE73" s="2064"/>
      <c r="AF73" s="2065"/>
    </row>
    <row r="74" spans="1:32" ht="12.75" customHeight="1">
      <c r="A74" s="1235" t="str">
        <f t="shared" si="4"/>
        <v>1 GbE</v>
      </c>
      <c r="B74" s="110" t="str">
        <f t="shared" si="4"/>
        <v>GbE  single rate</v>
      </c>
      <c r="C74" s="110" t="str">
        <f t="shared" si="4"/>
        <v>10 km</v>
      </c>
      <c r="D74" s="110" t="str">
        <f t="shared" si="4"/>
        <v>SFP</v>
      </c>
      <c r="E74" s="487">
        <v>10.750244735659422</v>
      </c>
      <c r="F74" s="97">
        <v>10.357870537865555</v>
      </c>
      <c r="G74" s="97">
        <v>9.1805056207792735</v>
      </c>
      <c r="H74" s="97">
        <v>8.986388958330819</v>
      </c>
      <c r="I74" s="487">
        <v>8.5322971069245028</v>
      </c>
      <c r="J74" s="97">
        <v>8.3293416601012602</v>
      </c>
      <c r="K74" s="807">
        <v>7.7297750925967792</v>
      </c>
      <c r="L74" s="704">
        <v>7.4268637713668575</v>
      </c>
      <c r="M74" s="723">
        <v>8.0997229914248798</v>
      </c>
      <c r="N74" s="811">
        <v>8.0345422026795177</v>
      </c>
      <c r="O74" s="811">
        <v>7.2532788990544299</v>
      </c>
      <c r="P74" s="812">
        <v>6.9098271177605666</v>
      </c>
      <c r="Q74" s="1127">
        <v>6.7214447981987897</v>
      </c>
      <c r="R74" s="891"/>
      <c r="S74" s="811"/>
      <c r="T74" s="812"/>
      <c r="U74" s="1127"/>
      <c r="V74" s="891"/>
      <c r="W74" s="891"/>
      <c r="X74" s="894"/>
      <c r="Y74" s="1127"/>
      <c r="Z74" s="891"/>
      <c r="AA74" s="891"/>
      <c r="AB74" s="894"/>
      <c r="AC74" s="723"/>
      <c r="AD74" s="811"/>
      <c r="AE74" s="811"/>
      <c r="AF74" s="812"/>
    </row>
    <row r="75" spans="1:32" ht="12.75" customHeight="1">
      <c r="A75" s="1235" t="str">
        <f t="shared" si="4"/>
        <v>1 GbE</v>
      </c>
      <c r="B75" s="110" t="str">
        <f t="shared" si="4"/>
        <v>GbE  single rate</v>
      </c>
      <c r="C75" s="110" t="str">
        <f t="shared" si="4"/>
        <v>40 km</v>
      </c>
      <c r="D75" s="110" t="str">
        <f t="shared" si="4"/>
        <v>SFP</v>
      </c>
      <c r="E75" s="487">
        <v>11.618184039497542</v>
      </c>
      <c r="F75" s="97">
        <v>11.240647641362825</v>
      </c>
      <c r="G75" s="97">
        <v>11.089496081465581</v>
      </c>
      <c r="H75" s="97">
        <v>11.072520369838912</v>
      </c>
      <c r="I75" s="487">
        <v>9.7899092014558278</v>
      </c>
      <c r="J75" s="97">
        <v>9.8717464845392868</v>
      </c>
      <c r="K75" s="807">
        <v>12.552498903989479</v>
      </c>
      <c r="L75" s="704">
        <v>13.225919453522764</v>
      </c>
      <c r="M75" s="723">
        <v>12.72436634116249</v>
      </c>
      <c r="N75" s="811">
        <v>13.403322220405244</v>
      </c>
      <c r="O75" s="811">
        <v>4.246304026215685</v>
      </c>
      <c r="P75" s="812">
        <v>4.0264206621870873</v>
      </c>
      <c r="Q75" s="1127">
        <v>9.0102104105383916</v>
      </c>
      <c r="R75" s="891"/>
      <c r="S75" s="811"/>
      <c r="T75" s="812"/>
      <c r="U75" s="1127"/>
      <c r="V75" s="891"/>
      <c r="W75" s="891"/>
      <c r="X75" s="894"/>
      <c r="Y75" s="1127"/>
      <c r="Z75" s="891"/>
      <c r="AA75" s="891"/>
      <c r="AB75" s="894"/>
      <c r="AC75" s="723"/>
      <c r="AD75" s="811"/>
      <c r="AE75" s="811"/>
      <c r="AF75" s="812"/>
    </row>
    <row r="76" spans="1:32" ht="12.75" customHeight="1" thickBot="1">
      <c r="A76" s="1235" t="str">
        <f t="shared" si="4"/>
        <v>1 GbE</v>
      </c>
      <c r="B76" s="110" t="str">
        <f t="shared" si="4"/>
        <v>GbE  single rate</v>
      </c>
      <c r="C76" s="110" t="str">
        <f t="shared" si="4"/>
        <v>80 km</v>
      </c>
      <c r="D76" s="110" t="str">
        <f t="shared" si="4"/>
        <v>SFP</v>
      </c>
      <c r="E76" s="488">
        <v>47.351477446207021</v>
      </c>
      <c r="F76" s="508">
        <v>42.032993882358809</v>
      </c>
      <c r="G76" s="508">
        <v>39.71670123547463</v>
      </c>
      <c r="H76" s="508">
        <v>39.51190225503705</v>
      </c>
      <c r="I76" s="488">
        <v>35.207053509685672</v>
      </c>
      <c r="J76" s="508">
        <v>33.199125012717836</v>
      </c>
      <c r="K76" s="813">
        <v>31.899520412626117</v>
      </c>
      <c r="L76" s="705">
        <v>31.500431202252937</v>
      </c>
      <c r="M76" s="725">
        <v>30.20814921331332</v>
      </c>
      <c r="N76" s="814">
        <v>29.270424139574349</v>
      </c>
      <c r="O76" s="814">
        <v>27.087572448263469</v>
      </c>
      <c r="P76" s="815">
        <v>26.387015654648955</v>
      </c>
      <c r="Q76" s="1128">
        <v>25.994722955145118</v>
      </c>
      <c r="R76" s="1129"/>
      <c r="S76" s="814"/>
      <c r="T76" s="815"/>
      <c r="U76" s="1128"/>
      <c r="V76" s="1129"/>
      <c r="W76" s="1129"/>
      <c r="X76" s="1130"/>
      <c r="Y76" s="1128"/>
      <c r="Z76" s="1129"/>
      <c r="AA76" s="1129"/>
      <c r="AB76" s="1130"/>
      <c r="AC76" s="725"/>
      <c r="AD76" s="814"/>
      <c r="AE76" s="814"/>
      <c r="AF76" s="815"/>
    </row>
    <row r="77" spans="1:32" ht="12.75" customHeight="1">
      <c r="A77" s="1232" t="str">
        <f t="shared" si="4"/>
        <v>10GbE</v>
      </c>
      <c r="B77" s="469" t="str">
        <f t="shared" si="4"/>
        <v>10 GbE SR</v>
      </c>
      <c r="C77" s="469" t="str">
        <f t="shared" si="4"/>
        <v>300 m</v>
      </c>
      <c r="D77" s="94" t="str">
        <f t="shared" si="4"/>
        <v>XFP</v>
      </c>
      <c r="E77" s="487">
        <v>57.286610878661087</v>
      </c>
      <c r="F77" s="97">
        <v>58.087817280040014</v>
      </c>
      <c r="G77" s="97">
        <v>58.824289665577091</v>
      </c>
      <c r="H77" s="273">
        <v>61.069190600522191</v>
      </c>
      <c r="I77" s="487">
        <v>54.528166031342664</v>
      </c>
      <c r="J77" s="97">
        <v>56.823154386727524</v>
      </c>
      <c r="K77" s="811">
        <v>55.105352960856493</v>
      </c>
      <c r="L77" s="704">
        <v>48.945445187853814</v>
      </c>
      <c r="M77" s="723">
        <v>51.873933649289086</v>
      </c>
      <c r="N77" s="811">
        <v>50.014943457189013</v>
      </c>
      <c r="O77" s="811">
        <v>50</v>
      </c>
      <c r="P77" s="812">
        <v>50</v>
      </c>
      <c r="Q77" s="1127">
        <v>62.5</v>
      </c>
      <c r="R77" s="891"/>
      <c r="S77" s="811"/>
      <c r="T77" s="812"/>
      <c r="U77" s="1127"/>
      <c r="V77" s="891"/>
      <c r="W77" s="891"/>
      <c r="X77" s="894"/>
      <c r="Y77" s="1127"/>
      <c r="Z77" s="891"/>
      <c r="AA77" s="891"/>
      <c r="AB77" s="894"/>
      <c r="AC77" s="723"/>
      <c r="AD77" s="811"/>
      <c r="AE77" s="811"/>
      <c r="AF77" s="812"/>
    </row>
    <row r="78" spans="1:32" ht="12.75" customHeight="1">
      <c r="A78" s="1232" t="str">
        <f t="shared" si="4"/>
        <v>10GbE</v>
      </c>
      <c r="B78" s="469" t="str">
        <f t="shared" si="4"/>
        <v>10 GbE SR</v>
      </c>
      <c r="C78" s="469" t="str">
        <f t="shared" si="4"/>
        <v>300 m</v>
      </c>
      <c r="D78" s="94" t="str">
        <f t="shared" si="4"/>
        <v xml:space="preserve">SFP+ </v>
      </c>
      <c r="E78" s="487">
        <v>17.332131838836073</v>
      </c>
      <c r="F78" s="97">
        <v>16.370712676459057</v>
      </c>
      <c r="G78" s="97">
        <v>14.065644466303539</v>
      </c>
      <c r="H78" s="273">
        <v>15.664197022593532</v>
      </c>
      <c r="I78" s="487">
        <v>14.173392211732741</v>
      </c>
      <c r="J78" s="97">
        <v>13.560731092374075</v>
      </c>
      <c r="K78" s="811">
        <v>12.81340023687693</v>
      </c>
      <c r="L78" s="704">
        <v>12.878895582537542</v>
      </c>
      <c r="M78" s="723">
        <v>12.709735872608482</v>
      </c>
      <c r="N78" s="811">
        <v>12.272843764338049</v>
      </c>
      <c r="O78" s="811">
        <v>11.561454937735983</v>
      </c>
      <c r="P78" s="812">
        <v>10.801997481882562</v>
      </c>
      <c r="Q78" s="1127">
        <v>9.5325452791481222</v>
      </c>
      <c r="R78" s="891"/>
      <c r="S78" s="811"/>
      <c r="T78" s="812"/>
      <c r="U78" s="1127"/>
      <c r="V78" s="891"/>
      <c r="W78" s="891"/>
      <c r="X78" s="894"/>
      <c r="Y78" s="1127"/>
      <c r="Z78" s="891"/>
      <c r="AA78" s="891"/>
      <c r="AB78" s="894"/>
      <c r="AC78" s="723"/>
      <c r="AD78" s="811"/>
      <c r="AE78" s="811"/>
      <c r="AF78" s="812"/>
    </row>
    <row r="79" spans="1:32" ht="12.75" customHeight="1">
      <c r="A79" s="1232" t="str">
        <f t="shared" si="4"/>
        <v>10GbE</v>
      </c>
      <c r="B79" s="130" t="str">
        <f t="shared" si="4"/>
        <v>10 GbE SR</v>
      </c>
      <c r="C79" s="130" t="str">
        <f t="shared" si="4"/>
        <v>300 m</v>
      </c>
      <c r="D79" s="241" t="str">
        <f t="shared" si="4"/>
        <v>SFP+ Sub-spec</v>
      </c>
      <c r="E79" s="487">
        <v>13.217336064859255</v>
      </c>
      <c r="F79" s="97">
        <v>13.095470466244054</v>
      </c>
      <c r="G79" s="97">
        <v>11.963384006067722</v>
      </c>
      <c r="H79" s="273">
        <v>12.10117777671868</v>
      </c>
      <c r="I79" s="487">
        <v>13.059258398373345</v>
      </c>
      <c r="J79" s="97">
        <v>11.990432675456772</v>
      </c>
      <c r="K79" s="811">
        <v>12.485589710720078</v>
      </c>
      <c r="L79" s="704">
        <v>12.224259425808222</v>
      </c>
      <c r="M79" s="723">
        <v>0</v>
      </c>
      <c r="N79" s="811">
        <v>0</v>
      </c>
      <c r="O79" s="811">
        <v>0</v>
      </c>
      <c r="P79" s="812">
        <v>0</v>
      </c>
      <c r="Q79" s="1127">
        <v>0</v>
      </c>
      <c r="R79" s="891"/>
      <c r="S79" s="811"/>
      <c r="T79" s="812"/>
      <c r="U79" s="1127"/>
      <c r="V79" s="891"/>
      <c r="W79" s="891"/>
      <c r="X79" s="894"/>
      <c r="Y79" s="1127"/>
      <c r="Z79" s="891"/>
      <c r="AA79" s="891"/>
      <c r="AB79" s="894"/>
      <c r="AC79" s="723"/>
      <c r="AD79" s="811"/>
      <c r="AE79" s="811"/>
      <c r="AF79" s="812"/>
    </row>
    <row r="80" spans="1:32" ht="12.75" customHeight="1">
      <c r="A80" s="1232" t="str">
        <f t="shared" si="4"/>
        <v>10GbE</v>
      </c>
      <c r="B80" s="260" t="str">
        <f t="shared" si="4"/>
        <v>10 GbE LRM</v>
      </c>
      <c r="C80" s="260" t="str">
        <f t="shared" si="4"/>
        <v>220 m</v>
      </c>
      <c r="D80" s="241" t="str">
        <f t="shared" si="4"/>
        <v>SFP+</v>
      </c>
      <c r="E80" s="487">
        <v>69.31759044006688</v>
      </c>
      <c r="F80" s="97">
        <v>67.708616925645302</v>
      </c>
      <c r="G80" s="97">
        <v>65.767021007339935</v>
      </c>
      <c r="H80" s="273">
        <v>63.617944175803132</v>
      </c>
      <c r="I80" s="487">
        <v>64.777477610835618</v>
      </c>
      <c r="J80" s="97">
        <v>62.066902983790492</v>
      </c>
      <c r="K80" s="811">
        <v>63.38837676739675</v>
      </c>
      <c r="L80" s="704">
        <v>56.820841847159805</v>
      </c>
      <c r="M80" s="723">
        <v>58.616494722404425</v>
      </c>
      <c r="N80" s="811">
        <v>61.021630073620422</v>
      </c>
      <c r="O80" s="811">
        <v>60.117647058823529</v>
      </c>
      <c r="P80" s="812">
        <v>58.448275862068968</v>
      </c>
      <c r="Q80" s="1127">
        <v>60</v>
      </c>
      <c r="R80" s="891"/>
      <c r="S80" s="811"/>
      <c r="T80" s="812"/>
      <c r="U80" s="1127"/>
      <c r="V80" s="891"/>
      <c r="W80" s="891"/>
      <c r="X80" s="894"/>
      <c r="Y80" s="1127"/>
      <c r="Z80" s="891"/>
      <c r="AA80" s="891"/>
      <c r="AB80" s="894"/>
      <c r="AC80" s="723"/>
      <c r="AD80" s="811"/>
      <c r="AE80" s="811"/>
      <c r="AF80" s="812"/>
    </row>
    <row r="81" spans="1:32" ht="12.75" customHeight="1">
      <c r="A81" s="1232" t="str">
        <f t="shared" si="4"/>
        <v>10GbE</v>
      </c>
      <c r="B81" s="469" t="str">
        <f t="shared" si="4"/>
        <v>10 GbE (LR)</v>
      </c>
      <c r="C81" s="469" t="str">
        <f t="shared" si="4"/>
        <v>10 km</v>
      </c>
      <c r="D81" s="110" t="str">
        <f t="shared" si="4"/>
        <v>XFP</v>
      </c>
      <c r="E81" s="487">
        <v>49.782719135388483</v>
      </c>
      <c r="F81" s="97">
        <v>44.925265125767581</v>
      </c>
      <c r="G81" s="97">
        <v>62.379539560529622</v>
      </c>
      <c r="H81" s="273">
        <v>55.699816608921061</v>
      </c>
      <c r="I81" s="487">
        <v>38.903957469967189</v>
      </c>
      <c r="J81" s="97">
        <v>34.252111278906767</v>
      </c>
      <c r="K81" s="811">
        <v>47.499375346135551</v>
      </c>
      <c r="L81" s="704">
        <v>46.659831723278316</v>
      </c>
      <c r="M81" s="723">
        <v>45.382928868737906</v>
      </c>
      <c r="N81" s="811">
        <v>42.258869202417266</v>
      </c>
      <c r="O81" s="811">
        <v>40.352074747096289</v>
      </c>
      <c r="P81" s="812">
        <v>34.907486631016042</v>
      </c>
      <c r="Q81" s="1127">
        <v>35.930044232305704</v>
      </c>
      <c r="R81" s="891"/>
      <c r="S81" s="811"/>
      <c r="T81" s="812"/>
      <c r="U81" s="1127"/>
      <c r="V81" s="891"/>
      <c r="W81" s="891"/>
      <c r="X81" s="894"/>
      <c r="Y81" s="1127"/>
      <c r="Z81" s="891"/>
      <c r="AA81" s="891"/>
      <c r="AB81" s="894"/>
      <c r="AC81" s="723"/>
      <c r="AD81" s="811"/>
      <c r="AE81" s="811"/>
      <c r="AF81" s="812"/>
    </row>
    <row r="82" spans="1:32" ht="12.75" customHeight="1">
      <c r="A82" s="1232" t="str">
        <f t="shared" si="4"/>
        <v>10GbE</v>
      </c>
      <c r="B82" s="469" t="str">
        <f t="shared" si="4"/>
        <v>10 GbE (LR)</v>
      </c>
      <c r="C82" s="469" t="str">
        <f t="shared" si="4"/>
        <v>10 km</v>
      </c>
      <c r="D82" s="110" t="str">
        <f t="shared" si="4"/>
        <v>SFP+</v>
      </c>
      <c r="E82" s="487">
        <v>39.603683066364361</v>
      </c>
      <c r="F82" s="97">
        <v>38.788674270044936</v>
      </c>
      <c r="G82" s="97">
        <v>30.842656863962187</v>
      </c>
      <c r="H82" s="273">
        <v>28.958757013515026</v>
      </c>
      <c r="I82" s="487">
        <v>24.175247511376195</v>
      </c>
      <c r="J82" s="97">
        <v>23.595616855921197</v>
      </c>
      <c r="K82" s="811">
        <v>25.227632883882361</v>
      </c>
      <c r="L82" s="704">
        <v>23.534376387196318</v>
      </c>
      <c r="M82" s="723">
        <v>23.044534453625619</v>
      </c>
      <c r="N82" s="811">
        <v>22.865184933269763</v>
      </c>
      <c r="O82" s="811">
        <v>20.287776262266437</v>
      </c>
      <c r="P82" s="812">
        <v>18.704586215978907</v>
      </c>
      <c r="Q82" s="1127">
        <v>17.586975088082951</v>
      </c>
      <c r="R82" s="1127"/>
      <c r="S82" s="811"/>
      <c r="T82" s="812"/>
      <c r="U82" s="1127"/>
      <c r="V82" s="1127"/>
      <c r="W82" s="891"/>
      <c r="X82" s="894"/>
      <c r="Y82" s="1127"/>
      <c r="Z82" s="1127"/>
      <c r="AA82" s="891"/>
      <c r="AB82" s="894"/>
      <c r="AC82" s="723"/>
      <c r="AD82" s="723"/>
      <c r="AE82" s="811"/>
      <c r="AF82" s="812"/>
    </row>
    <row r="83" spans="1:32" ht="12.75" customHeight="1">
      <c r="A83" s="1232" t="str">
        <f t="shared" si="4"/>
        <v>10GbE</v>
      </c>
      <c r="B83" s="260" t="str">
        <f t="shared" si="4"/>
        <v>10 GbE (LR)</v>
      </c>
      <c r="C83" s="260" t="str">
        <f t="shared" si="4"/>
        <v>2 km</v>
      </c>
      <c r="D83" s="241" t="str">
        <f t="shared" si="4"/>
        <v>SFP+ sub-spec</v>
      </c>
      <c r="E83" s="487">
        <v>26.866029984959003</v>
      </c>
      <c r="F83" s="97">
        <v>26.300967866629662</v>
      </c>
      <c r="G83" s="97">
        <v>26.001894864211636</v>
      </c>
      <c r="H83" s="273">
        <v>26</v>
      </c>
      <c r="I83" s="487"/>
      <c r="J83" s="97"/>
      <c r="K83" s="811">
        <v>0</v>
      </c>
      <c r="L83" s="704">
        <v>0</v>
      </c>
      <c r="M83" s="723">
        <v>0</v>
      </c>
      <c r="N83" s="811">
        <v>0</v>
      </c>
      <c r="O83" s="811">
        <v>0</v>
      </c>
      <c r="P83" s="812">
        <v>0</v>
      </c>
      <c r="Q83" s="1127">
        <v>0</v>
      </c>
      <c r="R83" s="891"/>
      <c r="S83" s="811"/>
      <c r="T83" s="812"/>
      <c r="U83" s="1127"/>
      <c r="V83" s="891"/>
      <c r="W83" s="891"/>
      <c r="X83" s="894"/>
      <c r="Y83" s="1127"/>
      <c r="Z83" s="891"/>
      <c r="AA83" s="891"/>
      <c r="AB83" s="894"/>
      <c r="AC83" s="723"/>
      <c r="AD83" s="811"/>
      <c r="AE83" s="811"/>
      <c r="AF83" s="812"/>
    </row>
    <row r="84" spans="1:32" ht="12.75" customHeight="1">
      <c r="A84" s="1232" t="str">
        <f t="shared" si="4"/>
        <v>10GbE</v>
      </c>
      <c r="B84" s="473" t="str">
        <f t="shared" si="4"/>
        <v>10 GbE (ER)</v>
      </c>
      <c r="C84" s="473" t="str">
        <f t="shared" si="4"/>
        <v>40 km</v>
      </c>
      <c r="D84" s="110" t="str">
        <f t="shared" si="4"/>
        <v>XFP &amp; other</v>
      </c>
      <c r="E84" s="487">
        <v>159.89048195351674</v>
      </c>
      <c r="F84" s="97">
        <v>159.21758884676976</v>
      </c>
      <c r="G84" s="97">
        <v>123.66606351743584</v>
      </c>
      <c r="H84" s="273">
        <v>127.50743112321241</v>
      </c>
      <c r="I84" s="487">
        <v>128.84275966893028</v>
      </c>
      <c r="J84" s="97">
        <v>111.41949466670775</v>
      </c>
      <c r="K84" s="811">
        <v>119.89943401586504</v>
      </c>
      <c r="L84" s="704">
        <v>120.91173901650799</v>
      </c>
      <c r="M84" s="723">
        <v>114.73265276085779</v>
      </c>
      <c r="N84" s="811">
        <v>117.87107812637962</v>
      </c>
      <c r="O84" s="811">
        <v>107.37373737373737</v>
      </c>
      <c r="P84" s="812">
        <v>106.11043495708138</v>
      </c>
      <c r="Q84" s="1127">
        <v>114.71236502866535</v>
      </c>
      <c r="R84" s="891"/>
      <c r="S84" s="811"/>
      <c r="T84" s="812"/>
      <c r="U84" s="1127"/>
      <c r="V84" s="891"/>
      <c r="W84" s="891"/>
      <c r="X84" s="894"/>
      <c r="Y84" s="1127"/>
      <c r="Z84" s="891"/>
      <c r="AA84" s="891"/>
      <c r="AB84" s="894"/>
      <c r="AC84" s="723"/>
      <c r="AD84" s="811"/>
      <c r="AE84" s="811"/>
      <c r="AF84" s="812"/>
    </row>
    <row r="85" spans="1:32" ht="12.75" customHeight="1">
      <c r="A85" s="1232" t="str">
        <f t="shared" si="4"/>
        <v>10GbE</v>
      </c>
      <c r="B85" s="469" t="str">
        <f t="shared" si="4"/>
        <v>10 GbE (ER)</v>
      </c>
      <c r="C85" s="469" t="str">
        <f t="shared" si="4"/>
        <v>40 km</v>
      </c>
      <c r="D85" s="582" t="str">
        <f t="shared" si="4"/>
        <v>SFP+</v>
      </c>
      <c r="E85" s="487">
        <v>187.24288262225048</v>
      </c>
      <c r="F85" s="97">
        <v>177.82089765996173</v>
      </c>
      <c r="G85" s="97">
        <v>138.51241757034748</v>
      </c>
      <c r="H85" s="273">
        <v>132.81114174679485</v>
      </c>
      <c r="I85" s="487">
        <v>115.33368055091532</v>
      </c>
      <c r="J85" s="97">
        <v>107.71816713005903</v>
      </c>
      <c r="K85" s="811">
        <v>95.467392595996159</v>
      </c>
      <c r="L85" s="704">
        <v>86.930257897529557</v>
      </c>
      <c r="M85" s="723">
        <v>98.7666228845803</v>
      </c>
      <c r="N85" s="811">
        <v>96.756392527310794</v>
      </c>
      <c r="O85" s="811">
        <v>91.413592687505869</v>
      </c>
      <c r="P85" s="812">
        <v>90.486346143720468</v>
      </c>
      <c r="Q85" s="1127">
        <v>76.635327227250102</v>
      </c>
      <c r="R85" s="891"/>
      <c r="S85" s="811"/>
      <c r="T85" s="812"/>
      <c r="U85" s="1127"/>
      <c r="V85" s="891"/>
      <c r="W85" s="891"/>
      <c r="X85" s="894"/>
      <c r="Y85" s="1127"/>
      <c r="Z85" s="891"/>
      <c r="AA85" s="891"/>
      <c r="AB85" s="894"/>
      <c r="AC85" s="723"/>
      <c r="AD85" s="811"/>
      <c r="AE85" s="811"/>
      <c r="AF85" s="812"/>
    </row>
    <row r="86" spans="1:32" ht="12.75" customHeight="1">
      <c r="A86" s="1232" t="str">
        <f t="shared" si="4"/>
        <v>10GbE</v>
      </c>
      <c r="B86" s="473" t="str">
        <f t="shared" si="4"/>
        <v>10 GbE (ZR)</v>
      </c>
      <c r="C86" s="473" t="str">
        <f t="shared" si="4"/>
        <v>80 km</v>
      </c>
      <c r="D86" s="110" t="str">
        <f t="shared" si="4"/>
        <v>XFP &amp; other</v>
      </c>
      <c r="E86" s="821">
        <v>296.78364820149505</v>
      </c>
      <c r="F86" s="822">
        <v>249.91700659240817</v>
      </c>
      <c r="G86" s="822">
        <v>270</v>
      </c>
      <c r="H86" s="823">
        <v>270</v>
      </c>
      <c r="I86" s="821">
        <v>274.93079584775086</v>
      </c>
      <c r="J86" s="822">
        <v>273.98106135332426</v>
      </c>
      <c r="K86" s="811">
        <v>322.67267808836777</v>
      </c>
      <c r="L86" s="824">
        <v>327.22832140015913</v>
      </c>
      <c r="M86" s="825">
        <v>305.27218290691337</v>
      </c>
      <c r="N86" s="811">
        <v>289.59049900535592</v>
      </c>
      <c r="O86" s="811">
        <v>250</v>
      </c>
      <c r="P86" s="812">
        <v>229.41176470588235</v>
      </c>
      <c r="Q86" s="1133">
        <v>220.15176922451914</v>
      </c>
      <c r="R86" s="891"/>
      <c r="S86" s="811"/>
      <c r="T86" s="812"/>
      <c r="U86" s="1133"/>
      <c r="V86" s="891"/>
      <c r="W86" s="891"/>
      <c r="X86" s="894"/>
      <c r="Y86" s="1133"/>
      <c r="Z86" s="891"/>
      <c r="AA86" s="891"/>
      <c r="AB86" s="894"/>
      <c r="AC86" s="825"/>
      <c r="AD86" s="811"/>
      <c r="AE86" s="811"/>
      <c r="AF86" s="812"/>
    </row>
    <row r="87" spans="1:32" ht="12.75" customHeight="1" thickBot="1">
      <c r="A87" s="1232" t="str">
        <f t="shared" si="4"/>
        <v>10GbE</v>
      </c>
      <c r="B87" s="469" t="str">
        <f t="shared" si="4"/>
        <v>10 GbE (ZR)</v>
      </c>
      <c r="C87" s="474" t="str">
        <f t="shared" si="4"/>
        <v>80 km</v>
      </c>
      <c r="D87" s="270" t="str">
        <f t="shared" si="4"/>
        <v>SFP+</v>
      </c>
      <c r="E87" s="826">
        <v>341.41065502469661</v>
      </c>
      <c r="F87" s="827">
        <v>340.12103483691999</v>
      </c>
      <c r="G87" s="827">
        <v>269.31077326528595</v>
      </c>
      <c r="H87" s="828">
        <v>248.44428326719898</v>
      </c>
      <c r="I87" s="826">
        <v>236.09241068242613</v>
      </c>
      <c r="J87" s="827">
        <v>236.65097725429575</v>
      </c>
      <c r="K87" s="829">
        <v>230.62462333189842</v>
      </c>
      <c r="L87" s="830">
        <v>227.81138334329304</v>
      </c>
      <c r="M87" s="831">
        <v>239.98880882379319</v>
      </c>
      <c r="N87" s="829">
        <v>220.15551909952603</v>
      </c>
      <c r="O87" s="829">
        <v>220.49572053282336</v>
      </c>
      <c r="P87" s="832">
        <v>208.72316057923203</v>
      </c>
      <c r="Q87" s="1134">
        <v>190.85564352910404</v>
      </c>
      <c r="R87" s="1135"/>
      <c r="S87" s="829"/>
      <c r="T87" s="832"/>
      <c r="U87" s="1134"/>
      <c r="V87" s="1135"/>
      <c r="W87" s="829"/>
      <c r="X87" s="832"/>
      <c r="Y87" s="1134"/>
      <c r="Z87" s="1135"/>
      <c r="AA87" s="829"/>
      <c r="AB87" s="832"/>
      <c r="AC87" s="831"/>
      <c r="AD87" s="829"/>
      <c r="AE87" s="829"/>
      <c r="AF87" s="832"/>
    </row>
    <row r="88" spans="1:32" ht="12.75" customHeight="1">
      <c r="A88" s="1234" t="str">
        <f t="shared" si="4"/>
        <v>25GbE</v>
      </c>
      <c r="B88" s="476" t="str">
        <f t="shared" si="4"/>
        <v>25GbE SR</v>
      </c>
      <c r="C88" s="260" t="str">
        <f t="shared" si="4"/>
        <v>100 m</v>
      </c>
      <c r="D88" s="490" t="str">
        <f t="shared" si="4"/>
        <v>SFP28</v>
      </c>
      <c r="E88" s="833">
        <v>141.07313957202172</v>
      </c>
      <c r="F88" s="834">
        <v>129.32623836490268</v>
      </c>
      <c r="G88" s="835">
        <v>119.61117931928241</v>
      </c>
      <c r="H88" s="836">
        <v>149.44393997885157</v>
      </c>
      <c r="I88" s="833">
        <v>101.0173661062929</v>
      </c>
      <c r="J88" s="834">
        <v>85.201958911297382</v>
      </c>
      <c r="K88" s="837">
        <v>83.410663706166687</v>
      </c>
      <c r="L88" s="836">
        <v>85.798782024922048</v>
      </c>
      <c r="M88" s="838">
        <v>82.800255464573354</v>
      </c>
      <c r="N88" s="808">
        <v>72.730510747918899</v>
      </c>
      <c r="O88" s="808">
        <v>66.928057553956833</v>
      </c>
      <c r="P88" s="809">
        <v>49.823529411764703</v>
      </c>
      <c r="Q88" s="860">
        <v>60.070651653025458</v>
      </c>
      <c r="R88" s="1125"/>
      <c r="S88" s="808"/>
      <c r="T88" s="809"/>
      <c r="U88" s="860"/>
      <c r="V88" s="1125"/>
      <c r="W88" s="1125"/>
      <c r="X88" s="1126"/>
      <c r="Y88" s="860"/>
      <c r="Z88" s="1125"/>
      <c r="AA88" s="1125"/>
      <c r="AB88" s="1126"/>
      <c r="AC88" s="838"/>
      <c r="AD88" s="808"/>
      <c r="AE88" s="808"/>
      <c r="AF88" s="809"/>
    </row>
    <row r="89" spans="1:32" ht="12.75" customHeight="1">
      <c r="A89" s="1232" t="str">
        <f t="shared" si="4"/>
        <v>25GbE</v>
      </c>
      <c r="B89" s="260" t="str">
        <f t="shared" si="4"/>
        <v>25GbE LR</v>
      </c>
      <c r="C89" s="260" t="str">
        <f t="shared" si="4"/>
        <v>10 km</v>
      </c>
      <c r="D89" s="490" t="str">
        <f t="shared" si="4"/>
        <v>SFP28</v>
      </c>
      <c r="E89" s="839">
        <v>360.32105552501372</v>
      </c>
      <c r="F89" s="840">
        <v>359.080192165558</v>
      </c>
      <c r="G89" s="822">
        <v>301.37027441940967</v>
      </c>
      <c r="H89" s="824">
        <v>305.50828823015985</v>
      </c>
      <c r="I89" s="839">
        <v>240.04462511679864</v>
      </c>
      <c r="J89" s="840">
        <v>232.81401437725364</v>
      </c>
      <c r="K89" s="807">
        <v>167.02580847942994</v>
      </c>
      <c r="L89" s="824">
        <v>142.62475368476959</v>
      </c>
      <c r="M89" s="841">
        <v>180.8848753204382</v>
      </c>
      <c r="N89" s="811">
        <v>145.75036949453167</v>
      </c>
      <c r="O89" s="811">
        <v>138.9655172413793</v>
      </c>
      <c r="P89" s="812">
        <v>120.19607843137256</v>
      </c>
      <c r="Q89" s="886">
        <v>112.83545955841191</v>
      </c>
      <c r="R89" s="891"/>
      <c r="S89" s="811"/>
      <c r="T89" s="812"/>
      <c r="U89" s="886"/>
      <c r="V89" s="891"/>
      <c r="W89" s="891"/>
      <c r="X89" s="894"/>
      <c r="Y89" s="886"/>
      <c r="Z89" s="891"/>
      <c r="AA89" s="891"/>
      <c r="AB89" s="894"/>
      <c r="AC89" s="841"/>
      <c r="AD89" s="811"/>
      <c r="AE89" s="811"/>
      <c r="AF89" s="812"/>
    </row>
    <row r="90" spans="1:32" ht="13.05" customHeight="1" thickBot="1">
      <c r="A90" s="1233" t="str">
        <f t="shared" si="4"/>
        <v>25GbE</v>
      </c>
      <c r="B90" s="771" t="str">
        <f t="shared" si="4"/>
        <v>25 GbE ER</v>
      </c>
      <c r="C90" s="771" t="str">
        <f t="shared" si="4"/>
        <v>40 km</v>
      </c>
      <c r="D90" s="1254" t="str">
        <f t="shared" si="4"/>
        <v>SFP28</v>
      </c>
      <c r="E90" s="826"/>
      <c r="F90" s="827"/>
      <c r="G90" s="827"/>
      <c r="H90" s="1257"/>
      <c r="I90" s="826"/>
      <c r="J90" s="827"/>
      <c r="K90" s="1258">
        <v>0</v>
      </c>
      <c r="L90" s="1257">
        <v>0</v>
      </c>
      <c r="M90" s="868">
        <v>0</v>
      </c>
      <c r="N90" s="829">
        <v>0</v>
      </c>
      <c r="O90" s="869"/>
      <c r="P90" s="817"/>
      <c r="Q90" s="1134"/>
      <c r="R90" s="1135"/>
      <c r="S90" s="829"/>
      <c r="T90" s="832"/>
      <c r="U90" s="868"/>
      <c r="V90" s="829"/>
      <c r="W90" s="869"/>
      <c r="X90" s="817"/>
      <c r="Y90" s="868"/>
      <c r="Z90" s="829"/>
      <c r="AA90" s="869"/>
      <c r="AB90" s="817"/>
      <c r="AC90" s="831"/>
      <c r="AD90" s="829"/>
      <c r="AE90" s="829"/>
      <c r="AF90" s="832"/>
    </row>
    <row r="91" spans="1:32" ht="12.75" customHeight="1">
      <c r="A91" s="1232" t="str">
        <f t="shared" si="4"/>
        <v>40GbE</v>
      </c>
      <c r="B91" s="260" t="str">
        <f t="shared" si="4"/>
        <v>40 GbE SR</v>
      </c>
      <c r="C91" s="260" t="str">
        <f t="shared" si="4"/>
        <v>100 m</v>
      </c>
      <c r="D91" s="263" t="str">
        <f t="shared" si="4"/>
        <v>QSFP+</v>
      </c>
      <c r="E91" s="833">
        <v>81.952226156609868</v>
      </c>
      <c r="F91" s="834">
        <v>81.20482063359043</v>
      </c>
      <c r="G91" s="835">
        <v>82.0318855231112</v>
      </c>
      <c r="H91" s="844">
        <v>74.381598687737096</v>
      </c>
      <c r="I91" s="833">
        <v>59.975241213068209</v>
      </c>
      <c r="J91" s="834">
        <v>61.352968161013862</v>
      </c>
      <c r="K91" s="808">
        <v>57.284202559655547</v>
      </c>
      <c r="L91" s="836">
        <v>55.24183028503942</v>
      </c>
      <c r="M91" s="838">
        <v>52.961460105578418</v>
      </c>
      <c r="N91" s="808">
        <v>46.981578854775854</v>
      </c>
      <c r="O91" s="808">
        <v>42.235474494078794</v>
      </c>
      <c r="P91" s="809">
        <v>39.753887346635992</v>
      </c>
      <c r="Q91" s="860">
        <v>43.170326853960461</v>
      </c>
      <c r="R91" s="1125"/>
      <c r="S91" s="808"/>
      <c r="T91" s="809"/>
      <c r="U91" s="838"/>
      <c r="V91" s="808"/>
      <c r="W91" s="808"/>
      <c r="X91" s="809"/>
      <c r="Y91" s="838"/>
      <c r="Z91" s="808"/>
      <c r="AA91" s="808"/>
      <c r="AB91" s="809"/>
      <c r="AC91" s="838"/>
      <c r="AD91" s="808"/>
      <c r="AE91" s="808"/>
      <c r="AF91" s="809"/>
    </row>
    <row r="92" spans="1:32" ht="12.75" customHeight="1">
      <c r="A92" s="1232" t="str">
        <f t="shared" ref="A92:D106" si="5">A28</f>
        <v>40GbE</v>
      </c>
      <c r="B92" s="108" t="str">
        <f t="shared" si="5"/>
        <v>40GbE MM Duplex</v>
      </c>
      <c r="C92" s="266" t="str">
        <f t="shared" si="5"/>
        <v>100 m</v>
      </c>
      <c r="D92" s="263" t="str">
        <f t="shared" si="5"/>
        <v>QSFP+</v>
      </c>
      <c r="E92" s="821">
        <v>112.64014929982849</v>
      </c>
      <c r="F92" s="822">
        <v>111.87203594309011</v>
      </c>
      <c r="G92" s="822">
        <v>149.10404245646265</v>
      </c>
      <c r="H92" s="823">
        <v>137.43046893046892</v>
      </c>
      <c r="I92" s="821">
        <v>116.78441670184095</v>
      </c>
      <c r="J92" s="822">
        <v>113.84961309639536</v>
      </c>
      <c r="K92" s="811">
        <v>110.84714320778902</v>
      </c>
      <c r="L92" s="824">
        <v>111.64975017304032</v>
      </c>
      <c r="M92" s="825">
        <v>107.49704789430223</v>
      </c>
      <c r="N92" s="811">
        <v>103.13650401482394</v>
      </c>
      <c r="O92" s="811">
        <v>95.714285714285708</v>
      </c>
      <c r="P92" s="812">
        <v>90.714285714285708</v>
      </c>
      <c r="Q92" s="1133">
        <v>198.0392156862745</v>
      </c>
      <c r="R92" s="891"/>
      <c r="S92" s="811"/>
      <c r="T92" s="812"/>
      <c r="U92" s="1133"/>
      <c r="V92" s="891"/>
      <c r="W92" s="891"/>
      <c r="X92" s="894"/>
      <c r="Y92" s="1133"/>
      <c r="Z92" s="891"/>
      <c r="AA92" s="891"/>
      <c r="AB92" s="894"/>
      <c r="AC92" s="825"/>
      <c r="AD92" s="811"/>
      <c r="AE92" s="811"/>
      <c r="AF92" s="812"/>
    </row>
    <row r="93" spans="1:32" ht="12.75" customHeight="1">
      <c r="A93" s="1232" t="str">
        <f t="shared" si="5"/>
        <v>40GbE</v>
      </c>
      <c r="B93" s="107" t="str">
        <f t="shared" si="5"/>
        <v>40 GbE eSR</v>
      </c>
      <c r="C93" s="266" t="str">
        <f t="shared" si="5"/>
        <v>300 m</v>
      </c>
      <c r="D93" s="267" t="str">
        <f t="shared" si="5"/>
        <v>QSFP+</v>
      </c>
      <c r="E93" s="821">
        <v>90.399392558845861</v>
      </c>
      <c r="F93" s="822">
        <v>73.783387048041092</v>
      </c>
      <c r="G93" s="822">
        <v>76.587893406436919</v>
      </c>
      <c r="H93" s="823">
        <v>76.151326539912858</v>
      </c>
      <c r="I93" s="821">
        <v>62.288012499019054</v>
      </c>
      <c r="J93" s="822">
        <v>58.991647382123226</v>
      </c>
      <c r="K93" s="811">
        <v>69.239096817859689</v>
      </c>
      <c r="L93" s="824">
        <v>69.549014878900721</v>
      </c>
      <c r="M93" s="825">
        <v>64.464048539944329</v>
      </c>
      <c r="N93" s="811">
        <v>62.812186758111316</v>
      </c>
      <c r="O93" s="811">
        <v>60.170595639010784</v>
      </c>
      <c r="P93" s="812">
        <v>57.406864232493845</v>
      </c>
      <c r="Q93" s="1133">
        <v>71.5133813979472</v>
      </c>
      <c r="R93" s="891"/>
      <c r="S93" s="811"/>
      <c r="T93" s="812"/>
      <c r="U93" s="1133"/>
      <c r="V93" s="891"/>
      <c r="W93" s="891"/>
      <c r="X93" s="894"/>
      <c r="Y93" s="1133"/>
      <c r="Z93" s="891"/>
      <c r="AA93" s="891"/>
      <c r="AB93" s="894"/>
      <c r="AC93" s="825"/>
      <c r="AD93" s="811"/>
      <c r="AE93" s="811"/>
      <c r="AF93" s="812"/>
    </row>
    <row r="94" spans="1:32" ht="12.75" customHeight="1">
      <c r="A94" s="1232" t="str">
        <f t="shared" si="5"/>
        <v>40GbE</v>
      </c>
      <c r="B94" s="107" t="str">
        <f t="shared" si="5"/>
        <v>40 GbE PSM4</v>
      </c>
      <c r="C94" s="266" t="str">
        <f t="shared" si="5"/>
        <v>500 m</v>
      </c>
      <c r="D94" s="267" t="str">
        <f t="shared" si="5"/>
        <v>QSFP+</v>
      </c>
      <c r="E94" s="821">
        <v>269.07275217398478</v>
      </c>
      <c r="F94" s="822">
        <v>257.98747622561501</v>
      </c>
      <c r="G94" s="822">
        <v>270.37037037037038</v>
      </c>
      <c r="H94" s="823">
        <v>257.57575757575756</v>
      </c>
      <c r="I94" s="821">
        <v>256.61815661815643</v>
      </c>
      <c r="J94" s="822">
        <v>260.35552193646015</v>
      </c>
      <c r="K94" s="811">
        <v>243.68160182526259</v>
      </c>
      <c r="L94" s="824">
        <v>243.53450450541368</v>
      </c>
      <c r="M94" s="825">
        <v>236.94425675675654</v>
      </c>
      <c r="N94" s="811">
        <v>232.37021126760547</v>
      </c>
      <c r="O94" s="811">
        <v>233.68134746922055</v>
      </c>
      <c r="P94" s="812">
        <v>213.11443229604697</v>
      </c>
      <c r="Q94" s="1133">
        <v>216.98089297531715</v>
      </c>
      <c r="R94" s="891"/>
      <c r="S94" s="811"/>
      <c r="T94" s="812"/>
      <c r="U94" s="1133"/>
      <c r="V94" s="891"/>
      <c r="W94" s="891"/>
      <c r="X94" s="894"/>
      <c r="Y94" s="1133"/>
      <c r="Z94" s="891"/>
      <c r="AA94" s="891"/>
      <c r="AB94" s="894"/>
      <c r="AC94" s="825"/>
      <c r="AD94" s="811"/>
      <c r="AE94" s="811"/>
      <c r="AF94" s="812"/>
    </row>
    <row r="95" spans="1:32" ht="12.75" customHeight="1">
      <c r="A95" s="1232" t="str">
        <f t="shared" si="5"/>
        <v>40GbE</v>
      </c>
      <c r="B95" s="473" t="str">
        <f t="shared" si="5"/>
        <v>40 GbE FR</v>
      </c>
      <c r="C95" s="268" t="str">
        <f t="shared" si="5"/>
        <v>2 km</v>
      </c>
      <c r="D95" s="110" t="str">
        <f t="shared" si="5"/>
        <v>CFP</v>
      </c>
      <c r="E95" s="839">
        <v>4868.2015561586586</v>
      </c>
      <c r="F95" s="840">
        <v>5500</v>
      </c>
      <c r="G95" s="822">
        <v>5500</v>
      </c>
      <c r="H95" s="823">
        <v>5500</v>
      </c>
      <c r="I95" s="839"/>
      <c r="J95" s="840"/>
      <c r="K95" s="811">
        <v>0</v>
      </c>
      <c r="L95" s="824">
        <v>0</v>
      </c>
      <c r="M95" s="841">
        <v>0</v>
      </c>
      <c r="N95" s="811">
        <v>0</v>
      </c>
      <c r="O95" s="811">
        <v>0</v>
      </c>
      <c r="P95" s="812">
        <v>0</v>
      </c>
      <c r="Q95" s="886">
        <v>0</v>
      </c>
      <c r="R95" s="891"/>
      <c r="S95" s="811"/>
      <c r="T95" s="812"/>
      <c r="U95" s="886"/>
      <c r="V95" s="891"/>
      <c r="W95" s="891"/>
      <c r="X95" s="894"/>
      <c r="Y95" s="886"/>
      <c r="Z95" s="891"/>
      <c r="AA95" s="891"/>
      <c r="AB95" s="894"/>
      <c r="AC95" s="841"/>
      <c r="AD95" s="811"/>
      <c r="AE95" s="811"/>
      <c r="AF95" s="812"/>
    </row>
    <row r="96" spans="1:32" ht="12.75" customHeight="1">
      <c r="A96" s="1232" t="str">
        <f t="shared" si="5"/>
        <v>40GbE</v>
      </c>
      <c r="B96" s="130" t="str">
        <f t="shared" si="5"/>
        <v>40 GbE LR4 subspec</v>
      </c>
      <c r="C96" s="505" t="str">
        <f t="shared" si="5"/>
        <v>2 km</v>
      </c>
      <c r="D96" s="241" t="str">
        <f t="shared" si="5"/>
        <v>QSFP+</v>
      </c>
      <c r="E96" s="839">
        <v>360.31672591017752</v>
      </c>
      <c r="F96" s="840">
        <v>348.44736472680194</v>
      </c>
      <c r="G96" s="822">
        <v>333.94133544422743</v>
      </c>
      <c r="H96" s="823">
        <v>325.10573207900353</v>
      </c>
      <c r="I96" s="839">
        <v>308.35251607600037</v>
      </c>
      <c r="J96" s="840">
        <v>296.81224909783924</v>
      </c>
      <c r="K96" s="811">
        <v>304.43474868395384</v>
      </c>
      <c r="L96" s="824">
        <v>300.54684666532341</v>
      </c>
      <c r="M96" s="841">
        <v>262.0669560821384</v>
      </c>
      <c r="N96" s="811">
        <v>271.4363791352468</v>
      </c>
      <c r="O96" s="811">
        <v>251.73850528081633</v>
      </c>
      <c r="P96" s="812">
        <v>234.40298404374661</v>
      </c>
      <c r="Q96" s="886">
        <v>209.94839280306482</v>
      </c>
      <c r="R96" s="891"/>
      <c r="S96" s="811"/>
      <c r="T96" s="812"/>
      <c r="U96" s="886"/>
      <c r="V96" s="891"/>
      <c r="W96" s="891"/>
      <c r="X96" s="894"/>
      <c r="Y96" s="886"/>
      <c r="Z96" s="891"/>
      <c r="AA96" s="891"/>
      <c r="AB96" s="894"/>
      <c r="AC96" s="841"/>
      <c r="AD96" s="811"/>
      <c r="AE96" s="811"/>
      <c r="AF96" s="812"/>
    </row>
    <row r="97" spans="1:32" ht="12.75" customHeight="1">
      <c r="A97" s="1232" t="str">
        <f t="shared" si="5"/>
        <v>40GbE</v>
      </c>
      <c r="B97" s="473" t="str">
        <f t="shared" si="5"/>
        <v>40 GbE LR4</v>
      </c>
      <c r="C97" s="473" t="str">
        <f t="shared" si="5"/>
        <v>10 km</v>
      </c>
      <c r="D97" s="110" t="str">
        <f t="shared" si="5"/>
        <v>CFP</v>
      </c>
      <c r="E97" s="839">
        <v>1403.1881172824003</v>
      </c>
      <c r="F97" s="840">
        <v>1442.1895756324172</v>
      </c>
      <c r="G97" s="822">
        <v>1149.9374756798888</v>
      </c>
      <c r="H97" s="823">
        <v>924.76026850068138</v>
      </c>
      <c r="I97" s="839"/>
      <c r="J97" s="840"/>
      <c r="K97" s="811">
        <v>0</v>
      </c>
      <c r="L97" s="824">
        <v>0</v>
      </c>
      <c r="M97" s="841">
        <v>0</v>
      </c>
      <c r="N97" s="811">
        <v>0</v>
      </c>
      <c r="O97" s="811">
        <v>0</v>
      </c>
      <c r="P97" s="812">
        <v>0</v>
      </c>
      <c r="Q97" s="886">
        <v>0</v>
      </c>
      <c r="R97" s="891"/>
      <c r="S97" s="811"/>
      <c r="T97" s="812"/>
      <c r="U97" s="886"/>
      <c r="V97" s="891"/>
      <c r="W97" s="891"/>
      <c r="X97" s="894"/>
      <c r="Y97" s="886"/>
      <c r="Z97" s="891"/>
      <c r="AA97" s="891"/>
      <c r="AB97" s="894"/>
      <c r="AC97" s="841"/>
      <c r="AD97" s="811"/>
      <c r="AE97" s="811"/>
      <c r="AF97" s="812"/>
    </row>
    <row r="98" spans="1:32" ht="12.75" customHeight="1">
      <c r="A98" s="1232" t="str">
        <f t="shared" si="5"/>
        <v>40GbE</v>
      </c>
      <c r="B98" s="130" t="str">
        <f t="shared" si="5"/>
        <v>40 GbE LR4</v>
      </c>
      <c r="C98" s="260" t="str">
        <f t="shared" si="5"/>
        <v>10 km</v>
      </c>
      <c r="D98" s="110" t="str">
        <f t="shared" si="5"/>
        <v>QSFP</v>
      </c>
      <c r="E98" s="839">
        <v>421.69664832712226</v>
      </c>
      <c r="F98" s="840">
        <v>403.96532667915091</v>
      </c>
      <c r="G98" s="822">
        <v>416.90428938049507</v>
      </c>
      <c r="H98" s="823">
        <v>369.88342938578609</v>
      </c>
      <c r="I98" s="839">
        <v>371.95424606637204</v>
      </c>
      <c r="J98" s="840">
        <v>355.28920468211317</v>
      </c>
      <c r="K98" s="811">
        <v>373.02017068671637</v>
      </c>
      <c r="L98" s="824">
        <v>351.73794061646765</v>
      </c>
      <c r="M98" s="841">
        <v>325.51559164623217</v>
      </c>
      <c r="N98" s="811">
        <v>293.77335360658276</v>
      </c>
      <c r="O98" s="811">
        <v>226.1384498096364</v>
      </c>
      <c r="P98" s="812">
        <v>198.57201198098903</v>
      </c>
      <c r="Q98" s="886">
        <v>228.24689928813063</v>
      </c>
      <c r="R98" s="891"/>
      <c r="S98" s="811"/>
      <c r="T98" s="812"/>
      <c r="U98" s="886"/>
      <c r="V98" s="891"/>
      <c r="W98" s="891"/>
      <c r="X98" s="894"/>
      <c r="Y98" s="886"/>
      <c r="Z98" s="891"/>
      <c r="AA98" s="891"/>
      <c r="AB98" s="894"/>
      <c r="AC98" s="841"/>
      <c r="AD98" s="811"/>
      <c r="AE98" s="811"/>
      <c r="AF98" s="812"/>
    </row>
    <row r="99" spans="1:32" ht="13.05" customHeight="1" thickBot="1">
      <c r="A99" s="1233" t="str">
        <f t="shared" si="5"/>
        <v>40GbE</v>
      </c>
      <c r="B99" s="264" t="str">
        <f t="shared" si="5"/>
        <v>40 GbE ER4</v>
      </c>
      <c r="C99" s="771" t="str">
        <f t="shared" si="5"/>
        <v>40 km</v>
      </c>
      <c r="D99" s="264" t="str">
        <f t="shared" si="5"/>
        <v>All</v>
      </c>
      <c r="E99" s="845">
        <v>1805.1290754311904</v>
      </c>
      <c r="F99" s="846">
        <v>1830.6513728893717</v>
      </c>
      <c r="G99" s="827">
        <v>1323.3268171443549</v>
      </c>
      <c r="H99" s="828">
        <v>1172.5425531914898</v>
      </c>
      <c r="I99" s="845">
        <v>1200.9769186381982</v>
      </c>
      <c r="J99" s="846">
        <v>1404.6647350993371</v>
      </c>
      <c r="K99" s="829">
        <v>1179.6695437731191</v>
      </c>
      <c r="L99" s="830">
        <v>1203.6778319123025</v>
      </c>
      <c r="M99" s="847">
        <v>1241.4567699836887</v>
      </c>
      <c r="N99" s="829">
        <v>1203.6092254134041</v>
      </c>
      <c r="O99" s="829">
        <v>524.5454545454545</v>
      </c>
      <c r="P99" s="832">
        <v>520</v>
      </c>
      <c r="Q99" s="1138">
        <v>468</v>
      </c>
      <c r="R99" s="1135"/>
      <c r="S99" s="829"/>
      <c r="T99" s="832"/>
      <c r="U99" s="1138"/>
      <c r="V99" s="1135"/>
      <c r="W99" s="1135"/>
      <c r="X99" s="1136"/>
      <c r="Y99" s="1138"/>
      <c r="Z99" s="1135"/>
      <c r="AA99" s="1135"/>
      <c r="AB99" s="1136"/>
      <c r="AC99" s="847"/>
      <c r="AD99" s="829"/>
      <c r="AE99" s="829"/>
      <c r="AF99" s="832"/>
    </row>
    <row r="100" spans="1:32" ht="14.4">
      <c r="A100" s="1232" t="str">
        <f t="shared" si="5"/>
        <v>50GbE</v>
      </c>
      <c r="B100" s="261" t="str">
        <f t="shared" si="5"/>
        <v xml:space="preserve">50GbE </v>
      </c>
      <c r="C100" s="261" t="str">
        <f t="shared" si="5"/>
        <v>all</v>
      </c>
      <c r="D100" s="491" t="str">
        <f t="shared" si="5"/>
        <v>all</v>
      </c>
      <c r="E100" s="839"/>
      <c r="F100" s="840"/>
      <c r="G100" s="822"/>
      <c r="H100" s="823"/>
      <c r="I100" s="839"/>
      <c r="J100" s="840"/>
      <c r="K100" s="807">
        <v>0</v>
      </c>
      <c r="L100" s="824">
        <v>0</v>
      </c>
      <c r="M100" s="838">
        <v>0</v>
      </c>
      <c r="N100" s="808">
        <v>0</v>
      </c>
      <c r="O100" s="808">
        <v>0</v>
      </c>
      <c r="P100" s="809">
        <v>0</v>
      </c>
      <c r="Q100" s="860">
        <v>0</v>
      </c>
      <c r="R100" s="1125"/>
      <c r="S100" s="814"/>
      <c r="T100" s="815"/>
      <c r="U100" s="1139"/>
      <c r="V100" s="1129"/>
      <c r="W100" s="1125"/>
      <c r="X100" s="1126"/>
      <c r="Y100" s="1139"/>
      <c r="Z100" s="1129"/>
      <c r="AA100" s="1125"/>
      <c r="AB100" s="1126"/>
      <c r="AC100" s="848"/>
      <c r="AD100" s="814"/>
      <c r="AE100" s="808"/>
      <c r="AF100" s="809"/>
    </row>
    <row r="101" spans="1:32" ht="14.4">
      <c r="A101" s="1232" t="str">
        <f t="shared" si="5"/>
        <v>50GbE</v>
      </c>
      <c r="B101" s="179">
        <f t="shared" si="5"/>
        <v>0</v>
      </c>
      <c r="C101" s="179">
        <f t="shared" si="5"/>
        <v>0</v>
      </c>
      <c r="D101" s="241" t="str">
        <f t="shared" si="5"/>
        <v>all</v>
      </c>
      <c r="E101" s="839"/>
      <c r="F101" s="840"/>
      <c r="G101" s="822"/>
      <c r="H101" s="823"/>
      <c r="I101" s="839"/>
      <c r="J101" s="840"/>
      <c r="K101" s="807">
        <v>0</v>
      </c>
      <c r="L101" s="824">
        <v>0</v>
      </c>
      <c r="M101" s="841">
        <v>0</v>
      </c>
      <c r="N101" s="811">
        <v>0</v>
      </c>
      <c r="O101" s="811">
        <v>0</v>
      </c>
      <c r="P101" s="812">
        <v>0</v>
      </c>
      <c r="Q101" s="886">
        <v>0</v>
      </c>
      <c r="R101" s="891"/>
      <c r="S101" s="811"/>
      <c r="T101" s="812"/>
      <c r="U101" s="886"/>
      <c r="V101" s="891"/>
      <c r="W101" s="891"/>
      <c r="X101" s="894"/>
      <c r="Y101" s="886"/>
      <c r="Z101" s="891"/>
      <c r="AA101" s="891"/>
      <c r="AB101" s="894"/>
      <c r="AC101" s="841"/>
      <c r="AD101" s="811"/>
      <c r="AE101" s="811"/>
      <c r="AF101" s="812"/>
    </row>
    <row r="102" spans="1:32" ht="15" thickBot="1">
      <c r="A102" s="1233" t="str">
        <f t="shared" si="5"/>
        <v>50GbE</v>
      </c>
      <c r="B102" s="804">
        <f t="shared" si="5"/>
        <v>0</v>
      </c>
      <c r="C102" s="804">
        <f t="shared" si="5"/>
        <v>0</v>
      </c>
      <c r="D102" s="270">
        <f t="shared" si="5"/>
        <v>0</v>
      </c>
      <c r="E102" s="845"/>
      <c r="F102" s="846"/>
      <c r="G102" s="827"/>
      <c r="H102" s="828"/>
      <c r="I102" s="845"/>
      <c r="J102" s="846"/>
      <c r="K102" s="813">
        <v>0</v>
      </c>
      <c r="L102" s="830">
        <v>0</v>
      </c>
      <c r="M102" s="848">
        <v>164.46310694857144</v>
      </c>
      <c r="N102" s="814">
        <v>252.13202714271077</v>
      </c>
      <c r="O102" s="814">
        <v>188.57746197096313</v>
      </c>
      <c r="P102" s="815">
        <v>202.8710944146294</v>
      </c>
      <c r="Q102" s="1139">
        <v>116.66666666666667</v>
      </c>
      <c r="R102" s="1129"/>
      <c r="S102" s="814"/>
      <c r="T102" s="815"/>
      <c r="U102" s="1139"/>
      <c r="V102" s="1129"/>
      <c r="W102" s="1129"/>
      <c r="X102" s="1130"/>
      <c r="Y102" s="1139"/>
      <c r="Z102" s="1129"/>
      <c r="AA102" s="1129"/>
      <c r="AB102" s="1130"/>
      <c r="AC102" s="848"/>
      <c r="AD102" s="814"/>
      <c r="AE102" s="814"/>
      <c r="AF102" s="815"/>
    </row>
    <row r="103" spans="1:32" ht="12.75" customHeight="1">
      <c r="A103" s="1234" t="str">
        <f t="shared" si="5"/>
        <v>100GbE</v>
      </c>
      <c r="B103" s="469" t="str">
        <f t="shared" si="5"/>
        <v xml:space="preserve">100 GbE SR10 </v>
      </c>
      <c r="C103" s="472" t="str">
        <f t="shared" si="5"/>
        <v>100 m</v>
      </c>
      <c r="D103" s="110" t="str">
        <f t="shared" si="5"/>
        <v>CFP</v>
      </c>
      <c r="E103" s="833">
        <v>1300</v>
      </c>
      <c r="F103" s="834">
        <v>1300</v>
      </c>
      <c r="G103" s="835">
        <v>1137.3418079096052</v>
      </c>
      <c r="H103" s="844">
        <v>1293.9751485683416</v>
      </c>
      <c r="I103" s="833">
        <v>1043.8865373309823</v>
      </c>
      <c r="J103" s="834">
        <v>980.5639187574692</v>
      </c>
      <c r="K103" s="818">
        <v>1072.8977777777789</v>
      </c>
      <c r="L103" s="836">
        <v>953.17676767676494</v>
      </c>
      <c r="M103" s="849">
        <v>0</v>
      </c>
      <c r="N103" s="818">
        <v>0</v>
      </c>
      <c r="O103" s="818">
        <v>0</v>
      </c>
      <c r="P103" s="819">
        <v>0</v>
      </c>
      <c r="Q103" s="849"/>
      <c r="R103" s="1131"/>
      <c r="S103" s="818"/>
      <c r="T103" s="819"/>
      <c r="U103" s="849"/>
      <c r="V103" s="1131"/>
      <c r="W103" s="1131"/>
      <c r="X103" s="1132"/>
      <c r="Y103" s="849"/>
      <c r="Z103" s="1131"/>
      <c r="AA103" s="1131"/>
      <c r="AB103" s="1132"/>
      <c r="AC103" s="864"/>
      <c r="AD103" s="818"/>
      <c r="AE103" s="818"/>
      <c r="AF103" s="819"/>
    </row>
    <row r="104" spans="1:32" ht="12.75" customHeight="1">
      <c r="A104" s="1232" t="str">
        <f t="shared" si="5"/>
        <v>100GbE</v>
      </c>
      <c r="B104" s="469" t="str">
        <f t="shared" si="5"/>
        <v>100 GbE SR4</v>
      </c>
      <c r="C104" s="470" t="str">
        <f t="shared" si="5"/>
        <v>100 m</v>
      </c>
      <c r="D104" s="110" t="str">
        <f t="shared" si="5"/>
        <v>CFP2/4</v>
      </c>
      <c r="E104" s="821">
        <v>1100</v>
      </c>
      <c r="F104" s="822">
        <v>1100</v>
      </c>
      <c r="G104" s="822">
        <v>1092.2777777777801</v>
      </c>
      <c r="H104" s="823">
        <v>1017.68527918782</v>
      </c>
      <c r="I104" s="821"/>
      <c r="J104" s="822"/>
      <c r="K104" s="811">
        <v>775.04530046224966</v>
      </c>
      <c r="L104" s="824">
        <v>746.7846960486321</v>
      </c>
      <c r="M104" s="850">
        <v>0</v>
      </c>
      <c r="N104" s="811">
        <v>0</v>
      </c>
      <c r="O104" s="811">
        <v>0</v>
      </c>
      <c r="P104" s="812">
        <v>0</v>
      </c>
      <c r="Q104" s="1133"/>
      <c r="R104" s="891"/>
      <c r="S104" s="811"/>
      <c r="T104" s="812"/>
      <c r="U104" s="1133"/>
      <c r="V104" s="891"/>
      <c r="W104" s="891"/>
      <c r="X104" s="894"/>
      <c r="Y104" s="1133"/>
      <c r="Z104" s="891"/>
      <c r="AA104" s="891"/>
      <c r="AB104" s="894"/>
      <c r="AC104" s="825"/>
      <c r="AD104" s="811"/>
      <c r="AE104" s="811"/>
      <c r="AF104" s="812"/>
    </row>
    <row r="105" spans="1:32" ht="12.75" customHeight="1">
      <c r="A105" s="1232" t="str">
        <f t="shared" si="5"/>
        <v>100GbE</v>
      </c>
      <c r="B105" s="260" t="str">
        <f t="shared" si="5"/>
        <v>100 GbE SR4</v>
      </c>
      <c r="C105" s="130" t="str">
        <f t="shared" si="5"/>
        <v>100 m</v>
      </c>
      <c r="D105" s="241" t="str">
        <f t="shared" si="5"/>
        <v>QSFP28</v>
      </c>
      <c r="E105" s="839">
        <v>201.47474009665703</v>
      </c>
      <c r="F105" s="840">
        <v>182.21873667414062</v>
      </c>
      <c r="G105" s="822">
        <v>195.20741538715535</v>
      </c>
      <c r="H105" s="823">
        <v>163.61666185121041</v>
      </c>
      <c r="I105" s="839">
        <v>127.49896710344402</v>
      </c>
      <c r="J105" s="840">
        <v>116.4727157763847</v>
      </c>
      <c r="K105" s="811">
        <v>106.90705111470601</v>
      </c>
      <c r="L105" s="824">
        <v>109.1584180909807</v>
      </c>
      <c r="M105" s="841">
        <v>97.099004032517044</v>
      </c>
      <c r="N105" s="811">
        <v>89.607384254329091</v>
      </c>
      <c r="O105" s="811">
        <v>79.750058948361229</v>
      </c>
      <c r="P105" s="812">
        <v>77.278705873459828</v>
      </c>
      <c r="Q105" s="886">
        <v>67.452289242659717</v>
      </c>
      <c r="R105" s="891"/>
      <c r="S105" s="811"/>
      <c r="T105" s="812"/>
      <c r="U105" s="886"/>
      <c r="V105" s="891"/>
      <c r="W105" s="891"/>
      <c r="X105" s="894"/>
      <c r="Y105" s="886"/>
      <c r="Z105" s="891"/>
      <c r="AA105" s="891"/>
      <c r="AB105" s="894"/>
      <c r="AC105" s="841"/>
      <c r="AD105" s="811"/>
      <c r="AE105" s="811"/>
      <c r="AF105" s="812"/>
    </row>
    <row r="106" spans="1:32" ht="12.75" customHeight="1">
      <c r="A106" s="1232" t="str">
        <f t="shared" si="5"/>
        <v>100GbE</v>
      </c>
      <c r="B106" s="260" t="str">
        <f t="shared" si="5"/>
        <v>100 GbE SR2</v>
      </c>
      <c r="C106" s="130" t="str">
        <f t="shared" si="5"/>
        <v>100 m</v>
      </c>
      <c r="D106" s="241" t="str">
        <f t="shared" si="5"/>
        <v>All</v>
      </c>
      <c r="E106" s="839"/>
      <c r="F106" s="840"/>
      <c r="G106" s="822"/>
      <c r="H106" s="823"/>
      <c r="I106" s="839"/>
      <c r="J106" s="840"/>
      <c r="K106" s="811"/>
      <c r="L106" s="824"/>
      <c r="M106" s="841"/>
      <c r="N106" s="811"/>
      <c r="O106" s="811"/>
      <c r="P106" s="812"/>
      <c r="Q106" s="886"/>
      <c r="R106" s="891"/>
      <c r="S106" s="811"/>
      <c r="T106" s="812"/>
      <c r="U106" s="886"/>
      <c r="V106" s="891"/>
      <c r="W106" s="891"/>
      <c r="X106" s="894"/>
      <c r="Y106" s="886"/>
      <c r="Z106" s="891"/>
      <c r="AA106" s="891"/>
      <c r="AB106" s="894"/>
      <c r="AC106" s="841"/>
      <c r="AD106" s="811"/>
      <c r="AE106" s="811"/>
      <c r="AF106" s="812"/>
    </row>
    <row r="107" spans="1:32" ht="12.75" customHeight="1">
      <c r="A107" s="1232" t="s">
        <v>212</v>
      </c>
      <c r="B107" s="650" t="s">
        <v>373</v>
      </c>
      <c r="C107" s="473" t="s">
        <v>194</v>
      </c>
      <c r="D107" s="241" t="s">
        <v>213</v>
      </c>
      <c r="E107" s="839"/>
      <c r="F107" s="840"/>
      <c r="G107" s="822"/>
      <c r="H107" s="823"/>
      <c r="I107" s="839"/>
      <c r="J107" s="840"/>
      <c r="K107" s="811"/>
      <c r="L107" s="824"/>
      <c r="M107" s="841">
        <v>250.25454545454539</v>
      </c>
      <c r="N107" s="811">
        <v>216.05547076469631</v>
      </c>
      <c r="O107" s="811">
        <v>205</v>
      </c>
      <c r="P107" s="812">
        <v>200</v>
      </c>
      <c r="Q107" s="886">
        <v>274.61538461538464</v>
      </c>
      <c r="R107" s="891"/>
      <c r="S107" s="811"/>
      <c r="T107" s="812"/>
      <c r="U107" s="886"/>
      <c r="V107" s="891"/>
      <c r="W107" s="891"/>
      <c r="X107" s="894"/>
      <c r="Y107" s="886"/>
      <c r="Z107" s="891"/>
      <c r="AA107" s="891"/>
      <c r="AB107" s="894"/>
      <c r="AC107" s="841"/>
      <c r="AD107" s="811"/>
      <c r="AE107" s="811"/>
      <c r="AF107" s="812"/>
    </row>
    <row r="108" spans="1:32" ht="12.75" customHeight="1">
      <c r="A108" s="1232" t="str">
        <f>A44</f>
        <v>100GbE</v>
      </c>
      <c r="B108" s="265" t="str">
        <f>B44</f>
        <v>100 GbE PSM4</v>
      </c>
      <c r="C108" s="266" t="str">
        <f>C44</f>
        <v>500 m</v>
      </c>
      <c r="D108" s="267" t="str">
        <f>D44</f>
        <v>all</v>
      </c>
      <c r="E108" s="821">
        <v>253.11076914806404</v>
      </c>
      <c r="F108" s="822">
        <v>240.96573361019273</v>
      </c>
      <c r="G108" s="822">
        <v>209.89452061118035</v>
      </c>
      <c r="H108" s="823">
        <v>191.23902397838569</v>
      </c>
      <c r="I108" s="821">
        <v>189.29230818743562</v>
      </c>
      <c r="J108" s="822">
        <v>224.15237625301637</v>
      </c>
      <c r="K108" s="811">
        <v>165.30527289546717</v>
      </c>
      <c r="L108" s="824">
        <v>158.01686943677848</v>
      </c>
      <c r="M108" s="825">
        <v>182.81249999999997</v>
      </c>
      <c r="N108" s="811">
        <v>163.02631578947367</v>
      </c>
      <c r="O108" s="811">
        <v>155.82089552238807</v>
      </c>
      <c r="P108" s="812">
        <v>154.74683544303812</v>
      </c>
      <c r="Q108" s="1133">
        <v>148.36530282954232</v>
      </c>
      <c r="R108" s="891"/>
      <c r="S108" s="811"/>
      <c r="T108" s="812"/>
      <c r="U108" s="1133"/>
      <c r="V108" s="891"/>
      <c r="W108" s="891"/>
      <c r="X108" s="894"/>
      <c r="Y108" s="1133"/>
      <c r="Z108" s="891"/>
      <c r="AA108" s="891"/>
      <c r="AB108" s="894"/>
      <c r="AC108" s="825"/>
      <c r="AD108" s="811"/>
      <c r="AE108" s="811"/>
      <c r="AF108" s="812"/>
    </row>
    <row r="109" spans="1:32" ht="12.75" customHeight="1">
      <c r="A109" s="1232" t="str">
        <f t="shared" ref="A109:A116" si="6">A45</f>
        <v>100GbE</v>
      </c>
      <c r="B109" s="649" t="s">
        <v>513</v>
      </c>
      <c r="C109" s="473" t="s">
        <v>188</v>
      </c>
      <c r="D109" s="241"/>
      <c r="E109" s="821"/>
      <c r="F109" s="822"/>
      <c r="G109" s="822"/>
      <c r="H109" s="823"/>
      <c r="I109" s="821"/>
      <c r="J109" s="822"/>
      <c r="K109" s="811"/>
      <c r="L109" s="824"/>
      <c r="M109" s="825">
        <v>0</v>
      </c>
      <c r="N109" s="811">
        <v>0</v>
      </c>
      <c r="O109" s="811">
        <v>250</v>
      </c>
      <c r="P109" s="812">
        <v>200</v>
      </c>
      <c r="Q109" s="1133">
        <v>199.28909952606634</v>
      </c>
      <c r="R109" s="891"/>
      <c r="S109" s="811"/>
      <c r="T109" s="812"/>
      <c r="U109" s="1133"/>
      <c r="V109" s="891"/>
      <c r="W109" s="891"/>
      <c r="X109" s="894"/>
      <c r="Y109" s="1133"/>
      <c r="Z109" s="891"/>
      <c r="AA109" s="891"/>
      <c r="AB109" s="894"/>
      <c r="AC109" s="825"/>
      <c r="AD109" s="811"/>
      <c r="AE109" s="811"/>
      <c r="AF109" s="812"/>
    </row>
    <row r="110" spans="1:32" ht="14.55" customHeight="1">
      <c r="A110" s="1232" t="str">
        <f t="shared" si="6"/>
        <v>100GbE</v>
      </c>
      <c r="B110" s="268" t="str">
        <f t="shared" ref="B110:D115" si="7">B46</f>
        <v>100 GbE CWDM4</v>
      </c>
      <c r="C110" s="268" t="str">
        <f t="shared" si="7"/>
        <v>2 km</v>
      </c>
      <c r="D110" s="241" t="str">
        <f t="shared" si="7"/>
        <v>QSFP28</v>
      </c>
      <c r="E110" s="851">
        <v>607.01229113899194</v>
      </c>
      <c r="F110" s="852">
        <v>554.5178512273053</v>
      </c>
      <c r="G110" s="822">
        <v>503.09768142185794</v>
      </c>
      <c r="H110" s="823">
        <v>461.17229317558503</v>
      </c>
      <c r="I110" s="851">
        <v>401.02199627130472</v>
      </c>
      <c r="J110" s="852">
        <v>351.5587206315206</v>
      </c>
      <c r="K110" s="811">
        <v>285.23491665011022</v>
      </c>
      <c r="L110" s="824">
        <v>265.6989103782779</v>
      </c>
      <c r="M110" s="853">
        <v>204.26127101275992</v>
      </c>
      <c r="N110" s="811">
        <v>194.14586203848228</v>
      </c>
      <c r="O110" s="811">
        <v>190.66883496584967</v>
      </c>
      <c r="P110" s="812">
        <v>188.27611830063003</v>
      </c>
      <c r="Q110" s="892">
        <v>169.20791318607954</v>
      </c>
      <c r="R110" s="891"/>
      <c r="S110" s="811"/>
      <c r="T110" s="812"/>
      <c r="U110" s="892"/>
      <c r="V110" s="891"/>
      <c r="W110" s="891"/>
      <c r="X110" s="894"/>
      <c r="Y110" s="892"/>
      <c r="Z110" s="891"/>
      <c r="AA110" s="891"/>
      <c r="AB110" s="894"/>
      <c r="AC110" s="853"/>
      <c r="AD110" s="811"/>
      <c r="AE110" s="811"/>
      <c r="AF110" s="812"/>
    </row>
    <row r="111" spans="1:32" ht="14.4">
      <c r="A111" s="1232" t="str">
        <f t="shared" si="6"/>
        <v>100GbE</v>
      </c>
      <c r="B111" s="268" t="str">
        <f t="shared" si="7"/>
        <v>100GbE FR1</v>
      </c>
      <c r="C111" s="268" t="str">
        <f t="shared" si="7"/>
        <v>2km</v>
      </c>
      <c r="D111" s="241" t="str">
        <f t="shared" si="7"/>
        <v>QSFP28</v>
      </c>
      <c r="E111" s="851"/>
      <c r="F111" s="852"/>
      <c r="G111" s="822"/>
      <c r="H111" s="823"/>
      <c r="I111" s="851"/>
      <c r="J111" s="852"/>
      <c r="K111" s="811">
        <v>600</v>
      </c>
      <c r="L111" s="824">
        <v>638.88888888888891</v>
      </c>
      <c r="M111" s="853">
        <v>490.45346062052505</v>
      </c>
      <c r="N111" s="811">
        <v>473.4457831325301</v>
      </c>
      <c r="O111" s="811">
        <v>447.23926380368096</v>
      </c>
      <c r="P111" s="812">
        <v>338.04347826086956</v>
      </c>
      <c r="Q111" s="892">
        <v>263.79313131313131</v>
      </c>
      <c r="R111" s="891"/>
      <c r="S111" s="811"/>
      <c r="T111" s="812"/>
      <c r="U111" s="892"/>
      <c r="V111" s="891"/>
      <c r="W111" s="891"/>
      <c r="X111" s="894"/>
      <c r="Y111" s="892"/>
      <c r="Z111" s="891"/>
      <c r="AA111" s="891"/>
      <c r="AB111" s="894"/>
      <c r="AC111" s="853"/>
      <c r="AD111" s="811"/>
      <c r="AE111" s="811"/>
      <c r="AF111" s="812"/>
    </row>
    <row r="112" spans="1:32" ht="12.75" customHeight="1">
      <c r="A112" s="1232" t="str">
        <f t="shared" si="6"/>
        <v>100GbE</v>
      </c>
      <c r="B112" s="268" t="str">
        <f t="shared" si="7"/>
        <v>100 GbE LR4</v>
      </c>
      <c r="C112" s="473" t="str">
        <f t="shared" si="7"/>
        <v>10 km</v>
      </c>
      <c r="D112" s="262" t="str">
        <f t="shared" si="7"/>
        <v>CFP</v>
      </c>
      <c r="E112" s="839">
        <v>3057.2898288138313</v>
      </c>
      <c r="F112" s="840">
        <v>2756.9031041721296</v>
      </c>
      <c r="G112" s="822">
        <v>2656.2161017702429</v>
      </c>
      <c r="H112" s="823">
        <v>2471.0188169807125</v>
      </c>
      <c r="I112" s="839">
        <v>2194.236519887379</v>
      </c>
      <c r="J112" s="840">
        <v>2211.847640107906</v>
      </c>
      <c r="K112" s="811">
        <v>1962.610722358022</v>
      </c>
      <c r="L112" s="824">
        <v>2031.3336435883052</v>
      </c>
      <c r="M112" s="841">
        <v>1855.5060097404171</v>
      </c>
      <c r="N112" s="811">
        <v>1459.2680756384716</v>
      </c>
      <c r="O112" s="811">
        <v>1597.8737086130736</v>
      </c>
      <c r="P112" s="812">
        <v>1480.1820596516573</v>
      </c>
      <c r="Q112" s="886">
        <v>1784.3745259216191</v>
      </c>
      <c r="R112" s="891"/>
      <c r="S112" s="811"/>
      <c r="T112" s="812"/>
      <c r="U112" s="886"/>
      <c r="V112" s="891"/>
      <c r="W112" s="891"/>
      <c r="X112" s="894"/>
      <c r="Y112" s="886"/>
      <c r="Z112" s="891"/>
      <c r="AA112" s="891"/>
      <c r="AB112" s="894"/>
      <c r="AC112" s="841"/>
      <c r="AD112" s="811"/>
      <c r="AE112" s="811"/>
      <c r="AF112" s="812"/>
    </row>
    <row r="113" spans="1:32" ht="12.75" customHeight="1">
      <c r="A113" s="1232" t="str">
        <f t="shared" si="6"/>
        <v>100GbE</v>
      </c>
      <c r="B113" s="643" t="str">
        <f t="shared" si="7"/>
        <v>100 GbE LR4</v>
      </c>
      <c r="C113" s="470" t="str">
        <f t="shared" si="7"/>
        <v>10 km</v>
      </c>
      <c r="D113" s="110" t="str">
        <f t="shared" si="7"/>
        <v>CFP2</v>
      </c>
      <c r="E113" s="839">
        <v>2449.4545383411582</v>
      </c>
      <c r="F113" s="840">
        <v>2198.5210732984292</v>
      </c>
      <c r="G113" s="822">
        <v>2050.1262248581752</v>
      </c>
      <c r="H113" s="823">
        <v>1675.488215287307</v>
      </c>
      <c r="I113" s="839">
        <v>1201.8182921604991</v>
      </c>
      <c r="J113" s="840">
        <v>1318.5451865222633</v>
      </c>
      <c r="K113" s="811">
        <v>1450.5583322106979</v>
      </c>
      <c r="L113" s="824">
        <v>1279.4278421213023</v>
      </c>
      <c r="M113" s="841">
        <v>1097.830278169464</v>
      </c>
      <c r="N113" s="811">
        <v>932.47611202635915</v>
      </c>
      <c r="O113" s="811">
        <v>907.69230769230774</v>
      </c>
      <c r="P113" s="812">
        <v>886.66666666666663</v>
      </c>
      <c r="Q113" s="886">
        <v>847.27272727272725</v>
      </c>
      <c r="R113" s="891"/>
      <c r="S113" s="811"/>
      <c r="T113" s="812"/>
      <c r="U113" s="886"/>
      <c r="V113" s="886"/>
      <c r="W113" s="891"/>
      <c r="X113" s="894"/>
      <c r="Y113" s="886"/>
      <c r="Z113" s="886"/>
      <c r="AA113" s="891"/>
      <c r="AB113" s="894"/>
      <c r="AC113" s="841"/>
      <c r="AD113" s="841"/>
      <c r="AE113" s="811"/>
      <c r="AF113" s="812"/>
    </row>
    <row r="114" spans="1:32" ht="12.75" customHeight="1">
      <c r="A114" s="1232" t="str">
        <f t="shared" si="6"/>
        <v>100GbE</v>
      </c>
      <c r="B114" s="643" t="str">
        <f t="shared" si="7"/>
        <v>100 GbE LR4</v>
      </c>
      <c r="C114" s="470" t="str">
        <f t="shared" si="7"/>
        <v>10 km</v>
      </c>
      <c r="D114" s="110" t="str">
        <f t="shared" si="7"/>
        <v>CFP4</v>
      </c>
      <c r="E114" s="839">
        <v>2659.3197567108709</v>
      </c>
      <c r="F114" s="840">
        <v>2273.2360088379864</v>
      </c>
      <c r="G114" s="822">
        <v>2240.7954651711534</v>
      </c>
      <c r="H114" s="823">
        <v>2180.8626699912102</v>
      </c>
      <c r="I114" s="839">
        <v>1783.7269561179471</v>
      </c>
      <c r="J114" s="840">
        <v>1591.7272525521498</v>
      </c>
      <c r="K114" s="811">
        <v>1436.3600965891931</v>
      </c>
      <c r="L114" s="824">
        <v>1472.6500813008122</v>
      </c>
      <c r="M114" s="841">
        <v>1181.1748716399902</v>
      </c>
      <c r="N114" s="811">
        <v>1101.3148200623414</v>
      </c>
      <c r="O114" s="811">
        <v>1085.7142857142858</v>
      </c>
      <c r="P114" s="812">
        <v>1044.5454545454545</v>
      </c>
      <c r="Q114" s="886">
        <v>895</v>
      </c>
      <c r="R114" s="891"/>
      <c r="S114" s="811"/>
      <c r="T114" s="812"/>
      <c r="U114" s="886"/>
      <c r="V114" s="891"/>
      <c r="W114" s="891"/>
      <c r="X114" s="894"/>
      <c r="Y114" s="886"/>
      <c r="Z114" s="891"/>
      <c r="AA114" s="891"/>
      <c r="AB114" s="894"/>
      <c r="AC114" s="841"/>
      <c r="AD114" s="811"/>
      <c r="AE114" s="811"/>
      <c r="AF114" s="812"/>
    </row>
    <row r="115" spans="1:32" ht="12.75" customHeight="1">
      <c r="A115" s="1232" t="str">
        <f t="shared" si="6"/>
        <v>100GbE</v>
      </c>
      <c r="B115" s="468" t="str">
        <f t="shared" si="7"/>
        <v>100 GbE LR4</v>
      </c>
      <c r="C115" s="130" t="str">
        <f t="shared" si="7"/>
        <v>10 km</v>
      </c>
      <c r="D115" s="241" t="str">
        <f t="shared" si="7"/>
        <v>QSFP28</v>
      </c>
      <c r="E115" s="851">
        <v>1391.3209327609748</v>
      </c>
      <c r="F115" s="852">
        <v>1336.21726560467</v>
      </c>
      <c r="G115" s="822">
        <v>1187.2554889683104</v>
      </c>
      <c r="H115" s="823">
        <v>1085.4399799871751</v>
      </c>
      <c r="I115" s="851">
        <v>1004.5372237568774</v>
      </c>
      <c r="J115" s="852">
        <v>920.0973581320111</v>
      </c>
      <c r="K115" s="811">
        <v>702.1312928584498</v>
      </c>
      <c r="L115" s="824">
        <v>709.18033843674459</v>
      </c>
      <c r="M115" s="853">
        <v>609.84641023664085</v>
      </c>
      <c r="N115" s="811">
        <v>539.74058813303077</v>
      </c>
      <c r="O115" s="811">
        <v>511.46971522120202</v>
      </c>
      <c r="P115" s="812">
        <v>489.9790256726327</v>
      </c>
      <c r="Q115" s="892">
        <v>451.64351730244357</v>
      </c>
      <c r="R115" s="891"/>
      <c r="S115" s="811"/>
      <c r="T115" s="812"/>
      <c r="U115" s="892"/>
      <c r="V115" s="891"/>
      <c r="W115" s="891"/>
      <c r="X115" s="894"/>
      <c r="Y115" s="892"/>
      <c r="Z115" s="891"/>
      <c r="AA115" s="891"/>
      <c r="AB115" s="894"/>
      <c r="AC115" s="853"/>
      <c r="AD115" s="811"/>
      <c r="AE115" s="811"/>
      <c r="AF115" s="812"/>
    </row>
    <row r="116" spans="1:32" ht="12.75" customHeight="1">
      <c r="A116" s="1232" t="str">
        <f t="shared" si="6"/>
        <v>100GbE</v>
      </c>
      <c r="B116" s="469" t="str">
        <f>B52</f>
        <v>100 GbE 4WDM10</v>
      </c>
      <c r="C116" s="470" t="str">
        <f>C52</f>
        <v>10 km</v>
      </c>
      <c r="D116" s="110" t="s">
        <v>213</v>
      </c>
      <c r="E116" s="854"/>
      <c r="F116" s="855"/>
      <c r="G116" s="822"/>
      <c r="H116" s="856"/>
      <c r="I116" s="854"/>
      <c r="J116" s="855"/>
      <c r="K116" s="811"/>
      <c r="L116" s="857"/>
      <c r="M116" s="841">
        <v>280.67594678385183</v>
      </c>
      <c r="N116" s="811">
        <v>315.38524285476637</v>
      </c>
      <c r="O116" s="811">
        <v>380.12347559921733</v>
      </c>
      <c r="P116" s="812">
        <v>411.20864237135589</v>
      </c>
      <c r="Q116" s="886">
        <v>193.79699248120301</v>
      </c>
      <c r="R116" s="891"/>
      <c r="S116" s="811"/>
      <c r="T116" s="812"/>
      <c r="U116" s="886"/>
      <c r="V116" s="891"/>
      <c r="W116" s="891"/>
      <c r="X116" s="894"/>
      <c r="Y116" s="886"/>
      <c r="Z116" s="891"/>
      <c r="AA116" s="891"/>
      <c r="AB116" s="894"/>
      <c r="AC116" s="841"/>
      <c r="AD116" s="811"/>
      <c r="AE116" s="811"/>
      <c r="AF116" s="812"/>
    </row>
    <row r="117" spans="1:32" ht="12.75" customHeight="1">
      <c r="A117" s="1232" t="s">
        <v>212</v>
      </c>
      <c r="B117" s="260" t="str">
        <f t="shared" ref="B117:B125" si="8">B53</f>
        <v>100 GbE 4WDM20</v>
      </c>
      <c r="C117" s="130" t="s">
        <v>374</v>
      </c>
      <c r="D117" s="110" t="s">
        <v>213</v>
      </c>
      <c r="E117" s="854"/>
      <c r="F117" s="855"/>
      <c r="G117" s="822"/>
      <c r="H117" s="856"/>
      <c r="I117" s="854"/>
      <c r="J117" s="855"/>
      <c r="K117" s="811"/>
      <c r="L117" s="857"/>
      <c r="M117" s="853">
        <v>0</v>
      </c>
      <c r="N117" s="811">
        <v>0</v>
      </c>
      <c r="O117" s="811">
        <v>0</v>
      </c>
      <c r="P117" s="812">
        <v>0</v>
      </c>
      <c r="Q117" s="892"/>
      <c r="R117" s="891"/>
      <c r="S117" s="811"/>
      <c r="T117" s="812"/>
      <c r="U117" s="892"/>
      <c r="V117" s="891"/>
      <c r="W117" s="891"/>
      <c r="X117" s="894"/>
      <c r="Y117" s="892"/>
      <c r="Z117" s="891"/>
      <c r="AA117" s="891"/>
      <c r="AB117" s="894"/>
      <c r="AC117" s="853"/>
      <c r="AD117" s="811"/>
      <c r="AE117" s="811"/>
      <c r="AF117" s="812"/>
    </row>
    <row r="118" spans="1:32" ht="13.05" customHeight="1">
      <c r="A118" s="1232" t="str">
        <f t="shared" ref="A118:A128" si="9">A54</f>
        <v>100GbE</v>
      </c>
      <c r="B118" s="1262" t="str">
        <f t="shared" si="8"/>
        <v>100 GbE ER4 - Lite</v>
      </c>
      <c r="C118" s="1255" t="str">
        <f t="shared" ref="C118:D125" si="10">C54</f>
        <v>40 km</v>
      </c>
      <c r="D118" s="1256" t="str">
        <f t="shared" si="10"/>
        <v>All</v>
      </c>
      <c r="E118" s="858"/>
      <c r="F118" s="859"/>
      <c r="G118" s="822">
        <v>3717.5141242937852</v>
      </c>
      <c r="H118" s="856">
        <v>3364.6616541353383</v>
      </c>
      <c r="I118" s="858">
        <v>2895.3216374269005</v>
      </c>
      <c r="J118" s="859">
        <v>2774.247491638796</v>
      </c>
      <c r="K118" s="811">
        <v>3495.3089802130899</v>
      </c>
      <c r="L118" s="857">
        <v>3245.7923784494074</v>
      </c>
      <c r="M118" s="825">
        <v>2478.5694685023614</v>
      </c>
      <c r="N118" s="811">
        <v>2327.7167572592657</v>
      </c>
      <c r="O118" s="811">
        <v>2210.9789596907012</v>
      </c>
      <c r="P118" s="812">
        <v>2167.0552788155246</v>
      </c>
      <c r="Q118" s="1133">
        <v>1864.9901908328884</v>
      </c>
      <c r="R118" s="891"/>
      <c r="S118" s="811"/>
      <c r="T118" s="812"/>
      <c r="U118" s="1133"/>
      <c r="V118" s="891"/>
      <c r="W118" s="891"/>
      <c r="X118" s="894"/>
      <c r="Y118" s="1133"/>
      <c r="Z118" s="891"/>
      <c r="AA118" s="891"/>
      <c r="AB118" s="894"/>
      <c r="AC118" s="825"/>
      <c r="AD118" s="811"/>
      <c r="AE118" s="811"/>
      <c r="AF118" s="812"/>
    </row>
    <row r="119" spans="1:32" ht="13.05" customHeight="1" thickBot="1">
      <c r="A119" s="1233" t="str">
        <f t="shared" si="9"/>
        <v>100GbE</v>
      </c>
      <c r="B119" s="1417" t="str">
        <f t="shared" si="8"/>
        <v>100 GbE ER4</v>
      </c>
      <c r="C119" s="771" t="str">
        <f t="shared" si="10"/>
        <v>40 km</v>
      </c>
      <c r="D119" s="1418" t="str">
        <f t="shared" si="10"/>
        <v>All</v>
      </c>
      <c r="E119" s="845">
        <v>7448.5769500888055</v>
      </c>
      <c r="F119" s="846">
        <v>7343.3365020326219</v>
      </c>
      <c r="G119" s="827">
        <v>5914.6306653060537</v>
      </c>
      <c r="H119" s="828">
        <v>5676.4566945630295</v>
      </c>
      <c r="I119" s="845">
        <v>4475.6999780565766</v>
      </c>
      <c r="J119" s="846">
        <v>4284.94171019224</v>
      </c>
      <c r="K119" s="829">
        <v>5707.7048665620068</v>
      </c>
      <c r="L119" s="830">
        <v>5187.6102745792723</v>
      </c>
      <c r="M119" s="847">
        <v>3861.1537180229238</v>
      </c>
      <c r="N119" s="829">
        <v>3839.336236893238</v>
      </c>
      <c r="O119" s="829">
        <v>3822.1298203584902</v>
      </c>
      <c r="P119" s="832">
        <v>3990.940872785111</v>
      </c>
      <c r="Q119" s="1138">
        <v>2615.256588903072</v>
      </c>
      <c r="R119" s="1135"/>
      <c r="S119" s="829"/>
      <c r="T119" s="832"/>
      <c r="U119" s="1138"/>
      <c r="V119" s="1135"/>
      <c r="W119" s="829"/>
      <c r="X119" s="832"/>
      <c r="Y119" s="1138"/>
      <c r="Z119" s="1135"/>
      <c r="AA119" s="829"/>
      <c r="AB119" s="832"/>
      <c r="AC119" s="847"/>
      <c r="AD119" s="829"/>
      <c r="AE119" s="829"/>
      <c r="AF119" s="832"/>
    </row>
    <row r="120" spans="1:32" ht="12.75" customHeight="1">
      <c r="A120" s="1234" t="str">
        <f t="shared" si="9"/>
        <v>200GbE</v>
      </c>
      <c r="B120" s="472" t="str">
        <f t="shared" si="8"/>
        <v>200GbE</v>
      </c>
      <c r="C120" s="476" t="str">
        <f t="shared" si="10"/>
        <v>100 m</v>
      </c>
      <c r="D120" s="492" t="str">
        <f t="shared" si="10"/>
        <v>all</v>
      </c>
      <c r="E120" s="839"/>
      <c r="F120" s="840"/>
      <c r="G120" s="822"/>
      <c r="H120" s="823"/>
      <c r="I120" s="839"/>
      <c r="J120" s="840"/>
      <c r="K120" s="810"/>
      <c r="L120" s="824"/>
      <c r="M120" s="860"/>
      <c r="N120" s="861"/>
      <c r="O120" s="861"/>
      <c r="P120" s="820"/>
      <c r="Q120" s="860"/>
      <c r="R120" s="1125"/>
      <c r="S120" s="808"/>
      <c r="T120" s="809"/>
      <c r="U120" s="860"/>
      <c r="V120" s="1125"/>
      <c r="W120" s="808"/>
      <c r="X120" s="809"/>
      <c r="Y120" s="860"/>
      <c r="Z120" s="1125"/>
      <c r="AA120" s="808"/>
      <c r="AB120" s="809"/>
      <c r="AC120" s="838"/>
      <c r="AD120" s="808"/>
      <c r="AE120" s="808"/>
      <c r="AF120" s="809"/>
    </row>
    <row r="121" spans="1:32" ht="12.75" customHeight="1" thickBot="1">
      <c r="A121" s="1233" t="str">
        <f t="shared" si="9"/>
        <v>200GbE</v>
      </c>
      <c r="B121" s="474" t="str">
        <f t="shared" si="8"/>
        <v>200GbE</v>
      </c>
      <c r="C121" s="474" t="str">
        <f t="shared" si="10"/>
        <v>2 km</v>
      </c>
      <c r="D121" s="493" t="str">
        <f t="shared" si="10"/>
        <v>all</v>
      </c>
      <c r="E121" s="839"/>
      <c r="F121" s="840"/>
      <c r="G121" s="822"/>
      <c r="H121" s="823"/>
      <c r="I121" s="839"/>
      <c r="J121" s="840"/>
      <c r="K121" s="810"/>
      <c r="L121" s="824"/>
      <c r="M121" s="841">
        <v>811.32075471698113</v>
      </c>
      <c r="N121" s="811">
        <v>661.6541353383459</v>
      </c>
      <c r="O121" s="811">
        <v>632.25806451612902</v>
      </c>
      <c r="P121" s="812">
        <v>446.3855421686747</v>
      </c>
      <c r="Q121" s="886">
        <v>200</v>
      </c>
      <c r="R121" s="891"/>
      <c r="S121" s="811"/>
      <c r="T121" s="812"/>
      <c r="U121" s="886"/>
      <c r="V121" s="891"/>
      <c r="W121" s="811"/>
      <c r="X121" s="812"/>
      <c r="Y121" s="886"/>
      <c r="Z121" s="891"/>
      <c r="AA121" s="811"/>
      <c r="AB121" s="812"/>
      <c r="AC121" s="841"/>
      <c r="AD121" s="811"/>
      <c r="AE121" s="811"/>
      <c r="AF121" s="812"/>
    </row>
    <row r="122" spans="1:32" ht="12.75" customHeight="1">
      <c r="A122" s="1232" t="str">
        <f t="shared" si="9"/>
        <v>400GbE</v>
      </c>
      <c r="B122" s="701" t="str">
        <f t="shared" si="8"/>
        <v>400GbE SR8</v>
      </c>
      <c r="C122" s="701" t="str">
        <f t="shared" si="10"/>
        <v>100 m</v>
      </c>
      <c r="D122" s="490" t="str">
        <f t="shared" si="10"/>
        <v>all</v>
      </c>
      <c r="E122" s="839"/>
      <c r="F122" s="840"/>
      <c r="G122" s="822"/>
      <c r="H122" s="823"/>
      <c r="I122" s="839"/>
      <c r="J122" s="840"/>
      <c r="K122" s="863"/>
      <c r="L122" s="824"/>
      <c r="M122" s="864">
        <v>576.23762376237619</v>
      </c>
      <c r="N122" s="818">
        <v>550.79575596816971</v>
      </c>
      <c r="O122" s="818">
        <v>520.93023255813955</v>
      </c>
      <c r="P122" s="819">
        <v>430.17751479289939</v>
      </c>
      <c r="Q122" s="849">
        <v>452.40641711229949</v>
      </c>
      <c r="R122" s="1131"/>
      <c r="S122" s="818"/>
      <c r="T122" s="819"/>
      <c r="U122" s="849"/>
      <c r="V122" s="1131"/>
      <c r="W122" s="818"/>
      <c r="X122" s="819"/>
      <c r="Y122" s="849"/>
      <c r="Z122" s="1131"/>
      <c r="AA122" s="818"/>
      <c r="AB122" s="819"/>
      <c r="AC122" s="864"/>
      <c r="AD122" s="818"/>
      <c r="AE122" s="818"/>
      <c r="AF122" s="819"/>
    </row>
    <row r="123" spans="1:32" ht="12.75" customHeight="1">
      <c r="A123" s="1232" t="str">
        <f t="shared" si="9"/>
        <v>400GbE</v>
      </c>
      <c r="B123" s="1255" t="str">
        <f t="shared" si="8"/>
        <v>400GbE SR4.2</v>
      </c>
      <c r="C123" s="260" t="str">
        <f t="shared" si="10"/>
        <v>100 m</v>
      </c>
      <c r="D123" s="490" t="str">
        <f t="shared" si="10"/>
        <v>all</v>
      </c>
      <c r="E123" s="839"/>
      <c r="F123" s="840"/>
      <c r="G123" s="822"/>
      <c r="H123" s="823"/>
      <c r="I123" s="839"/>
      <c r="J123" s="840"/>
      <c r="K123" s="863"/>
      <c r="L123" s="824"/>
      <c r="M123" s="838"/>
      <c r="N123" s="808"/>
      <c r="O123" s="808"/>
      <c r="P123" s="809"/>
      <c r="Q123" s="860">
        <v>0</v>
      </c>
      <c r="R123" s="1125"/>
      <c r="S123" s="808"/>
      <c r="T123" s="809"/>
      <c r="U123" s="860"/>
      <c r="V123" s="1125"/>
      <c r="W123" s="1125"/>
      <c r="X123" s="1126"/>
      <c r="Y123" s="860"/>
      <c r="Z123" s="1125"/>
      <c r="AA123" s="1125"/>
      <c r="AB123" s="1126"/>
      <c r="AC123" s="838"/>
      <c r="AD123" s="808"/>
      <c r="AE123" s="808"/>
      <c r="AF123" s="809"/>
    </row>
    <row r="124" spans="1:32" ht="12.75" customHeight="1">
      <c r="A124" s="1232" t="str">
        <f t="shared" si="9"/>
        <v>400GbE</v>
      </c>
      <c r="B124" s="1255" t="str">
        <f t="shared" si="8"/>
        <v>400GbE DR4</v>
      </c>
      <c r="C124" s="260" t="str">
        <f t="shared" si="10"/>
        <v>0.5, 2 km</v>
      </c>
      <c r="D124" s="490" t="str">
        <f t="shared" si="10"/>
        <v>all</v>
      </c>
      <c r="E124" s="839"/>
      <c r="F124" s="840"/>
      <c r="G124" s="822"/>
      <c r="H124" s="823"/>
      <c r="I124" s="839"/>
      <c r="J124" s="840"/>
      <c r="K124" s="863"/>
      <c r="L124" s="824"/>
      <c r="M124" s="841">
        <v>981.38310853530038</v>
      </c>
      <c r="N124" s="811">
        <v>979.52214302191464</v>
      </c>
      <c r="O124" s="811">
        <v>816.74876847290636</v>
      </c>
      <c r="P124" s="812">
        <v>758.17610062893084</v>
      </c>
      <c r="Q124" s="886">
        <v>704.72581767944473</v>
      </c>
      <c r="R124" s="891"/>
      <c r="S124" s="811"/>
      <c r="T124" s="812"/>
      <c r="U124" s="886"/>
      <c r="V124" s="891"/>
      <c r="W124" s="891"/>
      <c r="X124" s="894"/>
      <c r="Y124" s="886"/>
      <c r="Z124" s="891"/>
      <c r="AA124" s="891"/>
      <c r="AB124" s="894"/>
      <c r="AC124" s="841"/>
      <c r="AD124" s="811"/>
      <c r="AE124" s="811"/>
      <c r="AF124" s="812"/>
    </row>
    <row r="125" spans="1:32" ht="13.05" customHeight="1" thickBot="1">
      <c r="A125" s="1232" t="str">
        <f t="shared" si="9"/>
        <v>2x200GbE</v>
      </c>
      <c r="B125" s="1255" t="str">
        <f t="shared" si="8"/>
        <v>2x200GbE</v>
      </c>
      <c r="C125" s="260" t="str">
        <f t="shared" si="10"/>
        <v>2 km</v>
      </c>
      <c r="D125" s="490" t="str">
        <f t="shared" si="10"/>
        <v>OSFP</v>
      </c>
      <c r="E125" s="826"/>
      <c r="F125" s="827"/>
      <c r="G125" s="827"/>
      <c r="H125" s="828"/>
      <c r="I125" s="826"/>
      <c r="J125" s="827"/>
      <c r="K125" s="816"/>
      <c r="L125" s="830"/>
      <c r="M125" s="862">
        <v>1333.3333333333333</v>
      </c>
      <c r="N125" s="814">
        <v>1308.3333333333333</v>
      </c>
      <c r="O125" s="814">
        <v>840.90909090909088</v>
      </c>
      <c r="P125" s="815">
        <v>764.28571428571433</v>
      </c>
      <c r="Q125" s="1137">
        <v>729</v>
      </c>
      <c r="R125" s="1129"/>
      <c r="S125" s="814"/>
      <c r="T125" s="815"/>
      <c r="U125" s="1137"/>
      <c r="V125" s="1129"/>
      <c r="W125" s="1129"/>
      <c r="X125" s="1130"/>
      <c r="Y125" s="1137"/>
      <c r="Z125" s="1129"/>
      <c r="AA125" s="1129"/>
      <c r="AB125" s="1130"/>
      <c r="AC125" s="862"/>
      <c r="AD125" s="814"/>
      <c r="AE125" s="814"/>
      <c r="AF125" s="815"/>
    </row>
    <row r="126" spans="1:32" ht="12.75" customHeight="1">
      <c r="A126" s="1232" t="str">
        <f t="shared" si="9"/>
        <v>400GbE</v>
      </c>
      <c r="B126" s="1255" t="s">
        <v>406</v>
      </c>
      <c r="C126" s="260" t="s">
        <v>183</v>
      </c>
      <c r="D126" s="490" t="str">
        <f>D62</f>
        <v>all</v>
      </c>
      <c r="E126" s="865"/>
      <c r="F126" s="866"/>
      <c r="G126" s="859"/>
      <c r="H126" s="856"/>
      <c r="I126" s="867"/>
      <c r="J126" s="866"/>
      <c r="K126" s="843"/>
      <c r="L126" s="857"/>
      <c r="M126" s="841">
        <v>1412.2047244094488</v>
      </c>
      <c r="N126" s="811">
        <v>1463.9768762857232</v>
      </c>
      <c r="O126" s="811">
        <v>1526.4923386086373</v>
      </c>
      <c r="P126" s="812">
        <v>1604.5090287550829</v>
      </c>
      <c r="Q126" s="886">
        <v>1262.3700516265033</v>
      </c>
      <c r="R126" s="891"/>
      <c r="S126" s="811"/>
      <c r="T126" s="812"/>
      <c r="U126" s="886"/>
      <c r="V126" s="891"/>
      <c r="W126" s="891"/>
      <c r="X126" s="894"/>
      <c r="Y126" s="886"/>
      <c r="Z126" s="891"/>
      <c r="AA126" s="891"/>
      <c r="AB126" s="894"/>
      <c r="AC126" s="841"/>
      <c r="AD126" s="811"/>
      <c r="AE126" s="811"/>
      <c r="AF126" s="812"/>
    </row>
    <row r="127" spans="1:32" ht="12.75" customHeight="1">
      <c r="A127" s="1232" t="str">
        <f t="shared" si="9"/>
        <v>400GbE</v>
      </c>
      <c r="B127" s="701" t="s">
        <v>407</v>
      </c>
      <c r="C127" s="701" t="s">
        <v>189</v>
      </c>
      <c r="D127" s="490" t="str">
        <f>D63</f>
        <v>all</v>
      </c>
      <c r="E127" s="865"/>
      <c r="F127" s="866"/>
      <c r="G127" s="859"/>
      <c r="H127" s="856"/>
      <c r="I127" s="867"/>
      <c r="J127" s="866"/>
      <c r="K127" s="843"/>
      <c r="L127" s="857"/>
      <c r="M127" s="841">
        <v>7953.9418212478895</v>
      </c>
      <c r="N127" s="811">
        <v>7586.5609060906108</v>
      </c>
      <c r="O127" s="811">
        <v>6748.7179487179483</v>
      </c>
      <c r="P127" s="812">
        <v>6689.6551724137935</v>
      </c>
      <c r="Q127" s="886">
        <v>6105.5555555555557</v>
      </c>
      <c r="R127" s="891"/>
      <c r="S127" s="811"/>
      <c r="T127" s="812"/>
      <c r="U127" s="886"/>
      <c r="V127" s="891"/>
      <c r="W127" s="891"/>
      <c r="X127" s="894"/>
      <c r="Y127" s="886"/>
      <c r="Z127" s="891"/>
      <c r="AA127" s="891"/>
      <c r="AB127" s="894"/>
      <c r="AC127" s="841"/>
      <c r="AD127" s="811"/>
      <c r="AE127" s="811"/>
      <c r="AF127" s="812"/>
    </row>
    <row r="128" spans="1:32" ht="12.75" customHeight="1">
      <c r="A128" s="1232" t="str">
        <f t="shared" si="9"/>
        <v>400GbE</v>
      </c>
      <c r="B128" s="701" t="s">
        <v>408</v>
      </c>
      <c r="C128" s="266" t="s">
        <v>189</v>
      </c>
      <c r="D128" s="490" t="str">
        <f>D64</f>
        <v>all</v>
      </c>
      <c r="E128" s="865"/>
      <c r="F128" s="866"/>
      <c r="G128" s="859"/>
      <c r="H128" s="856"/>
      <c r="I128" s="867"/>
      <c r="J128" s="866"/>
      <c r="K128" s="843"/>
      <c r="L128" s="857"/>
      <c r="M128" s="841">
        <v>1600</v>
      </c>
      <c r="N128" s="811">
        <v>1533.3333333333333</v>
      </c>
      <c r="O128" s="811">
        <v>2777.7777777777778</v>
      </c>
      <c r="P128" s="812">
        <v>2557.1428571428573</v>
      </c>
      <c r="Q128" s="886">
        <v>2200</v>
      </c>
      <c r="R128" s="891"/>
      <c r="S128" s="811"/>
      <c r="T128" s="812"/>
      <c r="U128" s="886"/>
      <c r="V128" s="891"/>
      <c r="W128" s="891"/>
      <c r="X128" s="894"/>
      <c r="Y128" s="886"/>
      <c r="Z128" s="891"/>
      <c r="AA128" s="891"/>
      <c r="AB128" s="894"/>
      <c r="AC128" s="841"/>
      <c r="AD128" s="811"/>
      <c r="AE128" s="811"/>
      <c r="AF128" s="812"/>
    </row>
    <row r="129" spans="1:32" ht="13.05" customHeight="1" thickBot="1">
      <c r="A129" s="1366" t="s">
        <v>511</v>
      </c>
      <c r="B129" s="474" t="s">
        <v>512</v>
      </c>
      <c r="C129" s="474" t="s">
        <v>187</v>
      </c>
      <c r="D129" s="493" t="s">
        <v>187</v>
      </c>
      <c r="E129" s="826"/>
      <c r="F129" s="827"/>
      <c r="G129" s="827"/>
      <c r="H129" s="828"/>
      <c r="I129" s="826"/>
      <c r="J129" s="827"/>
      <c r="K129" s="829">
        <v>950.55663290957409</v>
      </c>
      <c r="L129" s="830">
        <v>1107.5947299651568</v>
      </c>
      <c r="M129" s="868"/>
      <c r="N129" s="829"/>
      <c r="O129" s="869"/>
      <c r="P129" s="817"/>
      <c r="Q129" s="1134">
        <v>0</v>
      </c>
      <c r="R129" s="1135"/>
      <c r="S129" s="829"/>
      <c r="T129" s="832"/>
      <c r="U129" s="1134"/>
      <c r="V129" s="1135"/>
      <c r="W129" s="1135"/>
      <c r="X129" s="1136"/>
      <c r="Y129" s="1134"/>
      <c r="Z129" s="1135"/>
      <c r="AA129" s="1135"/>
      <c r="AB129" s="1136"/>
      <c r="AC129" s="831"/>
      <c r="AD129" s="829"/>
      <c r="AE129" s="829"/>
      <c r="AF129" s="832"/>
    </row>
    <row r="130" spans="1:32" ht="13.8" thickBot="1">
      <c r="A130" s="111" t="str">
        <f t="shared" ref="A130:D131" si="11">A66</f>
        <v>Ethernet</v>
      </c>
      <c r="B130" s="269" t="str">
        <f t="shared" si="11"/>
        <v>all</v>
      </c>
      <c r="C130" s="259" t="str">
        <f t="shared" si="11"/>
        <v>Miscellaneous</v>
      </c>
      <c r="D130" s="258" t="str">
        <f t="shared" si="11"/>
        <v>all</v>
      </c>
      <c r="E130" s="489">
        <v>142.65787753533431</v>
      </c>
      <c r="F130" s="257">
        <v>138.0985605907108</v>
      </c>
      <c r="G130" s="822">
        <v>138</v>
      </c>
      <c r="H130" s="824">
        <v>138</v>
      </c>
      <c r="I130" s="489">
        <v>52.525344666735798</v>
      </c>
      <c r="J130" s="257">
        <v>87.804805823048042</v>
      </c>
      <c r="K130" s="870">
        <v>43.1981116145773</v>
      </c>
      <c r="L130" s="824">
        <v>29.059262343868614</v>
      </c>
      <c r="M130" s="1428">
        <v>12.806410252757377</v>
      </c>
      <c r="N130" s="1415">
        <v>13.805852572380246</v>
      </c>
      <c r="O130" s="1415">
        <v>11.064481747934986</v>
      </c>
      <c r="P130" s="1429">
        <v>10.849090007789817</v>
      </c>
      <c r="Q130" s="1428">
        <v>69.852941176470594</v>
      </c>
      <c r="R130" s="1415"/>
      <c r="S130" s="1415"/>
      <c r="T130" s="1429"/>
      <c r="U130" s="1428"/>
      <c r="V130" s="1415"/>
      <c r="W130" s="1415"/>
      <c r="X130" s="1429"/>
      <c r="Y130" s="1428"/>
      <c r="Z130" s="1415"/>
      <c r="AA130" s="1415"/>
      <c r="AB130" s="1429"/>
      <c r="AC130" s="1828"/>
      <c r="AD130" s="1415"/>
      <c r="AE130" s="1415"/>
      <c r="AF130" s="1429"/>
    </row>
    <row r="131" spans="1:32" ht="13.8" thickBot="1">
      <c r="A131" s="507" t="str">
        <f t="shared" si="11"/>
        <v>Total - EXCLUDING GigE over Copper</v>
      </c>
      <c r="B131" s="114"/>
      <c r="C131" s="114"/>
      <c r="D131" s="506"/>
      <c r="E131" s="871">
        <f t="shared" ref="E131:T131" si="12">E195/E67</f>
        <v>82.307906991551647</v>
      </c>
      <c r="F131" s="798">
        <f t="shared" si="12"/>
        <v>89.124092518152352</v>
      </c>
      <c r="G131" s="798">
        <f t="shared" si="12"/>
        <v>87.224664031270251</v>
      </c>
      <c r="H131" s="798">
        <f t="shared" si="12"/>
        <v>83.853243109231045</v>
      </c>
      <c r="I131" s="871">
        <f t="shared" si="12"/>
        <v>73.747559551392584</v>
      </c>
      <c r="J131" s="798">
        <f t="shared" si="12"/>
        <v>69.050548638919651</v>
      </c>
      <c r="K131" s="872">
        <f t="shared" si="12"/>
        <v>58.168335534892584</v>
      </c>
      <c r="L131" s="797">
        <f t="shared" si="12"/>
        <v>57.779852856601096</v>
      </c>
      <c r="M131" s="1430">
        <f t="shared" si="12"/>
        <v>57.274678404724554</v>
      </c>
      <c r="N131" s="1431">
        <f t="shared" si="12"/>
        <v>57.971181907821958</v>
      </c>
      <c r="O131" s="1431">
        <f t="shared" si="12"/>
        <v>58.443782742303803</v>
      </c>
      <c r="P131" s="1432">
        <f t="shared" si="12"/>
        <v>61.242628436826671</v>
      </c>
      <c r="Q131" s="1430">
        <f t="shared" si="12"/>
        <v>75.17187381291329</v>
      </c>
      <c r="R131" s="1431" t="e">
        <f t="shared" si="12"/>
        <v>#DIV/0!</v>
      </c>
      <c r="S131" s="1431" t="e">
        <f t="shared" si="12"/>
        <v>#DIV/0!</v>
      </c>
      <c r="T131" s="1432" t="e">
        <f t="shared" si="12"/>
        <v>#DIV/0!</v>
      </c>
      <c r="U131" s="1430"/>
      <c r="V131" s="1431"/>
      <c r="W131" s="1431"/>
      <c r="X131" s="1432"/>
      <c r="Y131" s="1430"/>
      <c r="Z131" s="1431"/>
      <c r="AA131" s="1431"/>
      <c r="AB131" s="1432"/>
      <c r="AC131" s="1727"/>
      <c r="AD131" s="1728"/>
      <c r="AE131" s="1829"/>
      <c r="AF131" s="1830"/>
    </row>
    <row r="132" spans="1:32" ht="15.6">
      <c r="A132" s="806"/>
    </row>
    <row r="133" spans="1:32" ht="16.2" thickBot="1">
      <c r="E133" s="802"/>
      <c r="F133" s="802"/>
      <c r="G133" s="802"/>
      <c r="H133" s="802"/>
      <c r="I133" s="802"/>
      <c r="J133" s="802"/>
      <c r="K133" s="802"/>
      <c r="L133" s="802"/>
      <c r="M133" s="802"/>
      <c r="N133" s="802"/>
      <c r="O133" s="688"/>
      <c r="Q133" s="688"/>
      <c r="R133" s="13"/>
      <c r="S133" s="688"/>
      <c r="T133" s="13"/>
      <c r="U133" s="13"/>
      <c r="V133" s="13"/>
      <c r="Y133" s="13"/>
      <c r="Z133" s="13"/>
    </row>
    <row r="134" spans="1:32" ht="16.2" thickBot="1">
      <c r="A134" s="518" t="str">
        <f>$A$6</f>
        <v>Ethernet  transceivers</v>
      </c>
      <c r="I134" s="1231" t="s">
        <v>472</v>
      </c>
      <c r="Q134" s="1231" t="s">
        <v>165</v>
      </c>
      <c r="Y134" s="1231" t="s">
        <v>165</v>
      </c>
      <c r="AC134" s="1"/>
      <c r="AD134" s="1"/>
      <c r="AE134" s="1857" t="s">
        <v>612</v>
      </c>
      <c r="AF134" s="1710"/>
    </row>
    <row r="135" spans="1:32" ht="13.8" thickBot="1">
      <c r="A135" s="475" t="s">
        <v>166</v>
      </c>
      <c r="B135" s="467" t="s">
        <v>182</v>
      </c>
      <c r="C135" s="467" t="s">
        <v>176</v>
      </c>
      <c r="D135" s="471" t="s">
        <v>177</v>
      </c>
      <c r="E135" s="485" t="s">
        <v>100</v>
      </c>
      <c r="F135" s="73" t="s">
        <v>101</v>
      </c>
      <c r="G135" s="73" t="s">
        <v>102</v>
      </c>
      <c r="H135" s="272" t="s">
        <v>103</v>
      </c>
      <c r="I135" s="485" t="str">
        <f>I7</f>
        <v>1Q 18</v>
      </c>
      <c r="J135" s="73" t="str">
        <f>J7</f>
        <v>2Q 18</v>
      </c>
      <c r="K135" s="73" t="str">
        <f>K7</f>
        <v>3Q 18</v>
      </c>
      <c r="L135" s="93" t="str">
        <f>L7</f>
        <v>4Q 18</v>
      </c>
      <c r="M135" s="72" t="str">
        <f>M71</f>
        <v>1Q 19</v>
      </c>
      <c r="N135" s="73" t="str">
        <f>N71</f>
        <v>2Q 19</v>
      </c>
      <c r="O135" s="697" t="s">
        <v>110</v>
      </c>
      <c r="P135" s="76" t="s">
        <v>111</v>
      </c>
      <c r="Q135" s="1203" t="s">
        <v>112</v>
      </c>
      <c r="R135" s="73" t="s">
        <v>113</v>
      </c>
      <c r="S135" s="73" t="s">
        <v>114</v>
      </c>
      <c r="T135" s="76" t="s">
        <v>115</v>
      </c>
      <c r="U135" s="1203" t="s">
        <v>463</v>
      </c>
      <c r="V135" s="73" t="s">
        <v>464</v>
      </c>
      <c r="W135" s="73" t="s">
        <v>465</v>
      </c>
      <c r="X135" s="76" t="s">
        <v>466</v>
      </c>
      <c r="Y135" s="1203" t="s">
        <v>467</v>
      </c>
      <c r="Z135" s="73" t="s">
        <v>468</v>
      </c>
      <c r="AA135" s="73" t="str">
        <f t="shared" ref="AA135:AB135" si="13">AA7</f>
        <v>3Q 22</v>
      </c>
      <c r="AB135" s="76" t="str">
        <f t="shared" si="13"/>
        <v>4Q 22</v>
      </c>
      <c r="AC135" s="1858" t="s">
        <v>568</v>
      </c>
      <c r="AD135" s="76" t="s">
        <v>594</v>
      </c>
      <c r="AE135" s="1372" t="s">
        <v>595</v>
      </c>
      <c r="AF135" s="462" t="s">
        <v>596</v>
      </c>
    </row>
    <row r="136" spans="1:32" ht="27" thickBot="1">
      <c r="A136" s="504" t="str">
        <f t="shared" ref="A136:D155" si="14">A8</f>
        <v>GigE over copper</v>
      </c>
      <c r="B136" s="504" t="str">
        <f t="shared" si="14"/>
        <v>1000BASE-T</v>
      </c>
      <c r="C136" s="504" t="str">
        <f t="shared" si="14"/>
        <v xml:space="preserve">100m </v>
      </c>
      <c r="D136" s="504" t="str">
        <f t="shared" si="14"/>
        <v>all</v>
      </c>
      <c r="E136" s="486">
        <f t="shared" ref="E136:Z136" si="15">E8*E72</f>
        <v>13624927</v>
      </c>
      <c r="F136" s="398">
        <f t="shared" si="15"/>
        <v>15078642</v>
      </c>
      <c r="G136" s="398">
        <f t="shared" si="15"/>
        <v>11714615.999999996</v>
      </c>
      <c r="H136" s="399">
        <f t="shared" si="15"/>
        <v>11262614.999999994</v>
      </c>
      <c r="I136" s="486">
        <f t="shared" si="15"/>
        <v>11085093.999999985</v>
      </c>
      <c r="J136" s="398">
        <f t="shared" si="15"/>
        <v>16689440.000000024</v>
      </c>
      <c r="K136" s="398">
        <f t="shared" si="15"/>
        <v>13432214.060000006</v>
      </c>
      <c r="L136" s="703">
        <f t="shared" si="15"/>
        <v>13378364.319999995</v>
      </c>
      <c r="M136" s="726">
        <f t="shared" si="15"/>
        <v>12807289.999999996</v>
      </c>
      <c r="N136" s="726">
        <f t="shared" si="15"/>
        <v>14008708.499999998</v>
      </c>
      <c r="O136" s="727">
        <f t="shared" si="15"/>
        <v>12001850</v>
      </c>
      <c r="P136" s="728">
        <f t="shared" si="15"/>
        <v>11035323</v>
      </c>
      <c r="Q136" s="1008">
        <f t="shared" si="15"/>
        <v>8950000</v>
      </c>
      <c r="R136" s="1008">
        <f t="shared" si="15"/>
        <v>0</v>
      </c>
      <c r="S136" s="1009">
        <f t="shared" si="15"/>
        <v>0</v>
      </c>
      <c r="T136" s="1010">
        <f t="shared" si="15"/>
        <v>0</v>
      </c>
      <c r="U136" s="1008">
        <f t="shared" si="15"/>
        <v>0</v>
      </c>
      <c r="V136" s="1008">
        <f t="shared" si="15"/>
        <v>0</v>
      </c>
      <c r="W136" s="1009">
        <f t="shared" si="15"/>
        <v>0</v>
      </c>
      <c r="X136" s="1010">
        <f t="shared" si="15"/>
        <v>0</v>
      </c>
      <c r="Y136" s="1008">
        <f t="shared" si="15"/>
        <v>0</v>
      </c>
      <c r="Z136" s="1008">
        <f t="shared" si="15"/>
        <v>0</v>
      </c>
      <c r="AA136" s="1009">
        <f t="shared" ref="AA136:AB164" si="16">AA8*AA72</f>
        <v>0</v>
      </c>
      <c r="AB136" s="1010">
        <f t="shared" si="16"/>
        <v>0</v>
      </c>
      <c r="AC136" s="1008"/>
      <c r="AD136" s="1008"/>
      <c r="AE136" s="1009"/>
      <c r="AF136" s="1010"/>
    </row>
    <row r="137" spans="1:32" ht="12.75" customHeight="1">
      <c r="A137" s="1235" t="str">
        <f t="shared" si="14"/>
        <v>1 GbE</v>
      </c>
      <c r="B137" s="110" t="str">
        <f t="shared" si="14"/>
        <v>GbE  single rate</v>
      </c>
      <c r="C137" s="110" t="str">
        <f t="shared" si="14"/>
        <v>500 m</v>
      </c>
      <c r="D137" s="110" t="str">
        <f t="shared" si="14"/>
        <v>SFP</v>
      </c>
      <c r="E137" s="487">
        <f t="shared" ref="E137:F156" si="17">E73*E9</f>
        <v>10493695</v>
      </c>
      <c r="F137" s="97">
        <f t="shared" si="17"/>
        <v>10082299</v>
      </c>
      <c r="G137" s="97">
        <f t="shared" ref="G137:H156" si="18">G9*G73</f>
        <v>8114103.0000000019</v>
      </c>
      <c r="H137" s="97">
        <f t="shared" si="18"/>
        <v>9708010.0000000019</v>
      </c>
      <c r="I137" s="487">
        <f t="shared" ref="I137:J156" si="19">I73*I9</f>
        <v>8825528.9999999944</v>
      </c>
      <c r="J137" s="97">
        <f t="shared" si="19"/>
        <v>9731766.0000000019</v>
      </c>
      <c r="K137" s="875">
        <f t="shared" ref="K137:L156" si="20">K9*K73</f>
        <v>11380428.810000002</v>
      </c>
      <c r="L137" s="704">
        <f t="shared" si="20"/>
        <v>10735213.229999999</v>
      </c>
      <c r="M137" s="729">
        <f t="shared" ref="M137:N156" si="21">M73*M9</f>
        <v>7458511.9999999981</v>
      </c>
      <c r="N137" s="876">
        <f t="shared" si="21"/>
        <v>6335791.0000000019</v>
      </c>
      <c r="O137" s="877">
        <f t="shared" ref="O137:Z137" si="22">O9*O73</f>
        <v>5209448</v>
      </c>
      <c r="P137" s="878">
        <f t="shared" si="22"/>
        <v>4475000</v>
      </c>
      <c r="Q137" s="722">
        <f t="shared" si="22"/>
        <v>5850350</v>
      </c>
      <c r="R137" s="818">
        <f t="shared" si="22"/>
        <v>0</v>
      </c>
      <c r="S137" s="1011">
        <f t="shared" si="22"/>
        <v>0</v>
      </c>
      <c r="T137" s="819">
        <f t="shared" si="22"/>
        <v>0</v>
      </c>
      <c r="U137" s="722">
        <f t="shared" si="22"/>
        <v>0</v>
      </c>
      <c r="V137" s="818">
        <f t="shared" si="22"/>
        <v>0</v>
      </c>
      <c r="W137" s="1011">
        <f t="shared" si="22"/>
        <v>0</v>
      </c>
      <c r="X137" s="819">
        <f t="shared" si="22"/>
        <v>0</v>
      </c>
      <c r="Y137" s="722">
        <f t="shared" si="22"/>
        <v>0</v>
      </c>
      <c r="Z137" s="818">
        <f t="shared" si="22"/>
        <v>0</v>
      </c>
      <c r="AA137" s="1011">
        <f t="shared" si="16"/>
        <v>0</v>
      </c>
      <c r="AB137" s="819">
        <f t="shared" si="16"/>
        <v>0</v>
      </c>
      <c r="AC137" s="722">
        <f>AC73*AC9</f>
        <v>0</v>
      </c>
      <c r="AD137" s="818">
        <f t="shared" ref="AD137:AF137" si="23">AD73*AD9</f>
        <v>0</v>
      </c>
      <c r="AE137" s="1011">
        <f t="shared" si="23"/>
        <v>0</v>
      </c>
      <c r="AF137" s="819">
        <f t="shared" si="23"/>
        <v>0</v>
      </c>
    </row>
    <row r="138" spans="1:32" ht="12.75" customHeight="1">
      <c r="A138" s="1235" t="str">
        <f t="shared" si="14"/>
        <v>1 GbE</v>
      </c>
      <c r="B138" s="110" t="str">
        <f t="shared" si="14"/>
        <v>GbE  single rate</v>
      </c>
      <c r="C138" s="110" t="str">
        <f t="shared" si="14"/>
        <v>10 km</v>
      </c>
      <c r="D138" s="110" t="str">
        <f t="shared" si="14"/>
        <v>SFP</v>
      </c>
      <c r="E138" s="487">
        <f t="shared" si="17"/>
        <v>14925919.297352668</v>
      </c>
      <c r="F138" s="97">
        <f t="shared" si="17"/>
        <v>15044765.524767566</v>
      </c>
      <c r="G138" s="97">
        <f t="shared" si="18"/>
        <v>14851303.942734631</v>
      </c>
      <c r="H138" s="97">
        <f t="shared" si="18"/>
        <v>17555171.435379047</v>
      </c>
      <c r="I138" s="487">
        <f t="shared" si="19"/>
        <v>15414063.999999994</v>
      </c>
      <c r="J138" s="97">
        <f t="shared" si="19"/>
        <v>17317351.000000007</v>
      </c>
      <c r="K138" s="875">
        <f t="shared" si="20"/>
        <v>15718868.679999996</v>
      </c>
      <c r="L138" s="704">
        <f t="shared" si="20"/>
        <v>14303248.400000004</v>
      </c>
      <c r="M138" s="730">
        <f t="shared" si="21"/>
        <v>16941639.800000004</v>
      </c>
      <c r="N138" s="822">
        <f t="shared" si="21"/>
        <v>15970018.499999996</v>
      </c>
      <c r="O138" s="875">
        <f t="shared" ref="O138:Z138" si="24">O10*O74</f>
        <v>14221670.762790699</v>
      </c>
      <c r="P138" s="879">
        <f t="shared" si="24"/>
        <v>15158067.018750001</v>
      </c>
      <c r="Q138" s="723">
        <f t="shared" si="24"/>
        <v>8162428.4627054352</v>
      </c>
      <c r="R138" s="811">
        <f t="shared" si="24"/>
        <v>0</v>
      </c>
      <c r="S138" s="807">
        <f t="shared" si="24"/>
        <v>0</v>
      </c>
      <c r="T138" s="812">
        <f t="shared" si="24"/>
        <v>0</v>
      </c>
      <c r="U138" s="723">
        <f t="shared" si="24"/>
        <v>0</v>
      </c>
      <c r="V138" s="811">
        <f t="shared" si="24"/>
        <v>0</v>
      </c>
      <c r="W138" s="807">
        <f t="shared" si="24"/>
        <v>0</v>
      </c>
      <c r="X138" s="812">
        <f t="shared" si="24"/>
        <v>0</v>
      </c>
      <c r="Y138" s="723">
        <f t="shared" si="24"/>
        <v>0</v>
      </c>
      <c r="Z138" s="811">
        <f t="shared" si="24"/>
        <v>0</v>
      </c>
      <c r="AA138" s="807">
        <f t="shared" si="16"/>
        <v>0</v>
      </c>
      <c r="AB138" s="812">
        <f t="shared" si="16"/>
        <v>0</v>
      </c>
      <c r="AC138" s="723">
        <f t="shared" ref="AC138:AF193" si="25">AC74*AC10</f>
        <v>0</v>
      </c>
      <c r="AD138" s="811">
        <f t="shared" si="25"/>
        <v>0</v>
      </c>
      <c r="AE138" s="807">
        <f t="shared" si="25"/>
        <v>0</v>
      </c>
      <c r="AF138" s="812">
        <f t="shared" si="25"/>
        <v>0</v>
      </c>
    </row>
    <row r="139" spans="1:32" ht="12.75" customHeight="1">
      <c r="A139" s="1235" t="str">
        <f t="shared" si="14"/>
        <v>1 GbE</v>
      </c>
      <c r="B139" s="110" t="str">
        <f t="shared" si="14"/>
        <v>GbE  single rate</v>
      </c>
      <c r="C139" s="110" t="str">
        <f t="shared" si="14"/>
        <v>40 km</v>
      </c>
      <c r="D139" s="110" t="str">
        <f t="shared" si="14"/>
        <v>SFP</v>
      </c>
      <c r="E139" s="487">
        <f t="shared" si="17"/>
        <v>2250918.5939962934</v>
      </c>
      <c r="F139" s="97">
        <f t="shared" si="17"/>
        <v>2476595.6915832646</v>
      </c>
      <c r="G139" s="97">
        <f t="shared" si="18"/>
        <v>1777247</v>
      </c>
      <c r="H139" s="97">
        <f t="shared" si="18"/>
        <v>1774770</v>
      </c>
      <c r="I139" s="487">
        <f t="shared" si="19"/>
        <v>2310585</v>
      </c>
      <c r="J139" s="97">
        <f t="shared" si="19"/>
        <v>2699281</v>
      </c>
      <c r="K139" s="875">
        <f t="shared" si="20"/>
        <v>3206812</v>
      </c>
      <c r="L139" s="704">
        <f t="shared" si="20"/>
        <v>3322470</v>
      </c>
      <c r="M139" s="730">
        <f t="shared" si="21"/>
        <v>2902160.7507259995</v>
      </c>
      <c r="N139" s="822">
        <f t="shared" si="21"/>
        <v>2526928.3382130004</v>
      </c>
      <c r="O139" s="875">
        <f t="shared" ref="O139:Z139" si="26">O11*O75</f>
        <v>1018921.8826105847</v>
      </c>
      <c r="P139" s="879">
        <f t="shared" si="26"/>
        <v>992158.36821084458</v>
      </c>
      <c r="Q139" s="723">
        <f t="shared" si="26"/>
        <v>888469.81795195921</v>
      </c>
      <c r="R139" s="811">
        <f t="shared" si="26"/>
        <v>0</v>
      </c>
      <c r="S139" s="807">
        <f t="shared" si="26"/>
        <v>0</v>
      </c>
      <c r="T139" s="812">
        <f t="shared" si="26"/>
        <v>0</v>
      </c>
      <c r="U139" s="723">
        <f t="shared" si="26"/>
        <v>0</v>
      </c>
      <c r="V139" s="811">
        <f t="shared" si="26"/>
        <v>0</v>
      </c>
      <c r="W139" s="807">
        <f t="shared" si="26"/>
        <v>0</v>
      </c>
      <c r="X139" s="812">
        <f t="shared" si="26"/>
        <v>0</v>
      </c>
      <c r="Y139" s="723">
        <f t="shared" si="26"/>
        <v>0</v>
      </c>
      <c r="Z139" s="811">
        <f t="shared" si="26"/>
        <v>0</v>
      </c>
      <c r="AA139" s="807">
        <f t="shared" si="16"/>
        <v>0</v>
      </c>
      <c r="AB139" s="812">
        <f t="shared" si="16"/>
        <v>0</v>
      </c>
      <c r="AC139" s="723">
        <f t="shared" si="25"/>
        <v>0</v>
      </c>
      <c r="AD139" s="811">
        <f t="shared" si="25"/>
        <v>0</v>
      </c>
      <c r="AE139" s="807">
        <f t="shared" si="25"/>
        <v>0</v>
      </c>
      <c r="AF139" s="812">
        <f t="shared" si="25"/>
        <v>0</v>
      </c>
    </row>
    <row r="140" spans="1:32" ht="12.75" customHeight="1" thickBot="1">
      <c r="A140" s="1235" t="str">
        <f t="shared" si="14"/>
        <v>1 GbE</v>
      </c>
      <c r="B140" s="110" t="str">
        <f t="shared" si="14"/>
        <v>GbE  single rate</v>
      </c>
      <c r="C140" s="110" t="str">
        <f t="shared" si="14"/>
        <v>80 km</v>
      </c>
      <c r="D140" s="110" t="str">
        <f t="shared" si="14"/>
        <v>SFP</v>
      </c>
      <c r="E140" s="488">
        <f t="shared" si="17"/>
        <v>5626870.7678876724</v>
      </c>
      <c r="F140" s="508">
        <f t="shared" si="17"/>
        <v>5825100.4241928132</v>
      </c>
      <c r="G140" s="508">
        <f t="shared" si="18"/>
        <v>4180619.6887472952</v>
      </c>
      <c r="H140" s="508">
        <f t="shared" si="18"/>
        <v>3804126.9253104571</v>
      </c>
      <c r="I140" s="488">
        <f t="shared" si="19"/>
        <v>4022089.0000000009</v>
      </c>
      <c r="J140" s="508">
        <f t="shared" si="19"/>
        <v>4568266</v>
      </c>
      <c r="K140" s="880">
        <f t="shared" si="20"/>
        <v>4230323</v>
      </c>
      <c r="L140" s="705">
        <f t="shared" si="20"/>
        <v>4127470</v>
      </c>
      <c r="M140" s="731">
        <f t="shared" si="21"/>
        <v>2878021</v>
      </c>
      <c r="N140" s="827">
        <f t="shared" si="21"/>
        <v>2518222.4</v>
      </c>
      <c r="O140" s="880">
        <f t="shared" ref="O140:Z140" si="27">O12*O76</f>
        <v>2020191.1531914894</v>
      </c>
      <c r="P140" s="881">
        <f t="shared" si="27"/>
        <v>1963193.9647058824</v>
      </c>
      <c r="Q140" s="1012">
        <f t="shared" si="27"/>
        <v>1231500</v>
      </c>
      <c r="R140" s="829">
        <f t="shared" si="27"/>
        <v>0</v>
      </c>
      <c r="S140" s="813">
        <f t="shared" si="27"/>
        <v>0</v>
      </c>
      <c r="T140" s="832">
        <f t="shared" si="27"/>
        <v>0</v>
      </c>
      <c r="U140" s="1012">
        <f t="shared" si="27"/>
        <v>0</v>
      </c>
      <c r="V140" s="829">
        <f t="shared" si="27"/>
        <v>0</v>
      </c>
      <c r="W140" s="813">
        <f t="shared" si="27"/>
        <v>0</v>
      </c>
      <c r="X140" s="832">
        <f t="shared" si="27"/>
        <v>0</v>
      </c>
      <c r="Y140" s="1012">
        <f t="shared" si="27"/>
        <v>0</v>
      </c>
      <c r="Z140" s="829">
        <f t="shared" si="27"/>
        <v>0</v>
      </c>
      <c r="AA140" s="813">
        <f t="shared" si="16"/>
        <v>0</v>
      </c>
      <c r="AB140" s="832">
        <f t="shared" si="16"/>
        <v>0</v>
      </c>
      <c r="AC140" s="1012">
        <f t="shared" si="25"/>
        <v>0</v>
      </c>
      <c r="AD140" s="829">
        <f t="shared" si="25"/>
        <v>0</v>
      </c>
      <c r="AE140" s="813">
        <f t="shared" si="25"/>
        <v>0</v>
      </c>
      <c r="AF140" s="832">
        <f t="shared" si="25"/>
        <v>0</v>
      </c>
    </row>
    <row r="141" spans="1:32" ht="12.75" customHeight="1">
      <c r="A141" s="1232" t="str">
        <f t="shared" si="14"/>
        <v>10GbE</v>
      </c>
      <c r="B141" s="469" t="str">
        <f t="shared" si="14"/>
        <v>10 GbE SR</v>
      </c>
      <c r="C141" s="469" t="str">
        <f t="shared" si="14"/>
        <v>300 m</v>
      </c>
      <c r="D141" s="94" t="str">
        <f t="shared" si="14"/>
        <v>XFP</v>
      </c>
      <c r="E141" s="487">
        <f t="shared" si="17"/>
        <v>1177469</v>
      </c>
      <c r="F141" s="97">
        <f t="shared" si="17"/>
        <v>1393701</v>
      </c>
      <c r="G141" s="97">
        <f t="shared" si="18"/>
        <v>1169721.0000000005</v>
      </c>
      <c r="H141" s="273">
        <f t="shared" si="18"/>
        <v>1169475</v>
      </c>
      <c r="I141" s="487">
        <f t="shared" si="19"/>
        <v>901187.00000000023</v>
      </c>
      <c r="J141" s="97">
        <f t="shared" si="19"/>
        <v>784330</v>
      </c>
      <c r="K141" s="822">
        <f t="shared" si="20"/>
        <v>658839.60000000021</v>
      </c>
      <c r="L141" s="704">
        <f t="shared" si="20"/>
        <v>665706.99999999977</v>
      </c>
      <c r="M141" s="730">
        <f t="shared" si="21"/>
        <v>492542.99999999988</v>
      </c>
      <c r="N141" s="822">
        <f t="shared" si="21"/>
        <v>371511</v>
      </c>
      <c r="O141" s="875">
        <f t="shared" ref="O141:Z141" si="28">O13*O77</f>
        <v>250000</v>
      </c>
      <c r="P141" s="879">
        <f t="shared" si="28"/>
        <v>200000</v>
      </c>
      <c r="Q141" s="723">
        <f t="shared" si="28"/>
        <v>375000</v>
      </c>
      <c r="R141" s="811">
        <f t="shared" si="28"/>
        <v>0</v>
      </c>
      <c r="S141" s="807">
        <f t="shared" si="28"/>
        <v>0</v>
      </c>
      <c r="T141" s="812">
        <f t="shared" si="28"/>
        <v>0</v>
      </c>
      <c r="U141" s="723">
        <f t="shared" si="28"/>
        <v>0</v>
      </c>
      <c r="V141" s="811">
        <f t="shared" si="28"/>
        <v>0</v>
      </c>
      <c r="W141" s="807">
        <f t="shared" si="28"/>
        <v>0</v>
      </c>
      <c r="X141" s="812">
        <f t="shared" si="28"/>
        <v>0</v>
      </c>
      <c r="Y141" s="723">
        <f t="shared" si="28"/>
        <v>0</v>
      </c>
      <c r="Z141" s="811">
        <f t="shared" si="28"/>
        <v>0</v>
      </c>
      <c r="AA141" s="807">
        <f t="shared" si="16"/>
        <v>0</v>
      </c>
      <c r="AB141" s="812">
        <f t="shared" si="16"/>
        <v>0</v>
      </c>
      <c r="AC141" s="723"/>
      <c r="AD141" s="811"/>
      <c r="AE141" s="807"/>
      <c r="AF141" s="812"/>
    </row>
    <row r="142" spans="1:32" ht="12.75" customHeight="1">
      <c r="A142" s="1232" t="str">
        <f t="shared" si="14"/>
        <v>10GbE</v>
      </c>
      <c r="B142" s="469" t="str">
        <f t="shared" si="14"/>
        <v>10 GbE SR</v>
      </c>
      <c r="C142" s="469" t="str">
        <f t="shared" si="14"/>
        <v>300 m</v>
      </c>
      <c r="D142" s="94" t="str">
        <f t="shared" si="14"/>
        <v xml:space="preserve">SFP+ </v>
      </c>
      <c r="E142" s="487">
        <f t="shared" si="17"/>
        <v>39112278</v>
      </c>
      <c r="F142" s="97">
        <f t="shared" si="17"/>
        <v>35612242.640000001</v>
      </c>
      <c r="G142" s="97">
        <f t="shared" si="18"/>
        <v>29914137.499999985</v>
      </c>
      <c r="H142" s="273">
        <f t="shared" si="18"/>
        <v>27888144.774099961</v>
      </c>
      <c r="I142" s="487">
        <f t="shared" si="19"/>
        <v>35575667.999999955</v>
      </c>
      <c r="J142" s="97">
        <f t="shared" si="19"/>
        <v>34438791.999999925</v>
      </c>
      <c r="K142" s="822">
        <f t="shared" si="20"/>
        <v>33104957.119999975</v>
      </c>
      <c r="L142" s="704">
        <f t="shared" si="20"/>
        <v>31049845.270000003</v>
      </c>
      <c r="M142" s="730">
        <f t="shared" si="21"/>
        <v>37714311.000000015</v>
      </c>
      <c r="N142" s="822">
        <f t="shared" si="21"/>
        <v>41514219.5</v>
      </c>
      <c r="O142" s="875">
        <f t="shared" ref="O142:Z142" si="29">O14*O78</f>
        <v>39439360</v>
      </c>
      <c r="P142" s="879">
        <f t="shared" si="29"/>
        <v>39113590</v>
      </c>
      <c r="Q142" s="723">
        <f t="shared" si="29"/>
        <v>25890478.771073811</v>
      </c>
      <c r="R142" s="811">
        <f t="shared" si="29"/>
        <v>0</v>
      </c>
      <c r="S142" s="807">
        <f t="shared" si="29"/>
        <v>0</v>
      </c>
      <c r="T142" s="812">
        <f t="shared" si="29"/>
        <v>0</v>
      </c>
      <c r="U142" s="723">
        <f t="shared" si="29"/>
        <v>0</v>
      </c>
      <c r="V142" s="811">
        <f t="shared" si="29"/>
        <v>0</v>
      </c>
      <c r="W142" s="807">
        <f t="shared" si="29"/>
        <v>0</v>
      </c>
      <c r="X142" s="812">
        <f t="shared" si="29"/>
        <v>0</v>
      </c>
      <c r="Y142" s="723">
        <f t="shared" si="29"/>
        <v>0</v>
      </c>
      <c r="Z142" s="811">
        <f t="shared" si="29"/>
        <v>0</v>
      </c>
      <c r="AA142" s="807">
        <f t="shared" si="16"/>
        <v>0</v>
      </c>
      <c r="AB142" s="812">
        <f t="shared" si="16"/>
        <v>0</v>
      </c>
      <c r="AC142" s="723">
        <f t="shared" si="25"/>
        <v>0</v>
      </c>
      <c r="AD142" s="811">
        <f t="shared" si="25"/>
        <v>0</v>
      </c>
      <c r="AE142" s="807">
        <f t="shared" si="25"/>
        <v>0</v>
      </c>
      <c r="AF142" s="812">
        <f t="shared" si="25"/>
        <v>0</v>
      </c>
    </row>
    <row r="143" spans="1:32" ht="12.75" customHeight="1">
      <c r="A143" s="1232" t="str">
        <f t="shared" si="14"/>
        <v>10GbE</v>
      </c>
      <c r="B143" s="130" t="str">
        <f t="shared" si="14"/>
        <v>10 GbE SR</v>
      </c>
      <c r="C143" s="130" t="str">
        <f t="shared" si="14"/>
        <v>300 m</v>
      </c>
      <c r="D143" s="241" t="str">
        <f t="shared" si="14"/>
        <v>SFP+ Sub-spec</v>
      </c>
      <c r="E143" s="487">
        <f t="shared" si="17"/>
        <v>7068062.9820359405</v>
      </c>
      <c r="F143" s="97">
        <f t="shared" si="17"/>
        <v>8882212.3712574895</v>
      </c>
      <c r="G143" s="97">
        <f t="shared" si="18"/>
        <v>8107369.999999986</v>
      </c>
      <c r="H143" s="273">
        <f t="shared" si="18"/>
        <v>8632714.0000000186</v>
      </c>
      <c r="I143" s="487">
        <f t="shared" si="19"/>
        <v>11468053.058823545</v>
      </c>
      <c r="J143" s="97">
        <f t="shared" si="19"/>
        <v>11964869.072992697</v>
      </c>
      <c r="K143" s="822">
        <f t="shared" si="20"/>
        <v>19421122.539999999</v>
      </c>
      <c r="L143" s="704">
        <f t="shared" si="20"/>
        <v>19015361.18</v>
      </c>
      <c r="M143" s="730">
        <f t="shared" si="21"/>
        <v>0</v>
      </c>
      <c r="N143" s="822">
        <f t="shared" si="21"/>
        <v>0</v>
      </c>
      <c r="O143" s="875">
        <f t="shared" ref="O143:Z143" si="30">O15*O79</f>
        <v>0</v>
      </c>
      <c r="P143" s="879">
        <f t="shared" si="30"/>
        <v>0</v>
      </c>
      <c r="Q143" s="723">
        <f t="shared" si="30"/>
        <v>0</v>
      </c>
      <c r="R143" s="811">
        <f t="shared" si="30"/>
        <v>0</v>
      </c>
      <c r="S143" s="807">
        <f t="shared" si="30"/>
        <v>0</v>
      </c>
      <c r="T143" s="812">
        <f t="shared" si="30"/>
        <v>0</v>
      </c>
      <c r="U143" s="723">
        <f t="shared" si="30"/>
        <v>0</v>
      </c>
      <c r="V143" s="811">
        <f t="shared" si="30"/>
        <v>0</v>
      </c>
      <c r="W143" s="807">
        <f t="shared" si="30"/>
        <v>0</v>
      </c>
      <c r="X143" s="812">
        <f t="shared" si="30"/>
        <v>0</v>
      </c>
      <c r="Y143" s="723">
        <f t="shared" si="30"/>
        <v>0</v>
      </c>
      <c r="Z143" s="811">
        <f t="shared" si="30"/>
        <v>0</v>
      </c>
      <c r="AA143" s="807">
        <f t="shared" si="16"/>
        <v>0</v>
      </c>
      <c r="AB143" s="812">
        <f t="shared" si="16"/>
        <v>0</v>
      </c>
      <c r="AC143" s="723"/>
      <c r="AD143" s="811"/>
      <c r="AE143" s="807"/>
      <c r="AF143" s="812"/>
    </row>
    <row r="144" spans="1:32" ht="12.75" customHeight="1">
      <c r="A144" s="1232" t="str">
        <f t="shared" si="14"/>
        <v>10GbE</v>
      </c>
      <c r="B144" s="260" t="str">
        <f t="shared" si="14"/>
        <v>10 GbE LRM</v>
      </c>
      <c r="C144" s="260" t="str">
        <f t="shared" si="14"/>
        <v>220 m</v>
      </c>
      <c r="D144" s="241" t="str">
        <f t="shared" si="14"/>
        <v>SFP+</v>
      </c>
      <c r="E144" s="487">
        <f t="shared" si="17"/>
        <v>1699597.9999999998</v>
      </c>
      <c r="F144" s="97">
        <f t="shared" si="17"/>
        <v>2108988</v>
      </c>
      <c r="G144" s="97">
        <f t="shared" si="18"/>
        <v>2078764.0000000007</v>
      </c>
      <c r="H144" s="273">
        <f t="shared" si="18"/>
        <v>1328788</v>
      </c>
      <c r="I144" s="487">
        <f t="shared" si="19"/>
        <v>1750417</v>
      </c>
      <c r="J144" s="97">
        <f t="shared" si="19"/>
        <v>1803478.0000000002</v>
      </c>
      <c r="K144" s="822">
        <f t="shared" si="20"/>
        <v>1829135.0000000007</v>
      </c>
      <c r="L144" s="704">
        <f t="shared" si="20"/>
        <v>695203.00000000023</v>
      </c>
      <c r="M144" s="730">
        <f t="shared" si="21"/>
        <v>982939.99999999977</v>
      </c>
      <c r="N144" s="822">
        <f t="shared" si="21"/>
        <v>936620.99999999988</v>
      </c>
      <c r="O144" s="875">
        <f t="shared" ref="O144:Z144" si="31">O16*O80</f>
        <v>613200</v>
      </c>
      <c r="P144" s="879">
        <f t="shared" si="31"/>
        <v>508500</v>
      </c>
      <c r="Q144" s="723">
        <f t="shared" si="31"/>
        <v>300000</v>
      </c>
      <c r="R144" s="811">
        <f t="shared" si="31"/>
        <v>0</v>
      </c>
      <c r="S144" s="807">
        <f t="shared" si="31"/>
        <v>0</v>
      </c>
      <c r="T144" s="812">
        <f t="shared" si="31"/>
        <v>0</v>
      </c>
      <c r="U144" s="723">
        <f t="shared" si="31"/>
        <v>0</v>
      </c>
      <c r="V144" s="811">
        <f t="shared" si="31"/>
        <v>0</v>
      </c>
      <c r="W144" s="807">
        <f t="shared" si="31"/>
        <v>0</v>
      </c>
      <c r="X144" s="812">
        <f t="shared" si="31"/>
        <v>0</v>
      </c>
      <c r="Y144" s="723">
        <f t="shared" si="31"/>
        <v>0</v>
      </c>
      <c r="Z144" s="811">
        <f t="shared" si="31"/>
        <v>0</v>
      </c>
      <c r="AA144" s="807">
        <f t="shared" si="16"/>
        <v>0</v>
      </c>
      <c r="AB144" s="812">
        <f t="shared" si="16"/>
        <v>0</v>
      </c>
      <c r="AC144" s="723">
        <f t="shared" si="25"/>
        <v>0</v>
      </c>
      <c r="AD144" s="811">
        <f t="shared" si="25"/>
        <v>0</v>
      </c>
      <c r="AE144" s="807">
        <f t="shared" si="25"/>
        <v>0</v>
      </c>
      <c r="AF144" s="812">
        <f t="shared" si="25"/>
        <v>0</v>
      </c>
    </row>
    <row r="145" spans="1:32" ht="12.75" customHeight="1">
      <c r="A145" s="1232" t="str">
        <f t="shared" si="14"/>
        <v>10GbE</v>
      </c>
      <c r="B145" s="469" t="str">
        <f t="shared" si="14"/>
        <v>10 GbE (LR)</v>
      </c>
      <c r="C145" s="469" t="str">
        <f t="shared" si="14"/>
        <v>10 km</v>
      </c>
      <c r="D145" s="110" t="str">
        <f t="shared" si="14"/>
        <v>XFP</v>
      </c>
      <c r="E145" s="487">
        <f t="shared" si="17"/>
        <v>1560041.0695456688</v>
      </c>
      <c r="F145" s="97">
        <f t="shared" si="17"/>
        <v>595933.64189330698</v>
      </c>
      <c r="G145" s="97">
        <f t="shared" si="18"/>
        <v>690042.46661857865</v>
      </c>
      <c r="H145" s="273">
        <f t="shared" si="18"/>
        <v>533270.04421381024</v>
      </c>
      <c r="I145" s="487">
        <f t="shared" si="19"/>
        <v>934356.34655620193</v>
      </c>
      <c r="J145" s="97">
        <f t="shared" si="19"/>
        <v>1115385.7516863199</v>
      </c>
      <c r="K145" s="822">
        <f t="shared" si="20"/>
        <v>3687994.0000000028</v>
      </c>
      <c r="L145" s="704">
        <f t="shared" si="20"/>
        <v>2994628.0000000023</v>
      </c>
      <c r="M145" s="730">
        <f t="shared" si="21"/>
        <v>2442327.6999999993</v>
      </c>
      <c r="N145" s="822">
        <f t="shared" si="21"/>
        <v>2258694.3000000003</v>
      </c>
      <c r="O145" s="875">
        <f t="shared" ref="O145:Z145" si="32">O17*O81</f>
        <v>1756122.2929936305</v>
      </c>
      <c r="P145" s="879">
        <f t="shared" si="32"/>
        <v>1394554.0909090908</v>
      </c>
      <c r="Q145" s="723">
        <f t="shared" si="32"/>
        <v>1819066.2793931733</v>
      </c>
      <c r="R145" s="811">
        <f t="shared" si="32"/>
        <v>0</v>
      </c>
      <c r="S145" s="807">
        <f t="shared" si="32"/>
        <v>0</v>
      </c>
      <c r="T145" s="812">
        <f t="shared" si="32"/>
        <v>0</v>
      </c>
      <c r="U145" s="723">
        <f t="shared" si="32"/>
        <v>0</v>
      </c>
      <c r="V145" s="811">
        <f t="shared" si="32"/>
        <v>0</v>
      </c>
      <c r="W145" s="807">
        <f t="shared" si="32"/>
        <v>0</v>
      </c>
      <c r="X145" s="812">
        <f t="shared" si="32"/>
        <v>0</v>
      </c>
      <c r="Y145" s="723">
        <f t="shared" si="32"/>
        <v>0</v>
      </c>
      <c r="Z145" s="811">
        <f t="shared" si="32"/>
        <v>0</v>
      </c>
      <c r="AA145" s="807">
        <f t="shared" si="16"/>
        <v>0</v>
      </c>
      <c r="AB145" s="812">
        <f t="shared" si="16"/>
        <v>0</v>
      </c>
      <c r="AC145" s="723">
        <f t="shared" si="25"/>
        <v>0</v>
      </c>
      <c r="AD145" s="811">
        <f t="shared" si="25"/>
        <v>0</v>
      </c>
      <c r="AE145" s="807">
        <f t="shared" si="25"/>
        <v>0</v>
      </c>
      <c r="AF145" s="812">
        <f t="shared" si="25"/>
        <v>0</v>
      </c>
    </row>
    <row r="146" spans="1:32" ht="12.75" customHeight="1">
      <c r="A146" s="1232" t="str">
        <f t="shared" si="14"/>
        <v>10GbE</v>
      </c>
      <c r="B146" s="469" t="str">
        <f t="shared" si="14"/>
        <v>10 GbE (LR)</v>
      </c>
      <c r="C146" s="469" t="str">
        <f t="shared" si="14"/>
        <v>10 km</v>
      </c>
      <c r="D146" s="110" t="str">
        <f t="shared" si="14"/>
        <v>SFP+</v>
      </c>
      <c r="E146" s="487">
        <f t="shared" si="17"/>
        <v>45501225.926508941</v>
      </c>
      <c r="F146" s="97">
        <f t="shared" si="17"/>
        <v>41028060.801677443</v>
      </c>
      <c r="G146" s="97">
        <f t="shared" si="18"/>
        <v>31875546.599679418</v>
      </c>
      <c r="H146" s="273">
        <f t="shared" si="18"/>
        <v>35291081.533389315</v>
      </c>
      <c r="I146" s="487">
        <f t="shared" si="19"/>
        <v>41767502.599662118</v>
      </c>
      <c r="J146" s="97">
        <f t="shared" si="19"/>
        <v>40493216.74180261</v>
      </c>
      <c r="K146" s="822">
        <f t="shared" si="20"/>
        <v>47639306.930000007</v>
      </c>
      <c r="L146" s="704">
        <f t="shared" si="20"/>
        <v>36634716.399999984</v>
      </c>
      <c r="M146" s="730">
        <f t="shared" si="21"/>
        <v>30978099.374509767</v>
      </c>
      <c r="N146" s="822">
        <f t="shared" si="21"/>
        <v>33154106.579912357</v>
      </c>
      <c r="O146" s="875">
        <f t="shared" ref="O146:Z146" si="33">O18*O82</f>
        <v>32894722.158296376</v>
      </c>
      <c r="P146" s="879">
        <f t="shared" si="33"/>
        <v>34775753.738610141</v>
      </c>
      <c r="Q146" s="723">
        <f t="shared" si="33"/>
        <v>18366166.019360468</v>
      </c>
      <c r="R146" s="811">
        <f t="shared" si="33"/>
        <v>0</v>
      </c>
      <c r="S146" s="807">
        <f t="shared" si="33"/>
        <v>0</v>
      </c>
      <c r="T146" s="812">
        <f t="shared" si="33"/>
        <v>0</v>
      </c>
      <c r="U146" s="723">
        <f t="shared" si="33"/>
        <v>0</v>
      </c>
      <c r="V146" s="811">
        <f t="shared" si="33"/>
        <v>0</v>
      </c>
      <c r="W146" s="807">
        <f t="shared" si="33"/>
        <v>0</v>
      </c>
      <c r="X146" s="812">
        <f t="shared" si="33"/>
        <v>0</v>
      </c>
      <c r="Y146" s="723">
        <f t="shared" si="33"/>
        <v>0</v>
      </c>
      <c r="Z146" s="811">
        <f t="shared" si="33"/>
        <v>0</v>
      </c>
      <c r="AA146" s="807">
        <f t="shared" si="16"/>
        <v>0</v>
      </c>
      <c r="AB146" s="812">
        <f t="shared" si="16"/>
        <v>0</v>
      </c>
      <c r="AC146" s="723">
        <f t="shared" si="25"/>
        <v>0</v>
      </c>
      <c r="AD146" s="811">
        <f t="shared" si="25"/>
        <v>0</v>
      </c>
      <c r="AE146" s="807">
        <f t="shared" si="25"/>
        <v>0</v>
      </c>
      <c r="AF146" s="812">
        <f t="shared" si="25"/>
        <v>0</v>
      </c>
    </row>
    <row r="147" spans="1:32" ht="12.75" customHeight="1">
      <c r="A147" s="1232" t="str">
        <f t="shared" si="14"/>
        <v>10GbE</v>
      </c>
      <c r="B147" s="260" t="str">
        <f t="shared" si="14"/>
        <v>10 GbE (LR)</v>
      </c>
      <c r="C147" s="260" t="str">
        <f t="shared" si="14"/>
        <v>2 km</v>
      </c>
      <c r="D147" s="241" t="str">
        <f t="shared" si="14"/>
        <v>SFP+ sub-spec</v>
      </c>
      <c r="E147" s="487">
        <f t="shared" si="17"/>
        <v>9966921</v>
      </c>
      <c r="F147" s="97">
        <f t="shared" si="17"/>
        <v>10614229</v>
      </c>
      <c r="G147" s="97">
        <f t="shared" si="18"/>
        <v>8466659</v>
      </c>
      <c r="H147" s="273">
        <f t="shared" si="18"/>
        <v>8580000</v>
      </c>
      <c r="I147" s="487">
        <f t="shared" si="19"/>
        <v>0</v>
      </c>
      <c r="J147" s="97">
        <f t="shared" si="19"/>
        <v>0</v>
      </c>
      <c r="K147" s="822">
        <f t="shared" si="20"/>
        <v>0</v>
      </c>
      <c r="L147" s="704">
        <f t="shared" si="20"/>
        <v>0</v>
      </c>
      <c r="M147" s="730">
        <f t="shared" si="21"/>
        <v>0</v>
      </c>
      <c r="N147" s="822">
        <f t="shared" si="21"/>
        <v>0</v>
      </c>
      <c r="O147" s="875">
        <f t="shared" ref="O147:Z147" si="34">O19*O83</f>
        <v>0</v>
      </c>
      <c r="P147" s="879">
        <f t="shared" si="34"/>
        <v>0</v>
      </c>
      <c r="Q147" s="723">
        <f t="shared" si="34"/>
        <v>0</v>
      </c>
      <c r="R147" s="811">
        <f t="shared" si="34"/>
        <v>0</v>
      </c>
      <c r="S147" s="807">
        <f t="shared" si="34"/>
        <v>0</v>
      </c>
      <c r="T147" s="812">
        <f t="shared" si="34"/>
        <v>0</v>
      </c>
      <c r="U147" s="723">
        <f t="shared" si="34"/>
        <v>0</v>
      </c>
      <c r="V147" s="811">
        <f t="shared" si="34"/>
        <v>0</v>
      </c>
      <c r="W147" s="807">
        <f t="shared" si="34"/>
        <v>0</v>
      </c>
      <c r="X147" s="812">
        <f t="shared" si="34"/>
        <v>0</v>
      </c>
      <c r="Y147" s="723">
        <f t="shared" si="34"/>
        <v>0</v>
      </c>
      <c r="Z147" s="811">
        <f t="shared" si="34"/>
        <v>0</v>
      </c>
      <c r="AA147" s="807">
        <f t="shared" si="16"/>
        <v>0</v>
      </c>
      <c r="AB147" s="812">
        <f t="shared" si="16"/>
        <v>0</v>
      </c>
      <c r="AC147" s="723"/>
      <c r="AD147" s="811"/>
      <c r="AE147" s="807"/>
      <c r="AF147" s="812"/>
    </row>
    <row r="148" spans="1:32" ht="12.75" customHeight="1">
      <c r="A148" s="1232" t="str">
        <f t="shared" si="14"/>
        <v>10GbE</v>
      </c>
      <c r="B148" s="473" t="str">
        <f t="shared" si="14"/>
        <v>10 GbE (ER)</v>
      </c>
      <c r="C148" s="473" t="str">
        <f t="shared" si="14"/>
        <v>40 km</v>
      </c>
      <c r="D148" s="110" t="str">
        <f t="shared" si="14"/>
        <v>XFP &amp; other</v>
      </c>
      <c r="E148" s="487">
        <f t="shared" si="17"/>
        <v>3921953.6318378123</v>
      </c>
      <c r="F148" s="97">
        <f t="shared" si="17"/>
        <v>3031184.4564648028</v>
      </c>
      <c r="G148" s="97">
        <f t="shared" si="18"/>
        <v>3694028.9833293259</v>
      </c>
      <c r="H148" s="273">
        <f t="shared" si="18"/>
        <v>4309241.1422400866</v>
      </c>
      <c r="I148" s="487">
        <f t="shared" si="19"/>
        <v>5053728.4052541219</v>
      </c>
      <c r="J148" s="97">
        <f t="shared" si="19"/>
        <v>5391143.6689433213</v>
      </c>
      <c r="K148" s="822">
        <f t="shared" si="20"/>
        <v>5486718</v>
      </c>
      <c r="L148" s="704">
        <f t="shared" si="20"/>
        <v>2768637</v>
      </c>
      <c r="M148" s="730">
        <f t="shared" si="21"/>
        <v>2804524.9640864078</v>
      </c>
      <c r="N148" s="822">
        <f t="shared" si="21"/>
        <v>2393018.6281217588</v>
      </c>
      <c r="O148" s="875">
        <f t="shared" ref="O148:Z148" si="35">O20*O84</f>
        <v>2126000</v>
      </c>
      <c r="P148" s="879">
        <f t="shared" si="35"/>
        <v>2260576.7063256619</v>
      </c>
      <c r="Q148" s="723">
        <f t="shared" si="35"/>
        <v>2625307.186046035</v>
      </c>
      <c r="R148" s="811">
        <f t="shared" si="35"/>
        <v>0</v>
      </c>
      <c r="S148" s="807">
        <f t="shared" si="35"/>
        <v>0</v>
      </c>
      <c r="T148" s="812">
        <f t="shared" si="35"/>
        <v>0</v>
      </c>
      <c r="U148" s="723">
        <f t="shared" si="35"/>
        <v>0</v>
      </c>
      <c r="V148" s="811">
        <f t="shared" si="35"/>
        <v>0</v>
      </c>
      <c r="W148" s="807">
        <f t="shared" si="35"/>
        <v>0</v>
      </c>
      <c r="X148" s="812">
        <f t="shared" si="35"/>
        <v>0</v>
      </c>
      <c r="Y148" s="723">
        <f t="shared" si="35"/>
        <v>0</v>
      </c>
      <c r="Z148" s="811">
        <f t="shared" si="35"/>
        <v>0</v>
      </c>
      <c r="AA148" s="807">
        <f t="shared" si="16"/>
        <v>0</v>
      </c>
      <c r="AB148" s="812">
        <f t="shared" si="16"/>
        <v>0</v>
      </c>
      <c r="AC148" s="723">
        <f t="shared" si="25"/>
        <v>0</v>
      </c>
      <c r="AD148" s="811">
        <f t="shared" si="25"/>
        <v>0</v>
      </c>
      <c r="AE148" s="807">
        <f t="shared" si="25"/>
        <v>0</v>
      </c>
      <c r="AF148" s="812">
        <f t="shared" si="25"/>
        <v>0</v>
      </c>
    </row>
    <row r="149" spans="1:32" ht="12.75" customHeight="1">
      <c r="A149" s="1232" t="str">
        <f t="shared" si="14"/>
        <v>10GbE</v>
      </c>
      <c r="B149" s="469" t="str">
        <f t="shared" si="14"/>
        <v>10 GbE (ER)</v>
      </c>
      <c r="C149" s="469" t="str">
        <f t="shared" si="14"/>
        <v>40 km</v>
      </c>
      <c r="D149" s="582" t="str">
        <f t="shared" si="14"/>
        <v>SFP+</v>
      </c>
      <c r="E149" s="487">
        <f t="shared" si="17"/>
        <v>16903912.957371529</v>
      </c>
      <c r="F149" s="97">
        <f t="shared" si="17"/>
        <v>16961624.144193109</v>
      </c>
      <c r="G149" s="97">
        <f t="shared" si="18"/>
        <v>16582706.631522</v>
      </c>
      <c r="H149" s="273">
        <f t="shared" si="18"/>
        <v>16620915.956186134</v>
      </c>
      <c r="I149" s="487">
        <f t="shared" si="19"/>
        <v>18506788.382241525</v>
      </c>
      <c r="J149" s="97">
        <f t="shared" si="19"/>
        <v>26206106.57206928</v>
      </c>
      <c r="K149" s="822">
        <f t="shared" si="20"/>
        <v>24101507</v>
      </c>
      <c r="L149" s="704">
        <f t="shared" si="20"/>
        <v>21461428.999999996</v>
      </c>
      <c r="M149" s="730">
        <f t="shared" si="21"/>
        <v>12708202.599936062</v>
      </c>
      <c r="N149" s="822">
        <f t="shared" si="21"/>
        <v>15319342.872456592</v>
      </c>
      <c r="O149" s="875">
        <f t="shared" ref="O149:Z149" si="36">O21*O85</f>
        <v>14640983.832016315</v>
      </c>
      <c r="P149" s="879">
        <f t="shared" si="36"/>
        <v>16423995.715854414</v>
      </c>
      <c r="Q149" s="723">
        <f t="shared" si="36"/>
        <v>13054444.816525919</v>
      </c>
      <c r="R149" s="811">
        <f t="shared" si="36"/>
        <v>0</v>
      </c>
      <c r="S149" s="807">
        <f t="shared" si="36"/>
        <v>0</v>
      </c>
      <c r="T149" s="812">
        <f t="shared" si="36"/>
        <v>0</v>
      </c>
      <c r="U149" s="723">
        <f t="shared" si="36"/>
        <v>0</v>
      </c>
      <c r="V149" s="811">
        <f t="shared" si="36"/>
        <v>0</v>
      </c>
      <c r="W149" s="807">
        <f t="shared" si="36"/>
        <v>0</v>
      </c>
      <c r="X149" s="812">
        <f t="shared" si="36"/>
        <v>0</v>
      </c>
      <c r="Y149" s="723">
        <f t="shared" si="36"/>
        <v>0</v>
      </c>
      <c r="Z149" s="811">
        <f t="shared" si="36"/>
        <v>0</v>
      </c>
      <c r="AA149" s="807">
        <f t="shared" si="16"/>
        <v>0</v>
      </c>
      <c r="AB149" s="812">
        <f t="shared" si="16"/>
        <v>0</v>
      </c>
      <c r="AC149" s="723">
        <f t="shared" si="25"/>
        <v>0</v>
      </c>
      <c r="AD149" s="811">
        <f t="shared" si="25"/>
        <v>0</v>
      </c>
      <c r="AE149" s="807">
        <f t="shared" si="25"/>
        <v>0</v>
      </c>
      <c r="AF149" s="812">
        <f t="shared" si="25"/>
        <v>0</v>
      </c>
    </row>
    <row r="150" spans="1:32" ht="12.75" customHeight="1">
      <c r="A150" s="1232" t="str">
        <f t="shared" si="14"/>
        <v>10GbE</v>
      </c>
      <c r="B150" s="473" t="str">
        <f t="shared" si="14"/>
        <v>10 GbE (ZR)</v>
      </c>
      <c r="C150" s="473" t="str">
        <f t="shared" si="14"/>
        <v>80 km</v>
      </c>
      <c r="D150" s="110" t="str">
        <f t="shared" si="14"/>
        <v>XFP &amp; other</v>
      </c>
      <c r="E150" s="821">
        <f t="shared" si="17"/>
        <v>1617470.882698148</v>
      </c>
      <c r="F150" s="822">
        <f t="shared" si="17"/>
        <v>751000.60481018655</v>
      </c>
      <c r="G150" s="822">
        <f t="shared" si="18"/>
        <v>135000</v>
      </c>
      <c r="H150" s="823">
        <f t="shared" si="18"/>
        <v>135000</v>
      </c>
      <c r="I150" s="821">
        <f t="shared" si="19"/>
        <v>934764.70588235289</v>
      </c>
      <c r="J150" s="822">
        <f t="shared" si="19"/>
        <v>506864.96350364987</v>
      </c>
      <c r="K150" s="822">
        <f t="shared" si="20"/>
        <v>715687.99999999977</v>
      </c>
      <c r="L150" s="824">
        <f t="shared" si="20"/>
        <v>822652</v>
      </c>
      <c r="M150" s="850">
        <f t="shared" si="21"/>
        <v>560784.99999999988</v>
      </c>
      <c r="N150" s="822">
        <f t="shared" si="21"/>
        <v>464213.56990558555</v>
      </c>
      <c r="O150" s="875">
        <f t="shared" ref="O150:Z150" si="37">O22*O86</f>
        <v>300000</v>
      </c>
      <c r="P150" s="879">
        <f t="shared" si="37"/>
        <v>195000</v>
      </c>
      <c r="Q150" s="825">
        <f t="shared" si="37"/>
        <v>651208.93336612766</v>
      </c>
      <c r="R150" s="811">
        <f t="shared" si="37"/>
        <v>0</v>
      </c>
      <c r="S150" s="807">
        <f t="shared" si="37"/>
        <v>0</v>
      </c>
      <c r="T150" s="812">
        <f t="shared" si="37"/>
        <v>0</v>
      </c>
      <c r="U150" s="825">
        <f t="shared" si="37"/>
        <v>0</v>
      </c>
      <c r="V150" s="811">
        <f t="shared" si="37"/>
        <v>0</v>
      </c>
      <c r="W150" s="807">
        <f t="shared" si="37"/>
        <v>0</v>
      </c>
      <c r="X150" s="812">
        <f t="shared" si="37"/>
        <v>0</v>
      </c>
      <c r="Y150" s="825">
        <f t="shared" si="37"/>
        <v>0</v>
      </c>
      <c r="Z150" s="811">
        <f t="shared" si="37"/>
        <v>0</v>
      </c>
      <c r="AA150" s="807">
        <f t="shared" si="16"/>
        <v>0</v>
      </c>
      <c r="AB150" s="812">
        <f t="shared" si="16"/>
        <v>0</v>
      </c>
      <c r="AC150" s="825"/>
      <c r="AD150" s="811"/>
      <c r="AE150" s="807"/>
      <c r="AF150" s="812"/>
    </row>
    <row r="151" spans="1:32" ht="12.75" customHeight="1" thickBot="1">
      <c r="A151" s="1232" t="str">
        <f t="shared" si="14"/>
        <v>10GbE</v>
      </c>
      <c r="B151" s="469" t="str">
        <f t="shared" si="14"/>
        <v>10 GbE (ZR)</v>
      </c>
      <c r="C151" s="474" t="str">
        <f t="shared" si="14"/>
        <v>80 km</v>
      </c>
      <c r="D151" s="270" t="str">
        <f t="shared" si="14"/>
        <v>SFP+</v>
      </c>
      <c r="E151" s="826">
        <f t="shared" si="17"/>
        <v>11191782.682364579</v>
      </c>
      <c r="F151" s="827">
        <f t="shared" si="17"/>
        <v>8416975.2491092589</v>
      </c>
      <c r="G151" s="827">
        <f t="shared" si="18"/>
        <v>8991478.7870081011</v>
      </c>
      <c r="H151" s="828">
        <f t="shared" si="18"/>
        <v>8732816.556842044</v>
      </c>
      <c r="I151" s="826">
        <f t="shared" si="19"/>
        <v>13484418.036126768</v>
      </c>
      <c r="J151" s="827">
        <f t="shared" si="19"/>
        <v>12310347.185791211</v>
      </c>
      <c r="K151" s="827">
        <f t="shared" si="20"/>
        <v>19286676</v>
      </c>
      <c r="L151" s="830">
        <f t="shared" si="20"/>
        <v>18679850</v>
      </c>
      <c r="M151" s="842">
        <f t="shared" si="21"/>
        <v>12213510.458660483</v>
      </c>
      <c r="N151" s="859">
        <f t="shared" si="21"/>
        <v>12487661.354363315</v>
      </c>
      <c r="O151" s="884">
        <f t="shared" ref="O151:Z151" si="38">O23*O87</f>
        <v>10193076.168791357</v>
      </c>
      <c r="P151" s="885">
        <f t="shared" si="38"/>
        <v>11161888.458295591</v>
      </c>
      <c r="Q151" s="862">
        <f t="shared" si="38"/>
        <v>7674496.281948803</v>
      </c>
      <c r="R151" s="814">
        <f t="shared" si="38"/>
        <v>0</v>
      </c>
      <c r="S151" s="1013">
        <f t="shared" si="38"/>
        <v>0</v>
      </c>
      <c r="T151" s="815">
        <f t="shared" si="38"/>
        <v>0</v>
      </c>
      <c r="U151" s="862">
        <f t="shared" si="38"/>
        <v>0</v>
      </c>
      <c r="V151" s="814">
        <f t="shared" si="38"/>
        <v>0</v>
      </c>
      <c r="W151" s="1013">
        <f t="shared" si="38"/>
        <v>0</v>
      </c>
      <c r="X151" s="815">
        <f t="shared" si="38"/>
        <v>0</v>
      </c>
      <c r="Y151" s="862">
        <f>Y23*Y87</f>
        <v>0</v>
      </c>
      <c r="Z151" s="814">
        <f t="shared" si="38"/>
        <v>0</v>
      </c>
      <c r="AA151" s="1013">
        <f t="shared" si="16"/>
        <v>0</v>
      </c>
      <c r="AB151" s="815">
        <f t="shared" si="16"/>
        <v>0</v>
      </c>
      <c r="AC151" s="862">
        <f t="shared" si="25"/>
        <v>0</v>
      </c>
      <c r="AD151" s="814">
        <f t="shared" si="25"/>
        <v>0</v>
      </c>
      <c r="AE151" s="1013">
        <f t="shared" si="25"/>
        <v>0</v>
      </c>
      <c r="AF151" s="815">
        <f t="shared" si="25"/>
        <v>0</v>
      </c>
    </row>
    <row r="152" spans="1:32" ht="12.75" customHeight="1">
      <c r="A152" s="1234" t="str">
        <f t="shared" si="14"/>
        <v>25GbE</v>
      </c>
      <c r="B152" s="476" t="str">
        <f t="shared" si="14"/>
        <v>25GbE SR</v>
      </c>
      <c r="C152" s="260" t="str">
        <f t="shared" si="14"/>
        <v>100 m</v>
      </c>
      <c r="D152" s="490" t="str">
        <f t="shared" si="14"/>
        <v>SFP28</v>
      </c>
      <c r="E152" s="833">
        <f t="shared" si="17"/>
        <v>883400</v>
      </c>
      <c r="F152" s="834">
        <f t="shared" si="17"/>
        <v>1986838.9999999998</v>
      </c>
      <c r="G152" s="835">
        <f t="shared" si="18"/>
        <v>1753619.4999999995</v>
      </c>
      <c r="H152" s="836">
        <f t="shared" si="18"/>
        <v>8903720.4999999981</v>
      </c>
      <c r="I152" s="833">
        <f t="shared" si="19"/>
        <v>4915303</v>
      </c>
      <c r="J152" s="834">
        <f t="shared" si="19"/>
        <v>6332806.0000000009</v>
      </c>
      <c r="K152" s="882">
        <f t="shared" si="20"/>
        <v>7625903.3399999952</v>
      </c>
      <c r="L152" s="836">
        <f t="shared" si="20"/>
        <v>8971721.2400000244</v>
      </c>
      <c r="M152" s="849">
        <f t="shared" si="21"/>
        <v>9788315.0000000037</v>
      </c>
      <c r="N152" s="876">
        <f t="shared" si="21"/>
        <v>10248529</v>
      </c>
      <c r="O152" s="877">
        <f t="shared" ref="O152:Z152" si="39">O24*O88</f>
        <v>9303000</v>
      </c>
      <c r="P152" s="878">
        <f t="shared" si="39"/>
        <v>13552000</v>
      </c>
      <c r="Q152" s="864">
        <f t="shared" si="39"/>
        <v>16935778.891189121</v>
      </c>
      <c r="R152" s="818">
        <f t="shared" si="39"/>
        <v>0</v>
      </c>
      <c r="S152" s="1011">
        <f t="shared" si="39"/>
        <v>0</v>
      </c>
      <c r="T152" s="819">
        <f t="shared" si="39"/>
        <v>0</v>
      </c>
      <c r="U152" s="864">
        <f t="shared" si="39"/>
        <v>0</v>
      </c>
      <c r="V152" s="818">
        <f t="shared" si="39"/>
        <v>0</v>
      </c>
      <c r="W152" s="1011">
        <f t="shared" si="39"/>
        <v>0</v>
      </c>
      <c r="X152" s="819">
        <f t="shared" si="39"/>
        <v>0</v>
      </c>
      <c r="Y152" s="864">
        <f t="shared" si="39"/>
        <v>0</v>
      </c>
      <c r="Z152" s="818">
        <f t="shared" si="39"/>
        <v>0</v>
      </c>
      <c r="AA152" s="1011">
        <f t="shared" si="16"/>
        <v>0</v>
      </c>
      <c r="AB152" s="819">
        <f t="shared" si="16"/>
        <v>0</v>
      </c>
      <c r="AC152" s="864">
        <f t="shared" si="25"/>
        <v>0</v>
      </c>
      <c r="AD152" s="818">
        <f t="shared" si="25"/>
        <v>0</v>
      </c>
      <c r="AE152" s="1011">
        <f t="shared" si="25"/>
        <v>0</v>
      </c>
      <c r="AF152" s="819">
        <f t="shared" si="25"/>
        <v>0</v>
      </c>
    </row>
    <row r="153" spans="1:32" ht="12.75" customHeight="1">
      <c r="A153" s="1232" t="str">
        <f t="shared" si="14"/>
        <v>25GbE</v>
      </c>
      <c r="B153" s="260" t="str">
        <f t="shared" si="14"/>
        <v>25GbE LR</v>
      </c>
      <c r="C153" s="260" t="str">
        <f t="shared" si="14"/>
        <v>10 km</v>
      </c>
      <c r="D153" s="490" t="str">
        <f t="shared" si="14"/>
        <v>SFP28</v>
      </c>
      <c r="E153" s="839">
        <f t="shared" si="17"/>
        <v>1310848</v>
      </c>
      <c r="F153" s="840">
        <f t="shared" si="17"/>
        <v>971671</v>
      </c>
      <c r="G153" s="822">
        <f t="shared" si="18"/>
        <v>1432111.5440410348</v>
      </c>
      <c r="H153" s="824">
        <f t="shared" si="18"/>
        <v>1944865.7628731977</v>
      </c>
      <c r="I153" s="839">
        <f t="shared" si="19"/>
        <v>4470063.0000000009</v>
      </c>
      <c r="J153" s="840">
        <f t="shared" si="19"/>
        <v>2027391.0000000002</v>
      </c>
      <c r="K153" s="875">
        <f t="shared" si="20"/>
        <v>2391308.4999999986</v>
      </c>
      <c r="L153" s="824">
        <f t="shared" si="20"/>
        <v>2148214.0399999996</v>
      </c>
      <c r="M153" s="886">
        <f t="shared" si="21"/>
        <v>776177.00000000035</v>
      </c>
      <c r="N153" s="822">
        <f t="shared" si="21"/>
        <v>986147.00000000128</v>
      </c>
      <c r="O153" s="875">
        <f t="shared" ref="O153:Z153" si="40">O25*O89</f>
        <v>2015000</v>
      </c>
      <c r="P153" s="879">
        <f t="shared" si="40"/>
        <v>3065000</v>
      </c>
      <c r="Q153" s="841">
        <f t="shared" si="40"/>
        <v>2614848.9398066378</v>
      </c>
      <c r="R153" s="811">
        <f t="shared" si="40"/>
        <v>0</v>
      </c>
      <c r="S153" s="807">
        <f t="shared" si="40"/>
        <v>0</v>
      </c>
      <c r="T153" s="812">
        <f t="shared" si="40"/>
        <v>0</v>
      </c>
      <c r="U153" s="841">
        <f t="shared" si="40"/>
        <v>0</v>
      </c>
      <c r="V153" s="811">
        <f t="shared" si="40"/>
        <v>0</v>
      </c>
      <c r="W153" s="807">
        <f t="shared" si="40"/>
        <v>0</v>
      </c>
      <c r="X153" s="812">
        <f t="shared" si="40"/>
        <v>0</v>
      </c>
      <c r="Y153" s="841">
        <f t="shared" si="40"/>
        <v>0</v>
      </c>
      <c r="Z153" s="811">
        <f t="shared" si="40"/>
        <v>0</v>
      </c>
      <c r="AA153" s="807">
        <f t="shared" si="16"/>
        <v>0</v>
      </c>
      <c r="AB153" s="812">
        <f t="shared" si="16"/>
        <v>0</v>
      </c>
      <c r="AC153" s="841">
        <f t="shared" si="25"/>
        <v>0</v>
      </c>
      <c r="AD153" s="811">
        <f t="shared" si="25"/>
        <v>0</v>
      </c>
      <c r="AE153" s="807">
        <f t="shared" si="25"/>
        <v>0</v>
      </c>
      <c r="AF153" s="812">
        <f t="shared" si="25"/>
        <v>0</v>
      </c>
    </row>
    <row r="154" spans="1:32" ht="13.05" customHeight="1" thickBot="1">
      <c r="A154" s="1233" t="str">
        <f t="shared" si="14"/>
        <v>25GbE</v>
      </c>
      <c r="B154" s="477" t="str">
        <f t="shared" si="14"/>
        <v>25 GbE ER</v>
      </c>
      <c r="C154" s="474" t="str">
        <f t="shared" si="14"/>
        <v>40 km</v>
      </c>
      <c r="D154" s="493" t="str">
        <f t="shared" si="14"/>
        <v>SFP28</v>
      </c>
      <c r="E154" s="826">
        <f t="shared" si="17"/>
        <v>0</v>
      </c>
      <c r="F154" s="827">
        <f t="shared" si="17"/>
        <v>0</v>
      </c>
      <c r="G154" s="827">
        <f t="shared" si="18"/>
        <v>0</v>
      </c>
      <c r="H154" s="830">
        <f t="shared" si="18"/>
        <v>0</v>
      </c>
      <c r="I154" s="826">
        <f t="shared" si="19"/>
        <v>0</v>
      </c>
      <c r="J154" s="827">
        <f t="shared" si="19"/>
        <v>0</v>
      </c>
      <c r="K154" s="880">
        <f t="shared" si="20"/>
        <v>0</v>
      </c>
      <c r="L154" s="830">
        <f t="shared" si="20"/>
        <v>0</v>
      </c>
      <c r="M154" s="868">
        <f t="shared" si="21"/>
        <v>0</v>
      </c>
      <c r="N154" s="827">
        <f t="shared" si="21"/>
        <v>0</v>
      </c>
      <c r="O154" s="880">
        <f t="shared" ref="O154:Z154" si="41">O26*O90</f>
        <v>0</v>
      </c>
      <c r="P154" s="881">
        <f t="shared" si="41"/>
        <v>0</v>
      </c>
      <c r="Q154" s="831">
        <f t="shared" si="41"/>
        <v>0</v>
      </c>
      <c r="R154" s="829">
        <f t="shared" si="41"/>
        <v>0</v>
      </c>
      <c r="S154" s="813">
        <f t="shared" si="41"/>
        <v>0</v>
      </c>
      <c r="T154" s="832">
        <f t="shared" si="41"/>
        <v>0</v>
      </c>
      <c r="U154" s="831">
        <f t="shared" si="41"/>
        <v>0</v>
      </c>
      <c r="V154" s="829">
        <f t="shared" si="41"/>
        <v>0</v>
      </c>
      <c r="W154" s="813">
        <f t="shared" si="41"/>
        <v>0</v>
      </c>
      <c r="X154" s="832">
        <f t="shared" si="41"/>
        <v>0</v>
      </c>
      <c r="Y154" s="831">
        <f t="shared" si="41"/>
        <v>0</v>
      </c>
      <c r="Z154" s="829">
        <f t="shared" si="41"/>
        <v>0</v>
      </c>
      <c r="AA154" s="813">
        <f t="shared" si="16"/>
        <v>0</v>
      </c>
      <c r="AB154" s="832">
        <f t="shared" si="16"/>
        <v>0</v>
      </c>
      <c r="AC154" s="831">
        <f t="shared" si="25"/>
        <v>0</v>
      </c>
      <c r="AD154" s="829">
        <f t="shared" si="25"/>
        <v>0</v>
      </c>
      <c r="AE154" s="813">
        <f t="shared" si="25"/>
        <v>0</v>
      </c>
      <c r="AF154" s="832">
        <f t="shared" si="25"/>
        <v>0</v>
      </c>
    </row>
    <row r="155" spans="1:32" ht="12.75" customHeight="1">
      <c r="A155" s="1232" t="str">
        <f t="shared" si="14"/>
        <v>40GbE</v>
      </c>
      <c r="B155" s="260" t="str">
        <f t="shared" si="14"/>
        <v>40 GbE SR</v>
      </c>
      <c r="C155" s="260" t="str">
        <f t="shared" si="14"/>
        <v>100 m</v>
      </c>
      <c r="D155" s="263" t="str">
        <f t="shared" si="14"/>
        <v>QSFP+</v>
      </c>
      <c r="E155" s="839">
        <f t="shared" si="17"/>
        <v>17924099.19161677</v>
      </c>
      <c r="F155" s="840">
        <f t="shared" si="17"/>
        <v>14429446.98802395</v>
      </c>
      <c r="G155" s="822">
        <f t="shared" si="18"/>
        <v>15796798.1633</v>
      </c>
      <c r="H155" s="823">
        <f t="shared" si="18"/>
        <v>15236103.530400004</v>
      </c>
      <c r="I155" s="839">
        <f t="shared" si="19"/>
        <v>13503497.529411763</v>
      </c>
      <c r="J155" s="840">
        <f t="shared" si="19"/>
        <v>16707351.930656938</v>
      </c>
      <c r="K155" s="835">
        <f t="shared" si="20"/>
        <v>15538339.944306567</v>
      </c>
      <c r="L155" s="824">
        <f t="shared" si="20"/>
        <v>10602177.793795621</v>
      </c>
      <c r="M155" s="886">
        <f t="shared" si="21"/>
        <v>9553929.6342857126</v>
      </c>
      <c r="N155" s="822">
        <f t="shared" si="21"/>
        <v>8812757.5800000001</v>
      </c>
      <c r="O155" s="882">
        <f t="shared" ref="O155:Z155" si="42">O27*O91</f>
        <v>6087948</v>
      </c>
      <c r="P155" s="883">
        <f t="shared" si="42"/>
        <v>6859414</v>
      </c>
      <c r="Q155" s="841">
        <f t="shared" si="42"/>
        <v>6479952.4014331726</v>
      </c>
      <c r="R155" s="811">
        <f t="shared" si="42"/>
        <v>0</v>
      </c>
      <c r="S155" s="837">
        <f t="shared" si="42"/>
        <v>0</v>
      </c>
      <c r="T155" s="809">
        <f t="shared" si="42"/>
        <v>0</v>
      </c>
      <c r="U155" s="841">
        <f t="shared" si="42"/>
        <v>0</v>
      </c>
      <c r="V155" s="811">
        <f t="shared" si="42"/>
        <v>0</v>
      </c>
      <c r="W155" s="837">
        <f t="shared" si="42"/>
        <v>0</v>
      </c>
      <c r="X155" s="809">
        <f t="shared" si="42"/>
        <v>0</v>
      </c>
      <c r="Y155" s="841">
        <f t="shared" si="42"/>
        <v>0</v>
      </c>
      <c r="Z155" s="811">
        <f t="shared" si="42"/>
        <v>0</v>
      </c>
      <c r="AA155" s="837">
        <f t="shared" si="16"/>
        <v>0</v>
      </c>
      <c r="AB155" s="809">
        <f t="shared" si="16"/>
        <v>0</v>
      </c>
      <c r="AC155" s="841">
        <f t="shared" si="25"/>
        <v>0</v>
      </c>
      <c r="AD155" s="811">
        <f t="shared" si="25"/>
        <v>0</v>
      </c>
      <c r="AE155" s="837">
        <f t="shared" si="25"/>
        <v>0</v>
      </c>
      <c r="AF155" s="809">
        <f t="shared" si="25"/>
        <v>0</v>
      </c>
    </row>
    <row r="156" spans="1:32" ht="12.75" customHeight="1">
      <c r="A156" s="1232" t="str">
        <f t="shared" ref="A156:D172" si="43">A28</f>
        <v>40GbE</v>
      </c>
      <c r="B156" s="108" t="str">
        <f t="shared" si="43"/>
        <v>40GbE MM Duplex</v>
      </c>
      <c r="C156" s="266" t="str">
        <f t="shared" si="43"/>
        <v>100 m</v>
      </c>
      <c r="D156" s="263" t="str">
        <f t="shared" si="43"/>
        <v>QSFP+</v>
      </c>
      <c r="E156" s="821">
        <f t="shared" si="17"/>
        <v>17141240</v>
      </c>
      <c r="F156" s="822">
        <f t="shared" si="17"/>
        <v>21513440</v>
      </c>
      <c r="G156" s="822">
        <f t="shared" si="18"/>
        <v>32141165.600000001</v>
      </c>
      <c r="H156" s="823">
        <f t="shared" si="18"/>
        <v>26177205.999999996</v>
      </c>
      <c r="I156" s="821">
        <f t="shared" si="19"/>
        <v>14387372.999999998</v>
      </c>
      <c r="J156" s="822">
        <f t="shared" si="19"/>
        <v>11711481.999999998</v>
      </c>
      <c r="K156" s="822">
        <f t="shared" si="20"/>
        <v>20322161</v>
      </c>
      <c r="L156" s="824">
        <f t="shared" si="20"/>
        <v>20647165</v>
      </c>
      <c r="M156" s="850">
        <f t="shared" si="21"/>
        <v>15621471</v>
      </c>
      <c r="N156" s="822">
        <f t="shared" si="21"/>
        <v>13024283.999999996</v>
      </c>
      <c r="O156" s="875">
        <f t="shared" ref="O156:Z156" si="44">O28*O92</f>
        <v>10050000</v>
      </c>
      <c r="P156" s="879">
        <f t="shared" si="44"/>
        <v>7619999.9999999991</v>
      </c>
      <c r="Q156" s="825">
        <f t="shared" si="44"/>
        <v>30300000</v>
      </c>
      <c r="R156" s="811">
        <f t="shared" si="44"/>
        <v>0</v>
      </c>
      <c r="S156" s="807">
        <f t="shared" si="44"/>
        <v>0</v>
      </c>
      <c r="T156" s="812">
        <f t="shared" si="44"/>
        <v>0</v>
      </c>
      <c r="U156" s="825">
        <f t="shared" si="44"/>
        <v>0</v>
      </c>
      <c r="V156" s="811">
        <f t="shared" si="44"/>
        <v>0</v>
      </c>
      <c r="W156" s="807">
        <f t="shared" si="44"/>
        <v>0</v>
      </c>
      <c r="X156" s="812">
        <f t="shared" si="44"/>
        <v>0</v>
      </c>
      <c r="Y156" s="825">
        <f t="shared" si="44"/>
        <v>0</v>
      </c>
      <c r="Z156" s="811">
        <f t="shared" si="44"/>
        <v>0</v>
      </c>
      <c r="AA156" s="807">
        <f t="shared" si="16"/>
        <v>0</v>
      </c>
      <c r="AB156" s="812">
        <f t="shared" si="16"/>
        <v>0</v>
      </c>
      <c r="AC156" s="825">
        <f t="shared" si="25"/>
        <v>0</v>
      </c>
      <c r="AD156" s="811">
        <f t="shared" si="25"/>
        <v>0</v>
      </c>
      <c r="AE156" s="807">
        <f t="shared" si="25"/>
        <v>0</v>
      </c>
      <c r="AF156" s="812">
        <f t="shared" si="25"/>
        <v>0</v>
      </c>
    </row>
    <row r="157" spans="1:32" ht="12.75" customHeight="1">
      <c r="A157" s="1232" t="str">
        <f t="shared" si="43"/>
        <v>40GbE</v>
      </c>
      <c r="B157" s="107" t="str">
        <f t="shared" si="43"/>
        <v>40 GbE eSR</v>
      </c>
      <c r="C157" s="266" t="str">
        <f t="shared" si="43"/>
        <v>300 m</v>
      </c>
      <c r="D157" s="267" t="str">
        <f t="shared" si="43"/>
        <v>QSFP+</v>
      </c>
      <c r="E157" s="821">
        <f t="shared" ref="E157:F169" si="45">E93*E29</f>
        <v>7738640</v>
      </c>
      <c r="F157" s="822">
        <f t="shared" si="45"/>
        <v>11721524</v>
      </c>
      <c r="G157" s="822">
        <f t="shared" ref="G157:H169" si="46">G29*G93</f>
        <v>8604803</v>
      </c>
      <c r="H157" s="823">
        <f t="shared" si="46"/>
        <v>8354866.6399999997</v>
      </c>
      <c r="I157" s="821">
        <f t="shared" ref="I157:J169" si="47">I93*I29</f>
        <v>8730973</v>
      </c>
      <c r="J157" s="822">
        <f t="shared" si="47"/>
        <v>9788838</v>
      </c>
      <c r="K157" s="822">
        <f t="shared" ref="K157:L169" si="48">K29*K93</f>
        <v>6370966.2545985412</v>
      </c>
      <c r="L157" s="824">
        <f t="shared" si="48"/>
        <v>6464302.7369343061</v>
      </c>
      <c r="M157" s="850">
        <f t="shared" ref="M157:N169" si="49">M93*M29</f>
        <v>6183456</v>
      </c>
      <c r="N157" s="822">
        <f t="shared" si="49"/>
        <v>5476783</v>
      </c>
      <c r="O157" s="875">
        <f t="shared" ref="O157:Z157" si="50">O29*O93</f>
        <v>3537670</v>
      </c>
      <c r="P157" s="879">
        <f t="shared" si="50"/>
        <v>3405490</v>
      </c>
      <c r="Q157" s="825">
        <f t="shared" si="50"/>
        <v>4485748.361567636</v>
      </c>
      <c r="R157" s="811">
        <f t="shared" si="50"/>
        <v>0</v>
      </c>
      <c r="S157" s="807">
        <f t="shared" si="50"/>
        <v>0</v>
      </c>
      <c r="T157" s="812">
        <f t="shared" si="50"/>
        <v>0</v>
      </c>
      <c r="U157" s="825">
        <f t="shared" si="50"/>
        <v>0</v>
      </c>
      <c r="V157" s="811">
        <f t="shared" si="50"/>
        <v>0</v>
      </c>
      <c r="W157" s="807">
        <f t="shared" si="50"/>
        <v>0</v>
      </c>
      <c r="X157" s="812">
        <f t="shared" si="50"/>
        <v>0</v>
      </c>
      <c r="Y157" s="825">
        <f t="shared" si="50"/>
        <v>0</v>
      </c>
      <c r="Z157" s="811">
        <f t="shared" si="50"/>
        <v>0</v>
      </c>
      <c r="AA157" s="807">
        <f t="shared" si="16"/>
        <v>0</v>
      </c>
      <c r="AB157" s="812">
        <f t="shared" si="16"/>
        <v>0</v>
      </c>
      <c r="AC157" s="825">
        <f t="shared" si="25"/>
        <v>0</v>
      </c>
      <c r="AD157" s="811">
        <f t="shared" si="25"/>
        <v>0</v>
      </c>
      <c r="AE157" s="807">
        <f t="shared" si="25"/>
        <v>0</v>
      </c>
      <c r="AF157" s="812">
        <f t="shared" si="25"/>
        <v>0</v>
      </c>
    </row>
    <row r="158" spans="1:32" ht="12.75" customHeight="1">
      <c r="A158" s="1232" t="str">
        <f t="shared" si="43"/>
        <v>40GbE</v>
      </c>
      <c r="B158" s="107" t="str">
        <f t="shared" si="43"/>
        <v>40 GbE PSM4</v>
      </c>
      <c r="C158" s="266" t="str">
        <f t="shared" si="43"/>
        <v>500 m</v>
      </c>
      <c r="D158" s="267" t="str">
        <f t="shared" si="43"/>
        <v>QSFP+</v>
      </c>
      <c r="E158" s="821">
        <f t="shared" si="45"/>
        <v>32613232</v>
      </c>
      <c r="F158" s="822">
        <f t="shared" si="45"/>
        <v>49645562</v>
      </c>
      <c r="G158" s="822">
        <f t="shared" si="46"/>
        <v>36500000</v>
      </c>
      <c r="H158" s="823">
        <f t="shared" si="46"/>
        <v>42500000</v>
      </c>
      <c r="I158" s="821">
        <f t="shared" si="47"/>
        <v>37029999.99999997</v>
      </c>
      <c r="J158" s="822">
        <f t="shared" si="47"/>
        <v>34419000.00000003</v>
      </c>
      <c r="K158" s="822">
        <f t="shared" si="48"/>
        <v>30973150</v>
      </c>
      <c r="L158" s="824">
        <f t="shared" si="48"/>
        <v>24135000.000000011</v>
      </c>
      <c r="M158" s="850">
        <f t="shared" si="49"/>
        <v>24547424.999999978</v>
      </c>
      <c r="N158" s="822">
        <f t="shared" si="49"/>
        <v>29696912.999999978</v>
      </c>
      <c r="O158" s="875">
        <f t="shared" ref="O158:Z158" si="51">O30*O94</f>
        <v>34164213.000000045</v>
      </c>
      <c r="P158" s="879">
        <f t="shared" si="51"/>
        <v>25339305.999999985</v>
      </c>
      <c r="Q158" s="825">
        <f t="shared" si="51"/>
        <v>15410200</v>
      </c>
      <c r="R158" s="811">
        <f t="shared" si="51"/>
        <v>0</v>
      </c>
      <c r="S158" s="807">
        <f t="shared" si="51"/>
        <v>0</v>
      </c>
      <c r="T158" s="812">
        <f t="shared" si="51"/>
        <v>0</v>
      </c>
      <c r="U158" s="825">
        <f t="shared" si="51"/>
        <v>0</v>
      </c>
      <c r="V158" s="811">
        <f t="shared" si="51"/>
        <v>0</v>
      </c>
      <c r="W158" s="807">
        <f t="shared" si="51"/>
        <v>0</v>
      </c>
      <c r="X158" s="812">
        <f t="shared" si="51"/>
        <v>0</v>
      </c>
      <c r="Y158" s="825">
        <f t="shared" si="51"/>
        <v>0</v>
      </c>
      <c r="Z158" s="811">
        <f t="shared" si="51"/>
        <v>0</v>
      </c>
      <c r="AA158" s="807">
        <f t="shared" si="16"/>
        <v>0</v>
      </c>
      <c r="AB158" s="812">
        <f t="shared" si="16"/>
        <v>0</v>
      </c>
      <c r="AC158" s="825">
        <f t="shared" si="25"/>
        <v>0</v>
      </c>
      <c r="AD158" s="811">
        <f t="shared" si="25"/>
        <v>0</v>
      </c>
      <c r="AE158" s="807">
        <f t="shared" si="25"/>
        <v>0</v>
      </c>
      <c r="AF158" s="812">
        <f t="shared" si="25"/>
        <v>0</v>
      </c>
    </row>
    <row r="159" spans="1:32" ht="12.75" customHeight="1">
      <c r="A159" s="1232" t="str">
        <f t="shared" si="43"/>
        <v>40GbE</v>
      </c>
      <c r="B159" s="473" t="str">
        <f t="shared" si="43"/>
        <v>40 GbE FR</v>
      </c>
      <c r="C159" s="268" t="str">
        <f t="shared" si="43"/>
        <v>2 km</v>
      </c>
      <c r="D159" s="110" t="str">
        <f t="shared" si="43"/>
        <v>CFP</v>
      </c>
      <c r="E159" s="839">
        <f t="shared" si="45"/>
        <v>769175.84587306809</v>
      </c>
      <c r="F159" s="840">
        <f t="shared" si="45"/>
        <v>297000</v>
      </c>
      <c r="G159" s="822">
        <f t="shared" si="46"/>
        <v>984500</v>
      </c>
      <c r="H159" s="823">
        <f t="shared" si="46"/>
        <v>60500</v>
      </c>
      <c r="I159" s="839">
        <f t="shared" si="47"/>
        <v>0</v>
      </c>
      <c r="J159" s="840">
        <f t="shared" si="47"/>
        <v>0</v>
      </c>
      <c r="K159" s="822">
        <f t="shared" si="48"/>
        <v>0</v>
      </c>
      <c r="L159" s="824">
        <f t="shared" si="48"/>
        <v>0</v>
      </c>
      <c r="M159" s="886">
        <f t="shared" si="49"/>
        <v>0</v>
      </c>
      <c r="N159" s="822">
        <f t="shared" si="49"/>
        <v>0</v>
      </c>
      <c r="O159" s="875">
        <f t="shared" ref="O159:Z159" si="52">O31*O95</f>
        <v>0</v>
      </c>
      <c r="P159" s="879">
        <f t="shared" si="52"/>
        <v>0</v>
      </c>
      <c r="Q159" s="841">
        <f t="shared" si="52"/>
        <v>0</v>
      </c>
      <c r="R159" s="811">
        <f t="shared" si="52"/>
        <v>0</v>
      </c>
      <c r="S159" s="807">
        <f t="shared" si="52"/>
        <v>0</v>
      </c>
      <c r="T159" s="812">
        <f t="shared" si="52"/>
        <v>0</v>
      </c>
      <c r="U159" s="841">
        <f t="shared" si="52"/>
        <v>0</v>
      </c>
      <c r="V159" s="811">
        <f t="shared" si="52"/>
        <v>0</v>
      </c>
      <c r="W159" s="807">
        <f t="shared" si="52"/>
        <v>0</v>
      </c>
      <c r="X159" s="812">
        <f t="shared" si="52"/>
        <v>0</v>
      </c>
      <c r="Y159" s="841">
        <f t="shared" si="52"/>
        <v>0</v>
      </c>
      <c r="Z159" s="811">
        <f t="shared" si="52"/>
        <v>0</v>
      </c>
      <c r="AA159" s="807">
        <f t="shared" si="16"/>
        <v>0</v>
      </c>
      <c r="AB159" s="812">
        <f t="shared" si="16"/>
        <v>0</v>
      </c>
      <c r="AC159" s="841">
        <f t="shared" si="25"/>
        <v>0</v>
      </c>
      <c r="AD159" s="811">
        <f t="shared" si="25"/>
        <v>0</v>
      </c>
      <c r="AE159" s="807">
        <f t="shared" si="25"/>
        <v>0</v>
      </c>
      <c r="AF159" s="812">
        <f t="shared" si="25"/>
        <v>0</v>
      </c>
    </row>
    <row r="160" spans="1:32" ht="12.75" customHeight="1">
      <c r="A160" s="1232" t="str">
        <f t="shared" si="43"/>
        <v>40GbE</v>
      </c>
      <c r="B160" s="130" t="str">
        <f t="shared" si="43"/>
        <v>40 GbE LR4 subspec</v>
      </c>
      <c r="C160" s="505" t="str">
        <f t="shared" si="43"/>
        <v>2 km</v>
      </c>
      <c r="D160" s="241" t="str">
        <f t="shared" si="43"/>
        <v>QSFP+</v>
      </c>
      <c r="E160" s="839">
        <f t="shared" si="45"/>
        <v>74909487</v>
      </c>
      <c r="F160" s="840">
        <f t="shared" si="45"/>
        <v>89357236</v>
      </c>
      <c r="G160" s="822">
        <f t="shared" si="46"/>
        <v>58639096.680000007</v>
      </c>
      <c r="H160" s="823">
        <f t="shared" si="46"/>
        <v>54187322.999999993</v>
      </c>
      <c r="I160" s="839">
        <f t="shared" si="47"/>
        <v>36012182.000000007</v>
      </c>
      <c r="J160" s="840">
        <f t="shared" si="47"/>
        <v>20480342.000000004</v>
      </c>
      <c r="K160" s="822">
        <f t="shared" si="48"/>
        <v>15614458.259999992</v>
      </c>
      <c r="L160" s="824">
        <f t="shared" si="48"/>
        <v>10441298</v>
      </c>
      <c r="M160" s="886">
        <f t="shared" si="49"/>
        <v>32658522.000000007</v>
      </c>
      <c r="N160" s="822">
        <f t="shared" si="49"/>
        <v>23009933.295674007</v>
      </c>
      <c r="O160" s="875">
        <f t="shared" ref="O160:Z160" si="53">O32*O96</f>
        <v>23386507.140587837</v>
      </c>
      <c r="P160" s="879">
        <f t="shared" si="53"/>
        <v>30120783.449621439</v>
      </c>
      <c r="Q160" s="841">
        <f t="shared" si="53"/>
        <v>23080466.614412129</v>
      </c>
      <c r="R160" s="811">
        <f t="shared" si="53"/>
        <v>0</v>
      </c>
      <c r="S160" s="807">
        <f t="shared" si="53"/>
        <v>0</v>
      </c>
      <c r="T160" s="812">
        <f t="shared" si="53"/>
        <v>0</v>
      </c>
      <c r="U160" s="841">
        <f t="shared" si="53"/>
        <v>0</v>
      </c>
      <c r="V160" s="811">
        <f t="shared" si="53"/>
        <v>0</v>
      </c>
      <c r="W160" s="807">
        <f t="shared" si="53"/>
        <v>0</v>
      </c>
      <c r="X160" s="812">
        <f t="shared" si="53"/>
        <v>0</v>
      </c>
      <c r="Y160" s="841">
        <f t="shared" si="53"/>
        <v>0</v>
      </c>
      <c r="Z160" s="811">
        <f t="shared" si="53"/>
        <v>0</v>
      </c>
      <c r="AA160" s="807">
        <f t="shared" si="16"/>
        <v>0</v>
      </c>
      <c r="AB160" s="812">
        <f t="shared" si="16"/>
        <v>0</v>
      </c>
      <c r="AC160" s="841">
        <f t="shared" si="25"/>
        <v>0</v>
      </c>
      <c r="AD160" s="811">
        <f t="shared" si="25"/>
        <v>0</v>
      </c>
      <c r="AE160" s="807">
        <f t="shared" si="25"/>
        <v>0</v>
      </c>
      <c r="AF160" s="812">
        <f t="shared" si="25"/>
        <v>0</v>
      </c>
    </row>
    <row r="161" spans="1:32" ht="12.75" customHeight="1">
      <c r="A161" s="1232" t="str">
        <f t="shared" si="43"/>
        <v>40GbE</v>
      </c>
      <c r="B161" s="473" t="str">
        <f t="shared" si="43"/>
        <v>40 GbE LR4</v>
      </c>
      <c r="C161" s="473" t="str">
        <f t="shared" si="43"/>
        <v>10 km</v>
      </c>
      <c r="D161" s="110" t="str">
        <f t="shared" si="43"/>
        <v>CFP</v>
      </c>
      <c r="E161" s="839">
        <f t="shared" si="45"/>
        <v>1864837.00786831</v>
      </c>
      <c r="F161" s="840">
        <f t="shared" si="45"/>
        <v>1521510.0022922002</v>
      </c>
      <c r="G161" s="822">
        <f t="shared" si="46"/>
        <v>158691.37164382465</v>
      </c>
      <c r="H161" s="823">
        <f t="shared" si="46"/>
        <v>299622.32699422078</v>
      </c>
      <c r="I161" s="839">
        <f t="shared" si="47"/>
        <v>0</v>
      </c>
      <c r="J161" s="840">
        <f t="shared" si="47"/>
        <v>0</v>
      </c>
      <c r="K161" s="822">
        <f t="shared" si="48"/>
        <v>0</v>
      </c>
      <c r="L161" s="824">
        <f t="shared" si="48"/>
        <v>0</v>
      </c>
      <c r="M161" s="886">
        <f t="shared" si="49"/>
        <v>0</v>
      </c>
      <c r="N161" s="822">
        <f t="shared" si="49"/>
        <v>0</v>
      </c>
      <c r="O161" s="875">
        <f t="shared" ref="O161:Z161" si="54">O33*O97</f>
        <v>0</v>
      </c>
      <c r="P161" s="879">
        <f t="shared" si="54"/>
        <v>0</v>
      </c>
      <c r="Q161" s="841">
        <f t="shared" si="54"/>
        <v>0</v>
      </c>
      <c r="R161" s="811">
        <f t="shared" si="54"/>
        <v>0</v>
      </c>
      <c r="S161" s="807">
        <f t="shared" si="54"/>
        <v>0</v>
      </c>
      <c r="T161" s="812">
        <f t="shared" si="54"/>
        <v>0</v>
      </c>
      <c r="U161" s="841">
        <f t="shared" si="54"/>
        <v>0</v>
      </c>
      <c r="V161" s="811">
        <f t="shared" si="54"/>
        <v>0</v>
      </c>
      <c r="W161" s="807">
        <f t="shared" si="54"/>
        <v>0</v>
      </c>
      <c r="X161" s="812">
        <f t="shared" si="54"/>
        <v>0</v>
      </c>
      <c r="Y161" s="841">
        <f t="shared" si="54"/>
        <v>0</v>
      </c>
      <c r="Z161" s="811">
        <f t="shared" si="54"/>
        <v>0</v>
      </c>
      <c r="AA161" s="807">
        <f t="shared" si="16"/>
        <v>0</v>
      </c>
      <c r="AB161" s="812">
        <f t="shared" si="16"/>
        <v>0</v>
      </c>
      <c r="AC161" s="841">
        <f t="shared" si="25"/>
        <v>0</v>
      </c>
      <c r="AD161" s="811">
        <f t="shared" si="25"/>
        <v>0</v>
      </c>
      <c r="AE161" s="807">
        <f t="shared" si="25"/>
        <v>0</v>
      </c>
      <c r="AF161" s="812">
        <f t="shared" si="25"/>
        <v>0</v>
      </c>
    </row>
    <row r="162" spans="1:32" ht="12.75" customHeight="1">
      <c r="A162" s="1232" t="str">
        <f t="shared" si="43"/>
        <v>40GbE</v>
      </c>
      <c r="B162" s="130" t="str">
        <f t="shared" si="43"/>
        <v>40 GbE LR4</v>
      </c>
      <c r="C162" s="260" t="str">
        <f t="shared" si="43"/>
        <v>10 km</v>
      </c>
      <c r="D162" s="110" t="str">
        <f t="shared" si="43"/>
        <v>QSFP</v>
      </c>
      <c r="E162" s="839">
        <f t="shared" si="45"/>
        <v>33798142.970122196</v>
      </c>
      <c r="F162" s="840">
        <f t="shared" si="45"/>
        <v>30366881.537125133</v>
      </c>
      <c r="G162" s="822">
        <f t="shared" si="46"/>
        <v>58921083.21814537</v>
      </c>
      <c r="H162" s="823">
        <f t="shared" si="46"/>
        <v>47237072.99999997</v>
      </c>
      <c r="I162" s="839">
        <f t="shared" si="47"/>
        <v>26428837</v>
      </c>
      <c r="J162" s="840">
        <f t="shared" si="47"/>
        <v>35452177.999999978</v>
      </c>
      <c r="K162" s="822">
        <f t="shared" si="48"/>
        <v>15975334.850000001</v>
      </c>
      <c r="L162" s="824">
        <f t="shared" si="48"/>
        <v>19581954.629999988</v>
      </c>
      <c r="M162" s="886">
        <f t="shared" si="49"/>
        <v>22396449.252035711</v>
      </c>
      <c r="N162" s="822">
        <f t="shared" si="49"/>
        <v>27545070.954214018</v>
      </c>
      <c r="O162" s="875">
        <f t="shared" ref="O162:Z162" si="55">O34*O98</f>
        <v>17412660.635342002</v>
      </c>
      <c r="P162" s="879">
        <f t="shared" si="55"/>
        <v>23927927.44370918</v>
      </c>
      <c r="Q162" s="841">
        <f t="shared" si="55"/>
        <v>24274057.739292692</v>
      </c>
      <c r="R162" s="811">
        <f t="shared" si="55"/>
        <v>0</v>
      </c>
      <c r="S162" s="807">
        <f t="shared" si="55"/>
        <v>0</v>
      </c>
      <c r="T162" s="812">
        <f t="shared" si="55"/>
        <v>0</v>
      </c>
      <c r="U162" s="841">
        <f t="shared" si="55"/>
        <v>0</v>
      </c>
      <c r="V162" s="811">
        <f t="shared" si="55"/>
        <v>0</v>
      </c>
      <c r="W162" s="807">
        <f t="shared" si="55"/>
        <v>0</v>
      </c>
      <c r="X162" s="812">
        <f t="shared" si="55"/>
        <v>0</v>
      </c>
      <c r="Y162" s="841">
        <f t="shared" si="55"/>
        <v>0</v>
      </c>
      <c r="Z162" s="811">
        <f t="shared" si="55"/>
        <v>0</v>
      </c>
      <c r="AA162" s="807">
        <f t="shared" si="16"/>
        <v>0</v>
      </c>
      <c r="AB162" s="812">
        <f t="shared" si="16"/>
        <v>0</v>
      </c>
      <c r="AC162" s="841">
        <f t="shared" si="25"/>
        <v>0</v>
      </c>
      <c r="AD162" s="811">
        <f t="shared" si="25"/>
        <v>0</v>
      </c>
      <c r="AE162" s="807">
        <f t="shared" si="25"/>
        <v>0</v>
      </c>
      <c r="AF162" s="812">
        <f t="shared" si="25"/>
        <v>0</v>
      </c>
    </row>
    <row r="163" spans="1:32" ht="13.05" customHeight="1" thickBot="1">
      <c r="A163" s="1233" t="str">
        <f t="shared" si="43"/>
        <v>40GbE</v>
      </c>
      <c r="B163" s="264" t="str">
        <f t="shared" si="43"/>
        <v>40 GbE ER4</v>
      </c>
      <c r="C163" s="771" t="str">
        <f t="shared" si="43"/>
        <v>40 km</v>
      </c>
      <c r="D163" s="264" t="str">
        <f t="shared" si="43"/>
        <v>All</v>
      </c>
      <c r="E163" s="845">
        <f t="shared" si="45"/>
        <v>1868308.5930712819</v>
      </c>
      <c r="F163" s="846">
        <f t="shared" si="45"/>
        <v>1887401.5654489421</v>
      </c>
      <c r="G163" s="827">
        <f t="shared" si="46"/>
        <v>1966463.6502765114</v>
      </c>
      <c r="H163" s="828">
        <f t="shared" si="46"/>
        <v>2204380.0000000009</v>
      </c>
      <c r="I163" s="845">
        <f t="shared" si="47"/>
        <v>2081292.9999999974</v>
      </c>
      <c r="J163" s="846">
        <f t="shared" si="47"/>
        <v>3393669.9999999986</v>
      </c>
      <c r="K163" s="827">
        <f t="shared" si="48"/>
        <v>2870135.9999999991</v>
      </c>
      <c r="L163" s="830">
        <f t="shared" si="48"/>
        <v>1976439.0000000007</v>
      </c>
      <c r="M163" s="887">
        <f t="shared" si="49"/>
        <v>1522026.0000000023</v>
      </c>
      <c r="N163" s="859">
        <f t="shared" si="49"/>
        <v>1382947.0000000014</v>
      </c>
      <c r="O163" s="884">
        <f t="shared" ref="O163:Z163" si="56">O35*O99</f>
        <v>577000</v>
      </c>
      <c r="P163" s="885">
        <f t="shared" si="56"/>
        <v>520000</v>
      </c>
      <c r="Q163" s="848">
        <f t="shared" si="56"/>
        <v>234000</v>
      </c>
      <c r="R163" s="814">
        <f t="shared" si="56"/>
        <v>0</v>
      </c>
      <c r="S163" s="1013">
        <f t="shared" si="56"/>
        <v>0</v>
      </c>
      <c r="T163" s="815">
        <f t="shared" si="56"/>
        <v>0</v>
      </c>
      <c r="U163" s="848">
        <f t="shared" si="56"/>
        <v>0</v>
      </c>
      <c r="V163" s="814">
        <f t="shared" si="56"/>
        <v>0</v>
      </c>
      <c r="W163" s="1013">
        <f t="shared" si="56"/>
        <v>0</v>
      </c>
      <c r="X163" s="815">
        <f t="shared" si="56"/>
        <v>0</v>
      </c>
      <c r="Y163" s="848">
        <f t="shared" si="56"/>
        <v>0</v>
      </c>
      <c r="Z163" s="814">
        <f t="shared" si="56"/>
        <v>0</v>
      </c>
      <c r="AA163" s="1013">
        <f t="shared" si="16"/>
        <v>0</v>
      </c>
      <c r="AB163" s="815">
        <f t="shared" si="16"/>
        <v>0</v>
      </c>
      <c r="AC163" s="848">
        <f t="shared" si="25"/>
        <v>0</v>
      </c>
      <c r="AD163" s="814">
        <f t="shared" si="25"/>
        <v>0</v>
      </c>
      <c r="AE163" s="1013">
        <f t="shared" si="25"/>
        <v>0</v>
      </c>
      <c r="AF163" s="815">
        <f t="shared" si="25"/>
        <v>0</v>
      </c>
    </row>
    <row r="164" spans="1:32" ht="14.4">
      <c r="A164" s="1232" t="str">
        <f t="shared" si="43"/>
        <v>50GbE</v>
      </c>
      <c r="B164" s="261" t="str">
        <f t="shared" si="43"/>
        <v xml:space="preserve">50GbE </v>
      </c>
      <c r="C164" s="261" t="str">
        <f t="shared" si="43"/>
        <v>all</v>
      </c>
      <c r="D164" s="491" t="str">
        <f t="shared" si="43"/>
        <v>all</v>
      </c>
      <c r="E164" s="839">
        <f t="shared" si="45"/>
        <v>0</v>
      </c>
      <c r="F164" s="840">
        <f t="shared" si="45"/>
        <v>0</v>
      </c>
      <c r="G164" s="822">
        <f t="shared" si="46"/>
        <v>0</v>
      </c>
      <c r="H164" s="823">
        <f t="shared" si="46"/>
        <v>0</v>
      </c>
      <c r="I164" s="839">
        <f t="shared" si="47"/>
        <v>0</v>
      </c>
      <c r="J164" s="840">
        <f t="shared" si="47"/>
        <v>0</v>
      </c>
      <c r="K164" s="875">
        <f t="shared" si="48"/>
        <v>0</v>
      </c>
      <c r="L164" s="824">
        <f t="shared" si="48"/>
        <v>0</v>
      </c>
      <c r="M164" s="849">
        <f t="shared" si="49"/>
        <v>0</v>
      </c>
      <c r="N164" s="876">
        <f t="shared" si="49"/>
        <v>0</v>
      </c>
      <c r="O164" s="877">
        <f t="shared" ref="O164:P169" si="57">O36*O100</f>
        <v>0</v>
      </c>
      <c r="P164" s="878">
        <f t="shared" si="57"/>
        <v>0</v>
      </c>
      <c r="Q164" s="864"/>
      <c r="R164" s="818">
        <f t="shared" ref="R164:U186" si="58">R36*R100</f>
        <v>0</v>
      </c>
      <c r="S164" s="1011">
        <f t="shared" si="58"/>
        <v>0</v>
      </c>
      <c r="T164" s="819">
        <f t="shared" si="58"/>
        <v>0</v>
      </c>
      <c r="U164" s="818">
        <f t="shared" ref="U164:Z164" si="59">U36*U100</f>
        <v>0</v>
      </c>
      <c r="V164" s="818">
        <f t="shared" si="59"/>
        <v>0</v>
      </c>
      <c r="W164" s="1011">
        <f t="shared" si="59"/>
        <v>0</v>
      </c>
      <c r="X164" s="819">
        <f t="shared" si="59"/>
        <v>0</v>
      </c>
      <c r="Y164" s="818">
        <f t="shared" si="59"/>
        <v>0</v>
      </c>
      <c r="Z164" s="818">
        <f t="shared" si="59"/>
        <v>0</v>
      </c>
      <c r="AA164" s="1011">
        <f t="shared" si="16"/>
        <v>0</v>
      </c>
      <c r="AB164" s="819">
        <f t="shared" si="16"/>
        <v>0</v>
      </c>
      <c r="AC164" s="818">
        <f t="shared" si="25"/>
        <v>0</v>
      </c>
      <c r="AD164" s="818">
        <f t="shared" si="25"/>
        <v>0</v>
      </c>
      <c r="AE164" s="1011">
        <f t="shared" si="25"/>
        <v>0</v>
      </c>
      <c r="AF164" s="819">
        <f t="shared" si="25"/>
        <v>0</v>
      </c>
    </row>
    <row r="165" spans="1:32" ht="14.4">
      <c r="A165" s="1232" t="str">
        <f t="shared" si="43"/>
        <v>50GbE</v>
      </c>
      <c r="B165" s="179">
        <f t="shared" si="43"/>
        <v>0</v>
      </c>
      <c r="C165" s="179">
        <f t="shared" si="43"/>
        <v>0</v>
      </c>
      <c r="D165" s="241" t="str">
        <f t="shared" si="43"/>
        <v>all</v>
      </c>
      <c r="E165" s="839">
        <f t="shared" si="45"/>
        <v>0</v>
      </c>
      <c r="F165" s="840">
        <f t="shared" si="45"/>
        <v>0</v>
      </c>
      <c r="G165" s="822">
        <f t="shared" si="46"/>
        <v>0</v>
      </c>
      <c r="H165" s="823">
        <f t="shared" si="46"/>
        <v>0</v>
      </c>
      <c r="I165" s="839">
        <f t="shared" si="47"/>
        <v>0</v>
      </c>
      <c r="J165" s="840">
        <f t="shared" si="47"/>
        <v>0</v>
      </c>
      <c r="K165" s="875">
        <f t="shared" si="48"/>
        <v>0</v>
      </c>
      <c r="L165" s="824">
        <f t="shared" si="48"/>
        <v>0</v>
      </c>
      <c r="M165" s="886">
        <f t="shared" si="49"/>
        <v>0</v>
      </c>
      <c r="N165" s="822">
        <f t="shared" si="49"/>
        <v>0</v>
      </c>
      <c r="O165" s="875">
        <f t="shared" si="57"/>
        <v>0</v>
      </c>
      <c r="P165" s="879">
        <f t="shared" si="57"/>
        <v>0</v>
      </c>
      <c r="Q165" s="841"/>
      <c r="R165" s="811">
        <f t="shared" si="58"/>
        <v>0</v>
      </c>
      <c r="S165" s="807">
        <f t="shared" si="58"/>
        <v>0</v>
      </c>
      <c r="T165" s="812">
        <f t="shared" si="58"/>
        <v>0</v>
      </c>
      <c r="U165" s="811">
        <f t="shared" si="58"/>
        <v>0</v>
      </c>
      <c r="V165" s="811">
        <f t="shared" ref="V165:X186" si="60">V37*V101</f>
        <v>0</v>
      </c>
      <c r="W165" s="807">
        <f t="shared" si="60"/>
        <v>0</v>
      </c>
      <c r="X165" s="812">
        <f t="shared" si="60"/>
        <v>0</v>
      </c>
      <c r="Y165" s="811"/>
      <c r="Z165" s="811">
        <f t="shared" ref="Z165:AB186" si="61">Z37*Z101</f>
        <v>0</v>
      </c>
      <c r="AA165" s="807"/>
      <c r="AB165" s="812">
        <f t="shared" si="61"/>
        <v>0</v>
      </c>
      <c r="AC165" s="811">
        <f t="shared" si="25"/>
        <v>0</v>
      </c>
      <c r="AD165" s="811">
        <f t="shared" si="25"/>
        <v>0</v>
      </c>
      <c r="AE165" s="807">
        <f t="shared" si="25"/>
        <v>0</v>
      </c>
      <c r="AF165" s="812">
        <f t="shared" si="25"/>
        <v>0</v>
      </c>
    </row>
    <row r="166" spans="1:32" ht="15" thickBot="1">
      <c r="A166" s="1233" t="str">
        <f t="shared" si="43"/>
        <v>50GbE</v>
      </c>
      <c r="B166" s="804">
        <f t="shared" si="43"/>
        <v>0</v>
      </c>
      <c r="C166" s="179">
        <f t="shared" si="43"/>
        <v>0</v>
      </c>
      <c r="D166" s="270">
        <f t="shared" si="43"/>
        <v>0</v>
      </c>
      <c r="E166" s="845">
        <f t="shared" si="45"/>
        <v>0</v>
      </c>
      <c r="F166" s="846">
        <f t="shared" si="45"/>
        <v>0</v>
      </c>
      <c r="G166" s="827">
        <f t="shared" si="46"/>
        <v>0</v>
      </c>
      <c r="H166" s="828">
        <f t="shared" si="46"/>
        <v>0</v>
      </c>
      <c r="I166" s="845">
        <f t="shared" si="47"/>
        <v>0</v>
      </c>
      <c r="J166" s="846">
        <f t="shared" si="47"/>
        <v>0</v>
      </c>
      <c r="K166" s="880">
        <f t="shared" si="48"/>
        <v>0</v>
      </c>
      <c r="L166" s="830">
        <f t="shared" si="48"/>
        <v>0</v>
      </c>
      <c r="M166" s="888">
        <f t="shared" si="49"/>
        <v>0</v>
      </c>
      <c r="N166" s="827">
        <f t="shared" si="49"/>
        <v>0</v>
      </c>
      <c r="O166" s="880">
        <f t="shared" si="57"/>
        <v>0</v>
      </c>
      <c r="P166" s="881">
        <f t="shared" si="57"/>
        <v>0</v>
      </c>
      <c r="Q166" s="847">
        <f t="shared" ref="Q166:Q186" si="62">Q38*Q102</f>
        <v>700000</v>
      </c>
      <c r="R166" s="829">
        <f t="shared" si="58"/>
        <v>0</v>
      </c>
      <c r="S166" s="813">
        <f t="shared" si="58"/>
        <v>0</v>
      </c>
      <c r="T166" s="832">
        <f t="shared" si="58"/>
        <v>0</v>
      </c>
      <c r="U166" s="847">
        <f t="shared" ref="U166:U186" si="63">U38*U102</f>
        <v>0</v>
      </c>
      <c r="V166" s="829">
        <f t="shared" si="60"/>
        <v>0</v>
      </c>
      <c r="W166" s="813">
        <f t="shared" si="60"/>
        <v>0</v>
      </c>
      <c r="X166" s="832">
        <f t="shared" si="60"/>
        <v>0</v>
      </c>
      <c r="Y166" s="847">
        <f t="shared" ref="Y166:AA186" si="64">Y38*Y102</f>
        <v>0</v>
      </c>
      <c r="Z166" s="829">
        <f t="shared" si="61"/>
        <v>0</v>
      </c>
      <c r="AA166" s="813">
        <f t="shared" si="64"/>
        <v>0</v>
      </c>
      <c r="AB166" s="832">
        <f t="shared" si="61"/>
        <v>0</v>
      </c>
      <c r="AC166" s="847">
        <f t="shared" si="25"/>
        <v>0</v>
      </c>
      <c r="AD166" s="829">
        <f t="shared" si="25"/>
        <v>0</v>
      </c>
      <c r="AE166" s="813">
        <f t="shared" si="25"/>
        <v>0</v>
      </c>
      <c r="AF166" s="832">
        <f t="shared" si="25"/>
        <v>0</v>
      </c>
    </row>
    <row r="167" spans="1:32" ht="12.75" customHeight="1">
      <c r="A167" s="1234" t="str">
        <f t="shared" si="43"/>
        <v>100GbE</v>
      </c>
      <c r="B167" s="469" t="str">
        <f t="shared" si="43"/>
        <v xml:space="preserve">100 GbE SR10 </v>
      </c>
      <c r="C167" s="472" t="str">
        <f t="shared" si="43"/>
        <v>100 m</v>
      </c>
      <c r="D167" s="110" t="str">
        <f t="shared" si="43"/>
        <v>CFP</v>
      </c>
      <c r="E167" s="833">
        <f t="shared" si="45"/>
        <v>2600000</v>
      </c>
      <c r="F167" s="834">
        <f t="shared" si="45"/>
        <v>2600000</v>
      </c>
      <c r="G167" s="835">
        <f t="shared" si="46"/>
        <v>1207857.0000000007</v>
      </c>
      <c r="H167" s="844">
        <f t="shared" si="46"/>
        <v>2395148.0000000005</v>
      </c>
      <c r="I167" s="833">
        <f t="shared" si="47"/>
        <v>1775651.0000000009</v>
      </c>
      <c r="J167" s="834">
        <f t="shared" si="47"/>
        <v>1641464.0000000035</v>
      </c>
      <c r="K167" s="876">
        <f t="shared" si="48"/>
        <v>1207010.0000000012</v>
      </c>
      <c r="L167" s="836">
        <f t="shared" si="48"/>
        <v>566186.99999999837</v>
      </c>
      <c r="M167" s="860">
        <f t="shared" si="49"/>
        <v>0</v>
      </c>
      <c r="N167" s="835">
        <f t="shared" si="49"/>
        <v>0</v>
      </c>
      <c r="O167" s="882">
        <f t="shared" si="57"/>
        <v>0</v>
      </c>
      <c r="P167" s="883">
        <f t="shared" si="57"/>
        <v>0</v>
      </c>
      <c r="Q167" s="838">
        <f t="shared" si="62"/>
        <v>0</v>
      </c>
      <c r="R167" s="808">
        <f t="shared" si="58"/>
        <v>0</v>
      </c>
      <c r="S167" s="837">
        <f t="shared" si="58"/>
        <v>0</v>
      </c>
      <c r="T167" s="809">
        <f t="shared" si="58"/>
        <v>0</v>
      </c>
      <c r="U167" s="838">
        <f t="shared" si="63"/>
        <v>0</v>
      </c>
      <c r="V167" s="808">
        <f t="shared" si="60"/>
        <v>0</v>
      </c>
      <c r="W167" s="837">
        <f t="shared" si="60"/>
        <v>0</v>
      </c>
      <c r="X167" s="809">
        <f t="shared" si="60"/>
        <v>0</v>
      </c>
      <c r="Y167" s="838">
        <f t="shared" si="64"/>
        <v>0</v>
      </c>
      <c r="Z167" s="808">
        <f t="shared" si="61"/>
        <v>0</v>
      </c>
      <c r="AA167" s="837">
        <f t="shared" si="64"/>
        <v>0</v>
      </c>
      <c r="AB167" s="809">
        <f t="shared" si="61"/>
        <v>0</v>
      </c>
      <c r="AC167" s="838">
        <f t="shared" si="25"/>
        <v>0</v>
      </c>
      <c r="AD167" s="808">
        <f t="shared" si="25"/>
        <v>0</v>
      </c>
      <c r="AE167" s="837">
        <f t="shared" si="25"/>
        <v>0</v>
      </c>
      <c r="AF167" s="809">
        <f t="shared" si="25"/>
        <v>0</v>
      </c>
    </row>
    <row r="168" spans="1:32" ht="12.75" customHeight="1">
      <c r="A168" s="1232" t="str">
        <f t="shared" si="43"/>
        <v>100GbE</v>
      </c>
      <c r="B168" s="469" t="str">
        <f t="shared" si="43"/>
        <v>100 GbE SR4</v>
      </c>
      <c r="C168" s="470" t="str">
        <f t="shared" si="43"/>
        <v>100 m</v>
      </c>
      <c r="D168" s="110" t="str">
        <f t="shared" si="43"/>
        <v>CFP2/4</v>
      </c>
      <c r="E168" s="821">
        <f t="shared" si="45"/>
        <v>1100000</v>
      </c>
      <c r="F168" s="822">
        <f t="shared" si="45"/>
        <v>1100000</v>
      </c>
      <c r="G168" s="822">
        <f t="shared" si="46"/>
        <v>78644.000000000175</v>
      </c>
      <c r="H168" s="823">
        <f t="shared" si="46"/>
        <v>200484.00000000055</v>
      </c>
      <c r="I168" s="821">
        <f t="shared" si="47"/>
        <v>0</v>
      </c>
      <c r="J168" s="822">
        <f t="shared" si="47"/>
        <v>0</v>
      </c>
      <c r="K168" s="822">
        <f t="shared" si="48"/>
        <v>503004.4</v>
      </c>
      <c r="L168" s="824">
        <f t="shared" si="48"/>
        <v>491384.3299999999</v>
      </c>
      <c r="M168" s="850">
        <f t="shared" si="49"/>
        <v>0</v>
      </c>
      <c r="N168" s="822">
        <f t="shared" si="49"/>
        <v>0</v>
      </c>
      <c r="O168" s="875">
        <f t="shared" si="57"/>
        <v>0</v>
      </c>
      <c r="P168" s="879">
        <f t="shared" si="57"/>
        <v>0</v>
      </c>
      <c r="Q168" s="825">
        <f t="shared" si="62"/>
        <v>0</v>
      </c>
      <c r="R168" s="811">
        <f t="shared" si="58"/>
        <v>0</v>
      </c>
      <c r="S168" s="807">
        <f t="shared" si="58"/>
        <v>0</v>
      </c>
      <c r="T168" s="812">
        <f t="shared" si="58"/>
        <v>0</v>
      </c>
      <c r="U168" s="825">
        <f t="shared" si="63"/>
        <v>0</v>
      </c>
      <c r="V168" s="811">
        <f t="shared" si="60"/>
        <v>0</v>
      </c>
      <c r="W168" s="807">
        <f t="shared" si="60"/>
        <v>0</v>
      </c>
      <c r="X168" s="812">
        <f t="shared" si="60"/>
        <v>0</v>
      </c>
      <c r="Y168" s="825">
        <f t="shared" si="64"/>
        <v>0</v>
      </c>
      <c r="Z168" s="811">
        <f t="shared" si="61"/>
        <v>0</v>
      </c>
      <c r="AA168" s="807">
        <f t="shared" si="64"/>
        <v>0</v>
      </c>
      <c r="AB168" s="812">
        <f t="shared" si="61"/>
        <v>0</v>
      </c>
      <c r="AC168" s="825">
        <f t="shared" si="25"/>
        <v>0</v>
      </c>
      <c r="AD168" s="811">
        <f t="shared" si="25"/>
        <v>0</v>
      </c>
      <c r="AE168" s="807">
        <f t="shared" si="25"/>
        <v>0</v>
      </c>
      <c r="AF168" s="812">
        <f t="shared" si="25"/>
        <v>0</v>
      </c>
    </row>
    <row r="169" spans="1:32" ht="12.75" customHeight="1">
      <c r="A169" s="1232" t="str">
        <f t="shared" si="43"/>
        <v>100GbE</v>
      </c>
      <c r="B169" s="260" t="str">
        <f t="shared" si="43"/>
        <v>100 GbE SR4</v>
      </c>
      <c r="C169" s="130" t="str">
        <f t="shared" si="43"/>
        <v>100 m</v>
      </c>
      <c r="D169" s="241" t="str">
        <f t="shared" si="43"/>
        <v>QSFP28</v>
      </c>
      <c r="E169" s="839">
        <f t="shared" si="45"/>
        <v>20135587</v>
      </c>
      <c r="F169" s="840">
        <f t="shared" si="45"/>
        <v>26493511</v>
      </c>
      <c r="G169" s="822">
        <f t="shared" si="46"/>
        <v>30741654.189999998</v>
      </c>
      <c r="H169" s="823">
        <f t="shared" si="46"/>
        <v>35991575.190720007</v>
      </c>
      <c r="I169" s="839">
        <f t="shared" si="47"/>
        <v>35164827.122171953</v>
      </c>
      <c r="J169" s="840">
        <f t="shared" si="47"/>
        <v>74978868.184727699</v>
      </c>
      <c r="K169" s="822">
        <f t="shared" si="48"/>
        <v>64559671.469455354</v>
      </c>
      <c r="L169" s="824">
        <f t="shared" si="48"/>
        <v>42831580.090539008</v>
      </c>
      <c r="M169" s="886">
        <f t="shared" si="49"/>
        <v>40604084.714285716</v>
      </c>
      <c r="N169" s="822">
        <f t="shared" si="49"/>
        <v>42995683.935064949</v>
      </c>
      <c r="O169" s="822">
        <f t="shared" si="57"/>
        <v>33822000</v>
      </c>
      <c r="P169" s="822">
        <f t="shared" si="57"/>
        <v>51116000</v>
      </c>
      <c r="Q169" s="841">
        <f t="shared" si="62"/>
        <v>45881047.142857142</v>
      </c>
      <c r="R169" s="811">
        <f t="shared" si="58"/>
        <v>0</v>
      </c>
      <c r="S169" s="811">
        <f t="shared" si="58"/>
        <v>0</v>
      </c>
      <c r="T169" s="812">
        <f t="shared" si="58"/>
        <v>0</v>
      </c>
      <c r="U169" s="841">
        <f t="shared" si="63"/>
        <v>0</v>
      </c>
      <c r="V169" s="811">
        <f t="shared" si="60"/>
        <v>0</v>
      </c>
      <c r="W169" s="811">
        <f t="shared" si="60"/>
        <v>0</v>
      </c>
      <c r="X169" s="812">
        <f t="shared" si="60"/>
        <v>0</v>
      </c>
      <c r="Y169" s="841">
        <f t="shared" si="64"/>
        <v>0</v>
      </c>
      <c r="Z169" s="811">
        <f t="shared" si="61"/>
        <v>0</v>
      </c>
      <c r="AA169" s="811">
        <f t="shared" si="64"/>
        <v>0</v>
      </c>
      <c r="AB169" s="812">
        <f t="shared" si="61"/>
        <v>0</v>
      </c>
      <c r="AC169" s="841">
        <f t="shared" si="25"/>
        <v>0</v>
      </c>
      <c r="AD169" s="811">
        <f t="shared" si="25"/>
        <v>0</v>
      </c>
      <c r="AE169" s="811">
        <f t="shared" si="25"/>
        <v>0</v>
      </c>
      <c r="AF169" s="812">
        <f t="shared" si="25"/>
        <v>0</v>
      </c>
    </row>
    <row r="170" spans="1:32" ht="12.75" customHeight="1">
      <c r="A170" s="1232" t="str">
        <f t="shared" si="43"/>
        <v>100GbE</v>
      </c>
      <c r="B170" s="260" t="str">
        <f t="shared" si="43"/>
        <v>100 GbE SR2</v>
      </c>
      <c r="C170" s="130" t="str">
        <f t="shared" si="43"/>
        <v>100 m</v>
      </c>
      <c r="D170" s="241" t="str">
        <f t="shared" si="43"/>
        <v>All</v>
      </c>
      <c r="E170" s="839"/>
      <c r="F170" s="840"/>
      <c r="G170" s="822"/>
      <c r="H170" s="823"/>
      <c r="I170" s="839"/>
      <c r="J170" s="840"/>
      <c r="K170" s="822"/>
      <c r="L170" s="824"/>
      <c r="M170" s="886"/>
      <c r="N170" s="822"/>
      <c r="O170" s="822"/>
      <c r="P170" s="822"/>
      <c r="Q170" s="841">
        <f t="shared" si="62"/>
        <v>0</v>
      </c>
      <c r="R170" s="811">
        <f t="shared" si="58"/>
        <v>0</v>
      </c>
      <c r="S170" s="811">
        <f t="shared" si="58"/>
        <v>0</v>
      </c>
      <c r="T170" s="812">
        <f t="shared" si="58"/>
        <v>0</v>
      </c>
      <c r="U170" s="841">
        <f t="shared" si="63"/>
        <v>0</v>
      </c>
      <c r="V170" s="811">
        <f t="shared" si="60"/>
        <v>0</v>
      </c>
      <c r="W170" s="811">
        <f t="shared" si="60"/>
        <v>0</v>
      </c>
      <c r="X170" s="812">
        <f t="shared" si="60"/>
        <v>0</v>
      </c>
      <c r="Y170" s="841">
        <f t="shared" si="64"/>
        <v>0</v>
      </c>
      <c r="Z170" s="811">
        <f t="shared" si="61"/>
        <v>0</v>
      </c>
      <c r="AA170" s="811">
        <f t="shared" si="64"/>
        <v>0</v>
      </c>
      <c r="AB170" s="812">
        <f t="shared" si="61"/>
        <v>0</v>
      </c>
      <c r="AC170" s="841">
        <f t="shared" si="25"/>
        <v>0</v>
      </c>
      <c r="AD170" s="811">
        <f t="shared" si="25"/>
        <v>0</v>
      </c>
      <c r="AE170" s="811">
        <f t="shared" si="25"/>
        <v>0</v>
      </c>
      <c r="AF170" s="812">
        <f t="shared" si="25"/>
        <v>0</v>
      </c>
    </row>
    <row r="171" spans="1:32" ht="12.75" customHeight="1">
      <c r="A171" s="1232" t="str">
        <f t="shared" si="43"/>
        <v>100GbE</v>
      </c>
      <c r="B171" s="260" t="str">
        <f t="shared" si="43"/>
        <v>100 GbE MM Duplex, eSR4</v>
      </c>
      <c r="C171" s="130" t="str">
        <f t="shared" si="43"/>
        <v>300 m</v>
      </c>
      <c r="D171" s="241" t="str">
        <f t="shared" si="43"/>
        <v>QSFP28</v>
      </c>
      <c r="E171" s="839"/>
      <c r="F171" s="840"/>
      <c r="G171" s="822"/>
      <c r="H171" s="823"/>
      <c r="I171" s="839"/>
      <c r="J171" s="840"/>
      <c r="K171" s="822"/>
      <c r="L171" s="824"/>
      <c r="M171" s="886">
        <f t="shared" ref="M171:P173" si="65">M107*M43</f>
        <v>1803083.9999999995</v>
      </c>
      <c r="N171" s="822">
        <f t="shared" si="65"/>
        <v>4105269.9999999944</v>
      </c>
      <c r="O171" s="822">
        <f t="shared" si="65"/>
        <v>4100000</v>
      </c>
      <c r="P171" s="822">
        <f t="shared" si="65"/>
        <v>5000000</v>
      </c>
      <c r="Q171" s="841">
        <f t="shared" si="62"/>
        <v>35700000</v>
      </c>
      <c r="R171" s="811">
        <f t="shared" si="58"/>
        <v>0</v>
      </c>
      <c r="S171" s="811">
        <f t="shared" si="58"/>
        <v>0</v>
      </c>
      <c r="T171" s="812">
        <f t="shared" si="58"/>
        <v>0</v>
      </c>
      <c r="U171" s="841">
        <f t="shared" si="63"/>
        <v>0</v>
      </c>
      <c r="V171" s="811">
        <f t="shared" si="60"/>
        <v>0</v>
      </c>
      <c r="W171" s="811">
        <f t="shared" si="60"/>
        <v>0</v>
      </c>
      <c r="X171" s="812">
        <f t="shared" si="60"/>
        <v>0</v>
      </c>
      <c r="Y171" s="841">
        <f t="shared" si="64"/>
        <v>0</v>
      </c>
      <c r="Z171" s="811">
        <f t="shared" si="61"/>
        <v>0</v>
      </c>
      <c r="AA171" s="811">
        <f t="shared" si="64"/>
        <v>0</v>
      </c>
      <c r="AB171" s="812">
        <f t="shared" si="61"/>
        <v>0</v>
      </c>
      <c r="AC171" s="841">
        <f t="shared" si="25"/>
        <v>0</v>
      </c>
      <c r="AD171" s="811">
        <f t="shared" si="25"/>
        <v>0</v>
      </c>
      <c r="AE171" s="811">
        <f t="shared" si="25"/>
        <v>0</v>
      </c>
      <c r="AF171" s="812">
        <f t="shared" si="25"/>
        <v>0</v>
      </c>
    </row>
    <row r="172" spans="1:32" ht="12.75" customHeight="1">
      <c r="A172" s="1232" t="str">
        <f t="shared" si="43"/>
        <v>100GbE</v>
      </c>
      <c r="B172" s="265" t="str">
        <f t="shared" si="43"/>
        <v>100 GbE PSM4</v>
      </c>
      <c r="C172" s="266" t="str">
        <f t="shared" si="43"/>
        <v>500 m</v>
      </c>
      <c r="D172" s="267" t="str">
        <f t="shared" si="43"/>
        <v>all</v>
      </c>
      <c r="E172" s="821">
        <f>E108*E44</f>
        <v>37666426</v>
      </c>
      <c r="F172" s="822">
        <f>F108*F44</f>
        <v>47811457</v>
      </c>
      <c r="G172" s="822">
        <f>G44*G108</f>
        <v>36375560</v>
      </c>
      <c r="H172" s="823">
        <f>H44*H108</f>
        <v>36240560</v>
      </c>
      <c r="I172" s="821">
        <f>I108*I44</f>
        <v>29408453</v>
      </c>
      <c r="J172" s="822">
        <f>J108*J44</f>
        <v>33161775</v>
      </c>
      <c r="K172" s="822">
        <f>K44*K108</f>
        <v>17869500</v>
      </c>
      <c r="L172" s="824">
        <f>L44*L108</f>
        <v>16261200</v>
      </c>
      <c r="M172" s="850">
        <f t="shared" si="65"/>
        <v>8189999.9999999991</v>
      </c>
      <c r="N172" s="822">
        <f t="shared" si="65"/>
        <v>12389999.999999998</v>
      </c>
      <c r="O172" s="822">
        <f t="shared" si="65"/>
        <v>15660000.000000002</v>
      </c>
      <c r="P172" s="822">
        <f t="shared" si="65"/>
        <v>24450000.000000022</v>
      </c>
      <c r="Q172" s="825">
        <f t="shared" si="62"/>
        <v>27459301.882388864</v>
      </c>
      <c r="R172" s="811">
        <f t="shared" si="58"/>
        <v>0</v>
      </c>
      <c r="S172" s="811">
        <f t="shared" si="58"/>
        <v>0</v>
      </c>
      <c r="T172" s="812">
        <f t="shared" si="58"/>
        <v>0</v>
      </c>
      <c r="U172" s="825">
        <f t="shared" si="63"/>
        <v>0</v>
      </c>
      <c r="V172" s="811">
        <f t="shared" si="60"/>
        <v>0</v>
      </c>
      <c r="W172" s="811">
        <f t="shared" si="60"/>
        <v>0</v>
      </c>
      <c r="X172" s="812">
        <f t="shared" si="60"/>
        <v>0</v>
      </c>
      <c r="Y172" s="825">
        <f t="shared" si="64"/>
        <v>0</v>
      </c>
      <c r="Z172" s="811">
        <f t="shared" si="61"/>
        <v>0</v>
      </c>
      <c r="AA172" s="811">
        <f t="shared" si="64"/>
        <v>0</v>
      </c>
      <c r="AB172" s="812">
        <f t="shared" si="61"/>
        <v>0</v>
      </c>
      <c r="AC172" s="825">
        <f t="shared" si="25"/>
        <v>0</v>
      </c>
      <c r="AD172" s="811">
        <f t="shared" si="25"/>
        <v>0</v>
      </c>
      <c r="AE172" s="811">
        <f t="shared" si="25"/>
        <v>0</v>
      </c>
      <c r="AF172" s="812">
        <f t="shared" si="25"/>
        <v>0</v>
      </c>
    </row>
    <row r="173" spans="1:32" ht="12.75" customHeight="1">
      <c r="A173" s="1232" t="str">
        <f t="shared" ref="A173:A189" si="66">A45</f>
        <v>100GbE</v>
      </c>
      <c r="B173" s="649" t="s">
        <v>514</v>
      </c>
      <c r="C173" s="473" t="s">
        <v>188</v>
      </c>
      <c r="D173" s="241" t="s">
        <v>213</v>
      </c>
      <c r="E173" s="821"/>
      <c r="F173" s="822"/>
      <c r="G173" s="822"/>
      <c r="H173" s="823"/>
      <c r="I173" s="821"/>
      <c r="J173" s="822"/>
      <c r="K173" s="822"/>
      <c r="L173" s="824"/>
      <c r="M173" s="850">
        <f t="shared" si="65"/>
        <v>0</v>
      </c>
      <c r="N173" s="822">
        <f t="shared" si="65"/>
        <v>0</v>
      </c>
      <c r="O173" s="822">
        <f t="shared" si="65"/>
        <v>500000</v>
      </c>
      <c r="P173" s="822">
        <f t="shared" si="65"/>
        <v>3200000</v>
      </c>
      <c r="Q173" s="825">
        <f t="shared" si="62"/>
        <v>8410000</v>
      </c>
      <c r="R173" s="811">
        <f t="shared" si="58"/>
        <v>0</v>
      </c>
      <c r="S173" s="811">
        <f t="shared" si="58"/>
        <v>0</v>
      </c>
      <c r="T173" s="812">
        <f t="shared" si="58"/>
        <v>0</v>
      </c>
      <c r="U173" s="825">
        <f t="shared" si="63"/>
        <v>0</v>
      </c>
      <c r="V173" s="811">
        <f t="shared" si="60"/>
        <v>0</v>
      </c>
      <c r="W173" s="811">
        <f t="shared" si="60"/>
        <v>0</v>
      </c>
      <c r="X173" s="812">
        <f t="shared" si="60"/>
        <v>0</v>
      </c>
      <c r="Y173" s="825">
        <f t="shared" si="64"/>
        <v>0</v>
      </c>
      <c r="Z173" s="811">
        <f t="shared" si="61"/>
        <v>0</v>
      </c>
      <c r="AA173" s="811">
        <f t="shared" si="64"/>
        <v>0</v>
      </c>
      <c r="AB173" s="812">
        <f t="shared" si="61"/>
        <v>0</v>
      </c>
      <c r="AC173" s="825">
        <f t="shared" si="25"/>
        <v>0</v>
      </c>
      <c r="AD173" s="811">
        <f t="shared" si="25"/>
        <v>0</v>
      </c>
      <c r="AE173" s="811">
        <f t="shared" si="25"/>
        <v>0</v>
      </c>
      <c r="AF173" s="2134">
        <f t="shared" si="25"/>
        <v>0</v>
      </c>
    </row>
    <row r="174" spans="1:32" ht="23.25" customHeight="1">
      <c r="A174" s="1232" t="str">
        <f t="shared" si="66"/>
        <v>100GbE</v>
      </c>
      <c r="B174" s="268" t="str">
        <f t="shared" ref="B174:D189" si="67">B46</f>
        <v>100 GbE CWDM4</v>
      </c>
      <c r="C174" s="268" t="str">
        <f t="shared" si="67"/>
        <v>2 km</v>
      </c>
      <c r="D174" s="241" t="str">
        <f t="shared" si="67"/>
        <v>QSFP28</v>
      </c>
      <c r="E174" s="851">
        <f t="shared" ref="E174:F179" si="68">E110*E46</f>
        <v>61831486</v>
      </c>
      <c r="F174" s="852">
        <f t="shared" si="68"/>
        <v>103782452</v>
      </c>
      <c r="G174" s="822">
        <f t="shared" ref="G174:H179" si="69">G46*G110</f>
        <v>151694516.00000003</v>
      </c>
      <c r="H174" s="823">
        <f t="shared" si="69"/>
        <v>177902746.16000003</v>
      </c>
      <c r="I174" s="889">
        <f t="shared" ref="I174:J179" si="70">I110*I46</f>
        <v>257533438.64705876</v>
      </c>
      <c r="J174" s="890">
        <f t="shared" si="70"/>
        <v>248355916.0321168</v>
      </c>
      <c r="K174" s="891">
        <f t="shared" ref="K174:L179" si="71">K46*K110</f>
        <v>219871800.6642336</v>
      </c>
      <c r="L174" s="824">
        <f t="shared" si="71"/>
        <v>224997291.39416066</v>
      </c>
      <c r="M174" s="892">
        <f t="shared" ref="M174:N186" si="72">M110*M46</f>
        <v>186062204.54933605</v>
      </c>
      <c r="N174" s="891">
        <f t="shared" si="72"/>
        <v>184488270.27724001</v>
      </c>
      <c r="O174" s="891">
        <f t="shared" ref="O174:P186" si="73">O46*O110</f>
        <v>179857912.02328598</v>
      </c>
      <c r="P174" s="891">
        <f t="shared" si="73"/>
        <v>224519271.07350132</v>
      </c>
      <c r="Q174" s="853">
        <f t="shared" si="62"/>
        <v>164968239.71328914</v>
      </c>
      <c r="R174" s="811">
        <f t="shared" si="58"/>
        <v>0</v>
      </c>
      <c r="S174" s="811">
        <f t="shared" si="58"/>
        <v>0</v>
      </c>
      <c r="T174" s="812">
        <f t="shared" si="58"/>
        <v>0</v>
      </c>
      <c r="U174" s="853">
        <f t="shared" si="63"/>
        <v>0</v>
      </c>
      <c r="V174" s="811">
        <f t="shared" si="60"/>
        <v>0</v>
      </c>
      <c r="W174" s="811">
        <f t="shared" si="60"/>
        <v>0</v>
      </c>
      <c r="X174" s="812">
        <f t="shared" si="60"/>
        <v>0</v>
      </c>
      <c r="Y174" s="853">
        <f t="shared" si="64"/>
        <v>0</v>
      </c>
      <c r="Z174" s="811">
        <f t="shared" si="61"/>
        <v>0</v>
      </c>
      <c r="AA174" s="811">
        <f t="shared" si="64"/>
        <v>0</v>
      </c>
      <c r="AB174" s="812">
        <f t="shared" si="61"/>
        <v>0</v>
      </c>
      <c r="AC174" s="853">
        <f t="shared" si="25"/>
        <v>0</v>
      </c>
      <c r="AD174" s="811">
        <f t="shared" si="25"/>
        <v>0</v>
      </c>
      <c r="AE174" s="811">
        <f t="shared" si="25"/>
        <v>0</v>
      </c>
      <c r="AF174" s="2134">
        <f t="shared" si="25"/>
        <v>0</v>
      </c>
    </row>
    <row r="175" spans="1:32" ht="17.25" customHeight="1">
      <c r="A175" s="1232" t="str">
        <f t="shared" si="66"/>
        <v>100GbE</v>
      </c>
      <c r="B175" s="268" t="str">
        <f t="shared" si="67"/>
        <v>100GbE FR1</v>
      </c>
      <c r="C175" s="268" t="str">
        <f t="shared" si="67"/>
        <v>2km</v>
      </c>
      <c r="D175" s="241" t="str">
        <f t="shared" si="67"/>
        <v>QSFP28</v>
      </c>
      <c r="E175" s="851">
        <f t="shared" si="68"/>
        <v>0</v>
      </c>
      <c r="F175" s="852">
        <f t="shared" si="68"/>
        <v>0</v>
      </c>
      <c r="G175" s="822">
        <f t="shared" si="69"/>
        <v>0</v>
      </c>
      <c r="H175" s="823">
        <f t="shared" si="69"/>
        <v>0</v>
      </c>
      <c r="I175" s="889">
        <f t="shared" si="70"/>
        <v>0</v>
      </c>
      <c r="J175" s="890">
        <f t="shared" si="70"/>
        <v>0</v>
      </c>
      <c r="K175" s="891">
        <f t="shared" si="71"/>
        <v>6000</v>
      </c>
      <c r="L175" s="824">
        <f t="shared" si="71"/>
        <v>5750</v>
      </c>
      <c r="M175" s="892">
        <f t="shared" si="72"/>
        <v>411000</v>
      </c>
      <c r="N175" s="891">
        <f t="shared" si="72"/>
        <v>392960</v>
      </c>
      <c r="O175" s="893">
        <f t="shared" si="73"/>
        <v>364500</v>
      </c>
      <c r="P175" s="894">
        <f t="shared" si="73"/>
        <v>1555000</v>
      </c>
      <c r="Q175" s="853">
        <f t="shared" si="62"/>
        <v>2611552</v>
      </c>
      <c r="R175" s="811">
        <f t="shared" si="58"/>
        <v>0</v>
      </c>
      <c r="S175" s="807">
        <f t="shared" si="58"/>
        <v>0</v>
      </c>
      <c r="T175" s="812">
        <f t="shared" si="58"/>
        <v>0</v>
      </c>
      <c r="U175" s="853">
        <f t="shared" si="63"/>
        <v>0</v>
      </c>
      <c r="V175" s="811">
        <f t="shared" si="60"/>
        <v>0</v>
      </c>
      <c r="W175" s="807">
        <f t="shared" si="60"/>
        <v>0</v>
      </c>
      <c r="X175" s="812">
        <f t="shared" si="60"/>
        <v>0</v>
      </c>
      <c r="Y175" s="853">
        <f t="shared" si="64"/>
        <v>0</v>
      </c>
      <c r="Z175" s="811">
        <f t="shared" si="61"/>
        <v>0</v>
      </c>
      <c r="AA175" s="807">
        <f t="shared" si="64"/>
        <v>0</v>
      </c>
      <c r="AB175" s="812">
        <f t="shared" si="61"/>
        <v>0</v>
      </c>
      <c r="AC175" s="853">
        <f t="shared" si="25"/>
        <v>0</v>
      </c>
      <c r="AD175" s="811">
        <f t="shared" si="25"/>
        <v>0</v>
      </c>
      <c r="AE175" s="807">
        <f t="shared" si="25"/>
        <v>0</v>
      </c>
      <c r="AF175" s="2134">
        <f t="shared" si="25"/>
        <v>0</v>
      </c>
    </row>
    <row r="176" spans="1:32" ht="12.75" customHeight="1">
      <c r="A176" s="1232" t="str">
        <f t="shared" si="66"/>
        <v>100GbE</v>
      </c>
      <c r="B176" s="268" t="str">
        <f t="shared" si="67"/>
        <v>100 GbE LR4</v>
      </c>
      <c r="C176" s="473" t="str">
        <f t="shared" si="67"/>
        <v>10 km</v>
      </c>
      <c r="D176" s="262" t="str">
        <f t="shared" si="67"/>
        <v>CFP</v>
      </c>
      <c r="E176" s="851">
        <f t="shared" si="68"/>
        <v>61677765.006490231</v>
      </c>
      <c r="F176" s="852">
        <f t="shared" si="68"/>
        <v>50591928.864662752</v>
      </c>
      <c r="G176" s="822">
        <f t="shared" si="69"/>
        <v>42058525.755430028</v>
      </c>
      <c r="H176" s="823">
        <f t="shared" si="69"/>
        <v>32098534.432579454</v>
      </c>
      <c r="I176" s="889">
        <f t="shared" si="70"/>
        <v>21433302.326259919</v>
      </c>
      <c r="J176" s="890">
        <f t="shared" si="70"/>
        <v>24354654.365228154</v>
      </c>
      <c r="K176" s="891">
        <f t="shared" si="71"/>
        <v>21936100.043795612</v>
      </c>
      <c r="L176" s="824">
        <f t="shared" si="71"/>
        <v>13731815.430656943</v>
      </c>
      <c r="M176" s="892">
        <f t="shared" si="72"/>
        <v>10281358.799971651</v>
      </c>
      <c r="N176" s="891">
        <f t="shared" si="72"/>
        <v>12079821.130135268</v>
      </c>
      <c r="O176" s="893">
        <f t="shared" si="73"/>
        <v>18201379.414811522</v>
      </c>
      <c r="P176" s="894">
        <f t="shared" si="73"/>
        <v>17997533.6633045</v>
      </c>
      <c r="Q176" s="853">
        <f t="shared" si="62"/>
        <v>10665206.541433517</v>
      </c>
      <c r="R176" s="811">
        <f t="shared" si="58"/>
        <v>0</v>
      </c>
      <c r="S176" s="807">
        <f t="shared" si="58"/>
        <v>0</v>
      </c>
      <c r="T176" s="812">
        <f t="shared" si="58"/>
        <v>0</v>
      </c>
      <c r="U176" s="853">
        <f t="shared" si="63"/>
        <v>0</v>
      </c>
      <c r="V176" s="811">
        <f t="shared" si="60"/>
        <v>0</v>
      </c>
      <c r="W176" s="807">
        <f t="shared" si="60"/>
        <v>0</v>
      </c>
      <c r="X176" s="812">
        <f t="shared" si="60"/>
        <v>0</v>
      </c>
      <c r="Y176" s="853">
        <f t="shared" si="64"/>
        <v>0</v>
      </c>
      <c r="Z176" s="811">
        <f t="shared" si="61"/>
        <v>0</v>
      </c>
      <c r="AA176" s="807">
        <f t="shared" si="64"/>
        <v>0</v>
      </c>
      <c r="AB176" s="812">
        <f t="shared" si="61"/>
        <v>0</v>
      </c>
      <c r="AC176" s="853">
        <f t="shared" si="25"/>
        <v>0</v>
      </c>
      <c r="AD176" s="811">
        <f t="shared" si="25"/>
        <v>0</v>
      </c>
      <c r="AE176" s="807">
        <f t="shared" si="25"/>
        <v>0</v>
      </c>
      <c r="AF176" s="2134">
        <f t="shared" si="25"/>
        <v>0</v>
      </c>
    </row>
    <row r="177" spans="1:32" ht="12.75" customHeight="1">
      <c r="A177" s="1232" t="str">
        <f t="shared" si="66"/>
        <v>100GbE</v>
      </c>
      <c r="B177" s="643" t="str">
        <f t="shared" si="67"/>
        <v>100 GbE LR4</v>
      </c>
      <c r="C177" s="470" t="str">
        <f t="shared" si="67"/>
        <v>10 km</v>
      </c>
      <c r="D177" s="110" t="str">
        <f t="shared" si="67"/>
        <v>CFP2</v>
      </c>
      <c r="E177" s="851">
        <f t="shared" si="68"/>
        <v>31304029.000000004</v>
      </c>
      <c r="F177" s="852">
        <f t="shared" si="68"/>
        <v>33593402</v>
      </c>
      <c r="G177" s="822">
        <f t="shared" si="69"/>
        <v>31801558.000000015</v>
      </c>
      <c r="H177" s="823">
        <f t="shared" si="69"/>
        <v>28079506.999999978</v>
      </c>
      <c r="I177" s="889">
        <f t="shared" si="70"/>
        <v>16832666.999999952</v>
      </c>
      <c r="J177" s="890">
        <f t="shared" si="70"/>
        <v>21914221.000000015</v>
      </c>
      <c r="K177" s="891">
        <f t="shared" si="71"/>
        <v>21534989.000000022</v>
      </c>
      <c r="L177" s="824">
        <f t="shared" si="71"/>
        <v>16791210.99999997</v>
      </c>
      <c r="M177" s="892">
        <f t="shared" si="72"/>
        <v>8564173.9999999888</v>
      </c>
      <c r="N177" s="891">
        <f t="shared" si="72"/>
        <v>9622221</v>
      </c>
      <c r="O177" s="893">
        <f t="shared" si="73"/>
        <v>11800000</v>
      </c>
      <c r="P177" s="894">
        <f t="shared" si="73"/>
        <v>13300000</v>
      </c>
      <c r="Q177" s="853">
        <f t="shared" si="62"/>
        <v>9320000</v>
      </c>
      <c r="R177" s="811">
        <f t="shared" si="58"/>
        <v>0</v>
      </c>
      <c r="S177" s="807">
        <f t="shared" si="58"/>
        <v>0</v>
      </c>
      <c r="T177" s="812">
        <f t="shared" si="58"/>
        <v>0</v>
      </c>
      <c r="U177" s="853">
        <f t="shared" si="63"/>
        <v>0</v>
      </c>
      <c r="V177" s="811">
        <f t="shared" si="60"/>
        <v>0</v>
      </c>
      <c r="W177" s="807">
        <f t="shared" si="60"/>
        <v>0</v>
      </c>
      <c r="X177" s="812">
        <f t="shared" si="60"/>
        <v>0</v>
      </c>
      <c r="Y177" s="853">
        <f t="shared" si="64"/>
        <v>0</v>
      </c>
      <c r="Z177" s="811">
        <f t="shared" si="61"/>
        <v>0</v>
      </c>
      <c r="AA177" s="807">
        <f t="shared" si="64"/>
        <v>0</v>
      </c>
      <c r="AB177" s="812">
        <f t="shared" si="61"/>
        <v>0</v>
      </c>
      <c r="AC177" s="853">
        <f t="shared" si="25"/>
        <v>0</v>
      </c>
      <c r="AD177" s="811">
        <f t="shared" si="25"/>
        <v>0</v>
      </c>
      <c r="AE177" s="807">
        <f t="shared" si="25"/>
        <v>0</v>
      </c>
      <c r="AF177" s="2134">
        <f t="shared" si="25"/>
        <v>0</v>
      </c>
    </row>
    <row r="178" spans="1:32" ht="12.75" customHeight="1">
      <c r="A178" s="1232" t="str">
        <f t="shared" si="66"/>
        <v>100GbE</v>
      </c>
      <c r="B178" s="643" t="str">
        <f t="shared" si="67"/>
        <v>100 GbE LR4</v>
      </c>
      <c r="C178" s="470" t="str">
        <f t="shared" si="67"/>
        <v>10 km</v>
      </c>
      <c r="D178" s="110" t="str">
        <f t="shared" si="67"/>
        <v>CFP4</v>
      </c>
      <c r="E178" s="851">
        <f t="shared" si="68"/>
        <v>16240465.75423329</v>
      </c>
      <c r="F178" s="852">
        <f t="shared" si="68"/>
        <v>12134533.815177172</v>
      </c>
      <c r="G178" s="822">
        <f t="shared" si="69"/>
        <v>7867432.8782159192</v>
      </c>
      <c r="H178" s="823">
        <f t="shared" si="69"/>
        <v>6357214.6830243776</v>
      </c>
      <c r="I178" s="889">
        <f t="shared" si="70"/>
        <v>7682511.9999999981</v>
      </c>
      <c r="J178" s="890">
        <f t="shared" si="70"/>
        <v>7172322.999999987</v>
      </c>
      <c r="K178" s="891">
        <f t="shared" si="71"/>
        <v>4758660.9999999963</v>
      </c>
      <c r="L178" s="824">
        <f t="shared" si="71"/>
        <v>4528398.9999999972</v>
      </c>
      <c r="M178" s="892">
        <f t="shared" si="72"/>
        <v>3910870.0000000075</v>
      </c>
      <c r="N178" s="891">
        <f t="shared" si="72"/>
        <v>3886540.0000000028</v>
      </c>
      <c r="O178" s="893">
        <f t="shared" si="73"/>
        <v>3800000</v>
      </c>
      <c r="P178" s="894">
        <f t="shared" si="73"/>
        <v>4596000</v>
      </c>
      <c r="Q178" s="853">
        <f t="shared" si="62"/>
        <v>3580000</v>
      </c>
      <c r="R178" s="811">
        <f t="shared" si="58"/>
        <v>0</v>
      </c>
      <c r="S178" s="807">
        <f t="shared" si="58"/>
        <v>0</v>
      </c>
      <c r="T178" s="812">
        <f t="shared" si="58"/>
        <v>0</v>
      </c>
      <c r="U178" s="853">
        <f t="shared" si="63"/>
        <v>0</v>
      </c>
      <c r="V178" s="811">
        <f t="shared" si="60"/>
        <v>0</v>
      </c>
      <c r="W178" s="807">
        <f t="shared" si="60"/>
        <v>0</v>
      </c>
      <c r="X178" s="812">
        <f t="shared" si="60"/>
        <v>0</v>
      </c>
      <c r="Y178" s="853">
        <f t="shared" si="64"/>
        <v>0</v>
      </c>
      <c r="Z178" s="811">
        <f t="shared" si="61"/>
        <v>0</v>
      </c>
      <c r="AA178" s="807">
        <f t="shared" si="64"/>
        <v>0</v>
      </c>
      <c r="AB178" s="812">
        <f t="shared" si="61"/>
        <v>0</v>
      </c>
      <c r="AC178" s="853">
        <f t="shared" si="25"/>
        <v>0</v>
      </c>
      <c r="AD178" s="811">
        <f t="shared" si="25"/>
        <v>0</v>
      </c>
      <c r="AE178" s="807">
        <f t="shared" si="25"/>
        <v>0</v>
      </c>
      <c r="AF178" s="2134">
        <f t="shared" si="25"/>
        <v>0</v>
      </c>
    </row>
    <row r="179" spans="1:32" ht="12.75" customHeight="1">
      <c r="A179" s="1232" t="str">
        <f t="shared" si="66"/>
        <v>100GbE</v>
      </c>
      <c r="B179" s="468" t="str">
        <f t="shared" si="67"/>
        <v>100 GbE LR4</v>
      </c>
      <c r="C179" s="130" t="str">
        <f t="shared" si="67"/>
        <v>10 km</v>
      </c>
      <c r="D179" s="241" t="str">
        <f t="shared" si="67"/>
        <v>QSFP28</v>
      </c>
      <c r="E179" s="851">
        <f t="shared" si="68"/>
        <v>79692080.386683106</v>
      </c>
      <c r="F179" s="852">
        <f t="shared" si="68"/>
        <v>131048172.1069124</v>
      </c>
      <c r="G179" s="822">
        <f t="shared" si="69"/>
        <v>122081920.16414446</v>
      </c>
      <c r="H179" s="823">
        <f t="shared" si="69"/>
        <v>113073539.03520399</v>
      </c>
      <c r="I179" s="889">
        <f t="shared" si="70"/>
        <v>104192609.92251085</v>
      </c>
      <c r="J179" s="890">
        <f t="shared" si="70"/>
        <v>85847843.805791035</v>
      </c>
      <c r="K179" s="891">
        <f t="shared" si="71"/>
        <v>71326792.11999999</v>
      </c>
      <c r="L179" s="824">
        <f t="shared" si="71"/>
        <v>70407424</v>
      </c>
      <c r="M179" s="892">
        <f t="shared" si="72"/>
        <v>58808099.185529515</v>
      </c>
      <c r="N179" s="891">
        <f t="shared" si="72"/>
        <v>62483069.185220309</v>
      </c>
      <c r="O179" s="893">
        <f t="shared" si="73"/>
        <v>75040790.738393873</v>
      </c>
      <c r="P179" s="894">
        <f t="shared" si="73"/>
        <v>103610474.78970924</v>
      </c>
      <c r="Q179" s="853">
        <f t="shared" si="62"/>
        <v>91017459.824374944</v>
      </c>
      <c r="R179" s="811">
        <f t="shared" si="58"/>
        <v>0</v>
      </c>
      <c r="S179" s="807">
        <f t="shared" si="58"/>
        <v>0</v>
      </c>
      <c r="T179" s="812">
        <f t="shared" si="58"/>
        <v>0</v>
      </c>
      <c r="U179" s="853">
        <f t="shared" si="63"/>
        <v>0</v>
      </c>
      <c r="V179" s="811">
        <f t="shared" si="60"/>
        <v>0</v>
      </c>
      <c r="W179" s="807">
        <f t="shared" si="60"/>
        <v>0</v>
      </c>
      <c r="X179" s="812">
        <f t="shared" si="60"/>
        <v>0</v>
      </c>
      <c r="Y179" s="853">
        <f t="shared" si="64"/>
        <v>0</v>
      </c>
      <c r="Z179" s="811">
        <f t="shared" si="61"/>
        <v>0</v>
      </c>
      <c r="AA179" s="807">
        <f t="shared" si="64"/>
        <v>0</v>
      </c>
      <c r="AB179" s="812">
        <f t="shared" si="61"/>
        <v>0</v>
      </c>
      <c r="AC179" s="853">
        <f t="shared" si="25"/>
        <v>0</v>
      </c>
      <c r="AD179" s="811">
        <f t="shared" si="25"/>
        <v>0</v>
      </c>
      <c r="AE179" s="807">
        <f t="shared" si="25"/>
        <v>0</v>
      </c>
      <c r="AF179" s="2134">
        <f t="shared" si="25"/>
        <v>0</v>
      </c>
    </row>
    <row r="180" spans="1:32" ht="12.75" customHeight="1">
      <c r="A180" s="1232" t="str">
        <f t="shared" si="66"/>
        <v>100GbE</v>
      </c>
      <c r="B180" s="651" t="str">
        <f t="shared" si="67"/>
        <v>100 GbE 4WDM10</v>
      </c>
      <c r="C180" s="470" t="str">
        <f t="shared" si="67"/>
        <v>10 km</v>
      </c>
      <c r="D180" s="110" t="str">
        <f t="shared" si="67"/>
        <v>QSFP28</v>
      </c>
      <c r="E180" s="854"/>
      <c r="F180" s="855"/>
      <c r="G180" s="822"/>
      <c r="H180" s="856"/>
      <c r="I180" s="895"/>
      <c r="J180" s="896"/>
      <c r="K180" s="891"/>
      <c r="L180" s="857"/>
      <c r="M180" s="892">
        <f t="shared" si="72"/>
        <v>3789125.2815819997</v>
      </c>
      <c r="N180" s="891">
        <f t="shared" si="72"/>
        <v>6749244.1970920004</v>
      </c>
      <c r="O180" s="893">
        <f t="shared" si="73"/>
        <v>8742839.9387819991</v>
      </c>
      <c r="P180" s="894">
        <f t="shared" si="73"/>
        <v>12130654.949955</v>
      </c>
      <c r="Q180" s="853">
        <f t="shared" si="62"/>
        <v>5155000</v>
      </c>
      <c r="R180" s="811">
        <f t="shared" si="58"/>
        <v>0</v>
      </c>
      <c r="S180" s="807">
        <f t="shared" si="58"/>
        <v>0</v>
      </c>
      <c r="T180" s="812">
        <f t="shared" si="58"/>
        <v>0</v>
      </c>
      <c r="U180" s="853">
        <f t="shared" si="63"/>
        <v>0</v>
      </c>
      <c r="V180" s="811">
        <f t="shared" si="60"/>
        <v>0</v>
      </c>
      <c r="W180" s="807">
        <f t="shared" si="60"/>
        <v>0</v>
      </c>
      <c r="X180" s="812">
        <f t="shared" si="60"/>
        <v>0</v>
      </c>
      <c r="Y180" s="853">
        <f t="shared" si="64"/>
        <v>0</v>
      </c>
      <c r="Z180" s="811">
        <f t="shared" si="61"/>
        <v>0</v>
      </c>
      <c r="AA180" s="807">
        <f t="shared" si="64"/>
        <v>0</v>
      </c>
      <c r="AB180" s="812">
        <f t="shared" si="61"/>
        <v>0</v>
      </c>
      <c r="AC180" s="853">
        <f t="shared" si="25"/>
        <v>0</v>
      </c>
      <c r="AD180" s="811">
        <f t="shared" si="25"/>
        <v>0</v>
      </c>
      <c r="AE180" s="807">
        <f t="shared" si="25"/>
        <v>0</v>
      </c>
      <c r="AF180" s="2134">
        <f t="shared" si="25"/>
        <v>0</v>
      </c>
    </row>
    <row r="181" spans="1:32" ht="12.75" customHeight="1">
      <c r="A181" s="1232" t="str">
        <f t="shared" si="66"/>
        <v>100GbE</v>
      </c>
      <c r="B181" s="651" t="str">
        <f t="shared" si="67"/>
        <v>100 GbE 4WDM20</v>
      </c>
      <c r="C181" s="470" t="str">
        <f t="shared" si="67"/>
        <v>20 km</v>
      </c>
      <c r="D181" s="110" t="str">
        <f t="shared" si="67"/>
        <v>QSFP28</v>
      </c>
      <c r="E181" s="854"/>
      <c r="F181" s="855"/>
      <c r="G181" s="822"/>
      <c r="H181" s="856"/>
      <c r="I181" s="895"/>
      <c r="J181" s="896"/>
      <c r="K181" s="891"/>
      <c r="L181" s="857"/>
      <c r="M181" s="892">
        <f t="shared" si="72"/>
        <v>0</v>
      </c>
      <c r="N181" s="891">
        <f t="shared" si="72"/>
        <v>0</v>
      </c>
      <c r="O181" s="893">
        <f t="shared" si="73"/>
        <v>0</v>
      </c>
      <c r="P181" s="894">
        <f t="shared" si="73"/>
        <v>0</v>
      </c>
      <c r="Q181" s="853">
        <f t="shared" si="62"/>
        <v>0</v>
      </c>
      <c r="R181" s="811">
        <f t="shared" si="58"/>
        <v>0</v>
      </c>
      <c r="S181" s="807">
        <f t="shared" si="58"/>
        <v>0</v>
      </c>
      <c r="T181" s="812">
        <f t="shared" si="58"/>
        <v>0</v>
      </c>
      <c r="U181" s="853">
        <f t="shared" si="63"/>
        <v>0</v>
      </c>
      <c r="V181" s="811">
        <f t="shared" si="60"/>
        <v>0</v>
      </c>
      <c r="W181" s="807">
        <f t="shared" si="60"/>
        <v>0</v>
      </c>
      <c r="X181" s="812">
        <f t="shared" si="60"/>
        <v>0</v>
      </c>
      <c r="Y181" s="853">
        <f t="shared" si="64"/>
        <v>0</v>
      </c>
      <c r="Z181" s="811">
        <f t="shared" si="61"/>
        <v>0</v>
      </c>
      <c r="AA181" s="807">
        <f t="shared" si="64"/>
        <v>0</v>
      </c>
      <c r="AB181" s="812">
        <f t="shared" si="61"/>
        <v>0</v>
      </c>
      <c r="AC181" s="853">
        <f t="shared" si="25"/>
        <v>0</v>
      </c>
      <c r="AD181" s="811">
        <f t="shared" si="25"/>
        <v>0</v>
      </c>
      <c r="AE181" s="807">
        <f t="shared" si="25"/>
        <v>0</v>
      </c>
      <c r="AF181" s="2134">
        <f t="shared" si="25"/>
        <v>0</v>
      </c>
    </row>
    <row r="182" spans="1:32" ht="13.05" customHeight="1">
      <c r="A182" s="1232" t="str">
        <f t="shared" si="66"/>
        <v>100GbE</v>
      </c>
      <c r="B182" s="1262" t="str">
        <f t="shared" si="67"/>
        <v>100 GbE ER4 - Lite</v>
      </c>
      <c r="C182" s="1255" t="str">
        <f t="shared" si="67"/>
        <v>40 km</v>
      </c>
      <c r="D182" s="1256" t="str">
        <f t="shared" si="67"/>
        <v>All</v>
      </c>
      <c r="E182" s="858"/>
      <c r="F182" s="859"/>
      <c r="G182" s="822">
        <f t="shared" ref="G182:H186" si="74">G54*G118</f>
        <v>2632000</v>
      </c>
      <c r="H182" s="856">
        <f t="shared" si="74"/>
        <v>4475000</v>
      </c>
      <c r="I182" s="858">
        <f t="shared" ref="I182:J186" si="75">I118*I54</f>
        <v>3960800</v>
      </c>
      <c r="J182" s="859">
        <f t="shared" si="75"/>
        <v>3318000</v>
      </c>
      <c r="K182" s="822">
        <f t="shared" ref="K182:L186" si="76">K54*K118</f>
        <v>4592836</v>
      </c>
      <c r="L182" s="857">
        <f t="shared" si="76"/>
        <v>4940095.9999999981</v>
      </c>
      <c r="M182" s="850">
        <f t="shared" si="72"/>
        <v>8523800.4021796212</v>
      </c>
      <c r="N182" s="822">
        <f t="shared" si="72"/>
        <v>14126912.999806484</v>
      </c>
      <c r="O182" s="875">
        <f t="shared" si="73"/>
        <v>12896640.27187586</v>
      </c>
      <c r="P182" s="879">
        <f t="shared" si="73"/>
        <v>11396543.711290844</v>
      </c>
      <c r="Q182" s="825">
        <f t="shared" si="62"/>
        <v>12321990.190832894</v>
      </c>
      <c r="R182" s="811">
        <f t="shared" si="58"/>
        <v>0</v>
      </c>
      <c r="S182" s="807">
        <f t="shared" si="58"/>
        <v>0</v>
      </c>
      <c r="T182" s="812">
        <f t="shared" si="58"/>
        <v>0</v>
      </c>
      <c r="U182" s="825">
        <f t="shared" si="63"/>
        <v>0</v>
      </c>
      <c r="V182" s="811">
        <f t="shared" si="60"/>
        <v>0</v>
      </c>
      <c r="W182" s="807">
        <f t="shared" si="60"/>
        <v>0</v>
      </c>
      <c r="X182" s="812">
        <f t="shared" si="60"/>
        <v>0</v>
      </c>
      <c r="Y182" s="825">
        <f t="shared" si="64"/>
        <v>0</v>
      </c>
      <c r="Z182" s="811">
        <f t="shared" si="61"/>
        <v>0</v>
      </c>
      <c r="AA182" s="807">
        <f t="shared" si="64"/>
        <v>0</v>
      </c>
      <c r="AB182" s="812">
        <f t="shared" si="61"/>
        <v>0</v>
      </c>
      <c r="AC182" s="825">
        <f t="shared" si="25"/>
        <v>0</v>
      </c>
      <c r="AD182" s="811">
        <f t="shared" si="25"/>
        <v>0</v>
      </c>
      <c r="AE182" s="807">
        <f t="shared" si="25"/>
        <v>0</v>
      </c>
      <c r="AF182" s="2134">
        <f t="shared" si="25"/>
        <v>0</v>
      </c>
    </row>
    <row r="183" spans="1:32" ht="13.05" customHeight="1" thickBot="1">
      <c r="A183" s="1233" t="str">
        <f t="shared" si="66"/>
        <v>100GbE</v>
      </c>
      <c r="B183" s="1259" t="str">
        <f t="shared" si="67"/>
        <v>100 GbE ER4</v>
      </c>
      <c r="C183" s="1260" t="str">
        <f t="shared" si="67"/>
        <v>40 km</v>
      </c>
      <c r="D183" s="1261" t="str">
        <f t="shared" si="67"/>
        <v>All</v>
      </c>
      <c r="E183" s="845">
        <f t="shared" ref="E183:F186" si="77">E119*E55</f>
        <v>23686474.701282401</v>
      </c>
      <c r="F183" s="846">
        <f t="shared" si="77"/>
        <v>9414157.3956058212</v>
      </c>
      <c r="G183" s="827">
        <f t="shared" si="74"/>
        <v>11267371.417408032</v>
      </c>
      <c r="H183" s="828">
        <f t="shared" si="74"/>
        <v>10597944.648749176</v>
      </c>
      <c r="I183" s="845">
        <f t="shared" si="75"/>
        <v>5881069.7711663414</v>
      </c>
      <c r="J183" s="846">
        <f t="shared" si="75"/>
        <v>4237807.3513801256</v>
      </c>
      <c r="K183" s="827">
        <f t="shared" si="76"/>
        <v>7271615.9999999963</v>
      </c>
      <c r="L183" s="830">
        <f t="shared" si="76"/>
        <v>5856811.9999999981</v>
      </c>
      <c r="M183" s="887">
        <f t="shared" si="72"/>
        <v>5228002.1342030391</v>
      </c>
      <c r="N183" s="859">
        <f t="shared" si="72"/>
        <v>5854987.7612621877</v>
      </c>
      <c r="O183" s="884">
        <f t="shared" si="73"/>
        <v>10075134.20646498</v>
      </c>
      <c r="P183" s="885">
        <f t="shared" si="73"/>
        <v>2470392.4002539837</v>
      </c>
      <c r="Q183" s="848">
        <f t="shared" si="62"/>
        <v>3941191.6794769294</v>
      </c>
      <c r="R183" s="814">
        <f t="shared" si="58"/>
        <v>0</v>
      </c>
      <c r="S183" s="1013">
        <f t="shared" si="58"/>
        <v>0</v>
      </c>
      <c r="T183" s="815">
        <f t="shared" si="58"/>
        <v>0</v>
      </c>
      <c r="U183" s="848">
        <f t="shared" si="63"/>
        <v>0</v>
      </c>
      <c r="V183" s="814">
        <f t="shared" si="60"/>
        <v>0</v>
      </c>
      <c r="W183" s="1013">
        <f t="shared" si="60"/>
        <v>0</v>
      </c>
      <c r="X183" s="815">
        <f t="shared" si="60"/>
        <v>0</v>
      </c>
      <c r="Y183" s="848">
        <f t="shared" si="64"/>
        <v>0</v>
      </c>
      <c r="Z183" s="814">
        <f t="shared" si="61"/>
        <v>0</v>
      </c>
      <c r="AA183" s="1013">
        <f t="shared" si="64"/>
        <v>0</v>
      </c>
      <c r="AB183" s="815">
        <f t="shared" si="61"/>
        <v>0</v>
      </c>
      <c r="AC183" s="848">
        <f t="shared" si="25"/>
        <v>0</v>
      </c>
      <c r="AD183" s="814">
        <f t="shared" si="25"/>
        <v>0</v>
      </c>
      <c r="AE183" s="1013">
        <f t="shared" si="25"/>
        <v>0</v>
      </c>
      <c r="AF183" s="815">
        <f t="shared" si="25"/>
        <v>0</v>
      </c>
    </row>
    <row r="184" spans="1:32" ht="12.75" customHeight="1">
      <c r="A184" s="1234" t="str">
        <f t="shared" si="66"/>
        <v>200GbE</v>
      </c>
      <c r="B184" s="472" t="str">
        <f t="shared" si="67"/>
        <v>200GbE</v>
      </c>
      <c r="C184" s="476" t="str">
        <f t="shared" si="67"/>
        <v>100 m</v>
      </c>
      <c r="D184" s="492" t="str">
        <f t="shared" si="67"/>
        <v>all</v>
      </c>
      <c r="E184" s="839">
        <f t="shared" si="77"/>
        <v>0</v>
      </c>
      <c r="F184" s="840">
        <f t="shared" si="77"/>
        <v>0</v>
      </c>
      <c r="G184" s="822">
        <f t="shared" si="74"/>
        <v>0</v>
      </c>
      <c r="H184" s="823">
        <f t="shared" si="74"/>
        <v>0</v>
      </c>
      <c r="I184" s="839">
        <f t="shared" si="75"/>
        <v>0</v>
      </c>
      <c r="J184" s="840">
        <f t="shared" si="75"/>
        <v>0</v>
      </c>
      <c r="K184" s="875">
        <f t="shared" si="76"/>
        <v>0</v>
      </c>
      <c r="L184" s="824">
        <f t="shared" si="76"/>
        <v>0</v>
      </c>
      <c r="M184" s="849">
        <f t="shared" si="72"/>
        <v>0</v>
      </c>
      <c r="N184" s="876">
        <f t="shared" si="72"/>
        <v>0</v>
      </c>
      <c r="O184" s="877">
        <f t="shared" si="73"/>
        <v>0</v>
      </c>
      <c r="P184" s="878">
        <f t="shared" si="73"/>
        <v>0</v>
      </c>
      <c r="Q184" s="864">
        <f t="shared" si="62"/>
        <v>0</v>
      </c>
      <c r="R184" s="818">
        <f t="shared" si="58"/>
        <v>0</v>
      </c>
      <c r="S184" s="1011">
        <f t="shared" si="58"/>
        <v>0</v>
      </c>
      <c r="T184" s="819">
        <f t="shared" si="58"/>
        <v>0</v>
      </c>
      <c r="U184" s="864">
        <f t="shared" si="63"/>
        <v>0</v>
      </c>
      <c r="V184" s="818">
        <f t="shared" si="60"/>
        <v>0</v>
      </c>
      <c r="W184" s="1011">
        <f t="shared" si="60"/>
        <v>0</v>
      </c>
      <c r="X184" s="819">
        <f t="shared" si="60"/>
        <v>0</v>
      </c>
      <c r="Y184" s="864">
        <f t="shared" si="64"/>
        <v>0</v>
      </c>
      <c r="Z184" s="818">
        <f t="shared" si="61"/>
        <v>0</v>
      </c>
      <c r="AA184" s="1011">
        <f t="shared" si="64"/>
        <v>0</v>
      </c>
      <c r="AB184" s="819">
        <f t="shared" si="61"/>
        <v>0</v>
      </c>
      <c r="AC184" s="864">
        <f t="shared" si="25"/>
        <v>0</v>
      </c>
      <c r="AD184" s="818">
        <f t="shared" si="25"/>
        <v>0</v>
      </c>
      <c r="AE184" s="1011">
        <f t="shared" si="25"/>
        <v>0</v>
      </c>
      <c r="AF184" s="819">
        <f t="shared" si="25"/>
        <v>0</v>
      </c>
    </row>
    <row r="185" spans="1:32" ht="13.05" customHeight="1" thickBot="1">
      <c r="A185" s="1233" t="str">
        <f t="shared" si="66"/>
        <v>200GbE</v>
      </c>
      <c r="B185" s="474" t="str">
        <f t="shared" si="67"/>
        <v>200GbE</v>
      </c>
      <c r="C185" s="474" t="str">
        <f t="shared" si="67"/>
        <v>2 km</v>
      </c>
      <c r="D185" s="493" t="str">
        <f t="shared" si="67"/>
        <v>all</v>
      </c>
      <c r="E185" s="826">
        <f t="shared" si="77"/>
        <v>0</v>
      </c>
      <c r="F185" s="827">
        <f t="shared" si="77"/>
        <v>0</v>
      </c>
      <c r="G185" s="827">
        <f t="shared" si="74"/>
        <v>0</v>
      </c>
      <c r="H185" s="828">
        <f t="shared" si="74"/>
        <v>0</v>
      </c>
      <c r="I185" s="826">
        <f t="shared" si="75"/>
        <v>0</v>
      </c>
      <c r="J185" s="827">
        <f t="shared" si="75"/>
        <v>0</v>
      </c>
      <c r="K185" s="880">
        <f t="shared" si="76"/>
        <v>0</v>
      </c>
      <c r="L185" s="830">
        <f t="shared" si="76"/>
        <v>0</v>
      </c>
      <c r="M185" s="868">
        <f t="shared" si="72"/>
        <v>86000</v>
      </c>
      <c r="N185" s="827">
        <f t="shared" si="72"/>
        <v>176000</v>
      </c>
      <c r="O185" s="880">
        <f t="shared" si="73"/>
        <v>980000</v>
      </c>
      <c r="P185" s="881">
        <f t="shared" si="73"/>
        <v>1852500</v>
      </c>
      <c r="Q185" s="831">
        <f t="shared" si="62"/>
        <v>120000</v>
      </c>
      <c r="R185" s="829">
        <f t="shared" si="58"/>
        <v>0</v>
      </c>
      <c r="S185" s="813">
        <f t="shared" si="58"/>
        <v>0</v>
      </c>
      <c r="T185" s="832">
        <f t="shared" si="58"/>
        <v>0</v>
      </c>
      <c r="U185" s="831">
        <f t="shared" si="63"/>
        <v>0</v>
      </c>
      <c r="V185" s="829">
        <f t="shared" si="60"/>
        <v>0</v>
      </c>
      <c r="W185" s="813">
        <f t="shared" si="60"/>
        <v>0</v>
      </c>
      <c r="X185" s="832">
        <f t="shared" si="60"/>
        <v>0</v>
      </c>
      <c r="Y185" s="831">
        <f t="shared" si="64"/>
        <v>0</v>
      </c>
      <c r="Z185" s="829">
        <f t="shared" si="61"/>
        <v>0</v>
      </c>
      <c r="AA185" s="813">
        <f t="shared" si="64"/>
        <v>0</v>
      </c>
      <c r="AB185" s="832">
        <f t="shared" si="61"/>
        <v>0</v>
      </c>
      <c r="AC185" s="831">
        <f t="shared" si="25"/>
        <v>0</v>
      </c>
      <c r="AD185" s="829">
        <f t="shared" si="25"/>
        <v>0</v>
      </c>
      <c r="AE185" s="813">
        <f t="shared" si="25"/>
        <v>0</v>
      </c>
      <c r="AF185" s="832">
        <f t="shared" si="25"/>
        <v>0</v>
      </c>
    </row>
    <row r="186" spans="1:32" ht="12.75" customHeight="1">
      <c r="A186" s="1232" t="str">
        <f t="shared" si="66"/>
        <v>400GbE</v>
      </c>
      <c r="B186" s="469" t="str">
        <f t="shared" si="67"/>
        <v>400GbE SR8</v>
      </c>
      <c r="C186" s="260" t="str">
        <f t="shared" si="67"/>
        <v>100 m</v>
      </c>
      <c r="D186" s="490" t="str">
        <f t="shared" si="67"/>
        <v>all</v>
      </c>
      <c r="E186" s="839">
        <f t="shared" si="77"/>
        <v>0</v>
      </c>
      <c r="F186" s="840">
        <f t="shared" si="77"/>
        <v>0</v>
      </c>
      <c r="G186" s="822">
        <f t="shared" si="74"/>
        <v>0</v>
      </c>
      <c r="H186" s="823">
        <f t="shared" si="74"/>
        <v>0</v>
      </c>
      <c r="I186" s="839">
        <f t="shared" si="75"/>
        <v>0</v>
      </c>
      <c r="J186" s="840">
        <f t="shared" si="75"/>
        <v>0</v>
      </c>
      <c r="K186" s="822">
        <f t="shared" si="76"/>
        <v>0</v>
      </c>
      <c r="L186" s="824">
        <f t="shared" si="76"/>
        <v>0</v>
      </c>
      <c r="M186" s="860">
        <f t="shared" si="72"/>
        <v>9312000</v>
      </c>
      <c r="N186" s="835">
        <f t="shared" si="72"/>
        <v>8305999.9999999991</v>
      </c>
      <c r="O186" s="882">
        <f t="shared" si="73"/>
        <v>16800000</v>
      </c>
      <c r="P186" s="883">
        <f t="shared" si="73"/>
        <v>15994000</v>
      </c>
      <c r="Q186" s="838">
        <f t="shared" si="62"/>
        <v>16920000</v>
      </c>
      <c r="R186" s="808">
        <f t="shared" si="58"/>
        <v>0</v>
      </c>
      <c r="S186" s="837">
        <f t="shared" si="58"/>
        <v>0</v>
      </c>
      <c r="T186" s="809">
        <f t="shared" si="58"/>
        <v>0</v>
      </c>
      <c r="U186" s="838">
        <f t="shared" si="63"/>
        <v>0</v>
      </c>
      <c r="V186" s="808">
        <f t="shared" si="60"/>
        <v>0</v>
      </c>
      <c r="W186" s="837">
        <f t="shared" si="60"/>
        <v>0</v>
      </c>
      <c r="X186" s="809">
        <f t="shared" si="60"/>
        <v>0</v>
      </c>
      <c r="Y186" s="838">
        <f t="shared" si="64"/>
        <v>0</v>
      </c>
      <c r="Z186" s="808">
        <f t="shared" si="61"/>
        <v>0</v>
      </c>
      <c r="AA186" s="837">
        <f t="shared" si="64"/>
        <v>0</v>
      </c>
      <c r="AB186" s="809">
        <f t="shared" si="61"/>
        <v>0</v>
      </c>
      <c r="AC186" s="838">
        <f t="shared" si="25"/>
        <v>0</v>
      </c>
      <c r="AD186" s="808">
        <f t="shared" si="25"/>
        <v>0</v>
      </c>
      <c r="AE186" s="837">
        <f t="shared" si="25"/>
        <v>0</v>
      </c>
      <c r="AF186" s="809">
        <f t="shared" si="25"/>
        <v>0</v>
      </c>
    </row>
    <row r="187" spans="1:32" ht="12.75" customHeight="1">
      <c r="A187" s="1232" t="str">
        <f t="shared" si="66"/>
        <v>400GbE</v>
      </c>
      <c r="B187" s="1255" t="str">
        <f t="shared" si="67"/>
        <v>400GbE SR4.2</v>
      </c>
      <c r="C187" s="260" t="str">
        <f t="shared" si="67"/>
        <v>100 m</v>
      </c>
      <c r="D187" s="490" t="str">
        <f t="shared" si="67"/>
        <v>all</v>
      </c>
      <c r="E187" s="839"/>
      <c r="F187" s="840"/>
      <c r="G187" s="822"/>
      <c r="H187" s="823"/>
      <c r="I187" s="839"/>
      <c r="J187" s="840"/>
      <c r="K187" s="822"/>
      <c r="L187" s="824"/>
      <c r="M187" s="860"/>
      <c r="N187" s="835"/>
      <c r="O187" s="882"/>
      <c r="P187" s="883"/>
      <c r="Q187" s="838"/>
      <c r="R187" s="808"/>
      <c r="S187" s="837">
        <f t="shared" ref="S187:T194" si="78">S59*S123</f>
        <v>0</v>
      </c>
      <c r="T187" s="809">
        <f t="shared" si="78"/>
        <v>0</v>
      </c>
      <c r="U187" s="838"/>
      <c r="V187" s="808"/>
      <c r="W187" s="837">
        <f t="shared" ref="W187:X194" si="79">W59*W123</f>
        <v>0</v>
      </c>
      <c r="X187" s="809">
        <f t="shared" si="79"/>
        <v>0</v>
      </c>
      <c r="Y187" s="838"/>
      <c r="Z187" s="808"/>
      <c r="AA187" s="837"/>
      <c r="AB187" s="809"/>
      <c r="AC187" s="838">
        <f t="shared" si="25"/>
        <v>0</v>
      </c>
      <c r="AD187" s="808">
        <f t="shared" si="25"/>
        <v>0</v>
      </c>
      <c r="AE187" s="837">
        <f t="shared" si="25"/>
        <v>0</v>
      </c>
      <c r="AF187" s="809">
        <f t="shared" si="25"/>
        <v>0</v>
      </c>
    </row>
    <row r="188" spans="1:32" ht="12.45" customHeight="1">
      <c r="A188" s="1232" t="str">
        <f t="shared" si="66"/>
        <v>400GbE</v>
      </c>
      <c r="B188" s="1255" t="str">
        <f t="shared" si="67"/>
        <v>400GbE DR4</v>
      </c>
      <c r="C188" s="260" t="str">
        <f t="shared" si="67"/>
        <v>0.5, 2 km</v>
      </c>
      <c r="D188" s="490" t="str">
        <f t="shared" si="67"/>
        <v>all</v>
      </c>
      <c r="E188" s="839">
        <f>E124*E60</f>
        <v>0</v>
      </c>
      <c r="F188" s="840">
        <f>F124*F60</f>
        <v>0</v>
      </c>
      <c r="G188" s="822">
        <f>G60*G124</f>
        <v>0</v>
      </c>
      <c r="H188" s="823">
        <f>H60*H124</f>
        <v>0</v>
      </c>
      <c r="I188" s="839">
        <f>I124*I60</f>
        <v>0</v>
      </c>
      <c r="J188" s="840">
        <f>J124*J60</f>
        <v>0</v>
      </c>
      <c r="K188" s="822">
        <f>K60*K124</f>
        <v>0</v>
      </c>
      <c r="L188" s="824">
        <f>L60*L124</f>
        <v>0</v>
      </c>
      <c r="M188" s="886">
        <f>M124*M60</f>
        <v>1862665.1400000001</v>
      </c>
      <c r="N188" s="840">
        <f>N124*N60</f>
        <v>4246228.49</v>
      </c>
      <c r="O188" s="897">
        <f>O124*O60</f>
        <v>8290000</v>
      </c>
      <c r="P188" s="898">
        <f>P124*P60</f>
        <v>12055000</v>
      </c>
      <c r="Q188" s="841">
        <f t="shared" ref="Q188:R194" si="80">Q60*Q124</f>
        <v>30664029.778868001</v>
      </c>
      <c r="R188" s="1014">
        <f t="shared" si="80"/>
        <v>0</v>
      </c>
      <c r="S188" s="912">
        <f t="shared" si="78"/>
        <v>0</v>
      </c>
      <c r="T188" s="913">
        <f t="shared" si="78"/>
        <v>0</v>
      </c>
      <c r="U188" s="841">
        <f t="shared" ref="U188:V194" si="81">U60*U124</f>
        <v>0</v>
      </c>
      <c r="V188" s="1014">
        <f t="shared" si="81"/>
        <v>0</v>
      </c>
      <c r="W188" s="912">
        <f t="shared" si="79"/>
        <v>0</v>
      </c>
      <c r="X188" s="913">
        <f t="shared" si="79"/>
        <v>0</v>
      </c>
      <c r="Y188" s="841">
        <f t="shared" ref="Y188:Z194" si="82">Y60*Y124</f>
        <v>0</v>
      </c>
      <c r="Z188" s="1014">
        <f t="shared" si="82"/>
        <v>0</v>
      </c>
      <c r="AA188" s="912">
        <f t="shared" ref="AA188:AD194" si="83">AA60*AA124</f>
        <v>0</v>
      </c>
      <c r="AB188" s="913">
        <f t="shared" si="83"/>
        <v>0</v>
      </c>
      <c r="AC188" s="841">
        <f t="shared" si="25"/>
        <v>0</v>
      </c>
      <c r="AD188" s="1014">
        <f t="shared" si="25"/>
        <v>0</v>
      </c>
      <c r="AE188" s="912">
        <f t="shared" si="25"/>
        <v>0</v>
      </c>
      <c r="AF188" s="1275">
        <f t="shared" si="25"/>
        <v>0</v>
      </c>
    </row>
    <row r="189" spans="1:32" ht="12.45" customHeight="1">
      <c r="A189" s="1232" t="str">
        <f t="shared" si="66"/>
        <v>2x200GbE</v>
      </c>
      <c r="B189" s="1255" t="str">
        <f t="shared" si="67"/>
        <v>2x200GbE</v>
      </c>
      <c r="C189" s="260" t="str">
        <f t="shared" si="67"/>
        <v>2 km</v>
      </c>
      <c r="D189" s="490" t="str">
        <f t="shared" si="67"/>
        <v>OSFP</v>
      </c>
      <c r="E189" s="839">
        <f>E125*E61</f>
        <v>0</v>
      </c>
      <c r="F189" s="840">
        <f>F125*F61</f>
        <v>0</v>
      </c>
      <c r="G189" s="822">
        <f>G61*G125</f>
        <v>0</v>
      </c>
      <c r="H189" s="823">
        <f>H61*H125</f>
        <v>0</v>
      </c>
      <c r="I189" s="839">
        <f>I125*I61</f>
        <v>0</v>
      </c>
      <c r="J189" s="840">
        <f>J125*J61</f>
        <v>0</v>
      </c>
      <c r="K189" s="822">
        <f>K61*K125</f>
        <v>0</v>
      </c>
      <c r="L189" s="824">
        <f>L61*L125</f>
        <v>0</v>
      </c>
      <c r="M189" s="886">
        <f t="shared" ref="M189:N194" si="84">M125*M61</f>
        <v>12000000</v>
      </c>
      <c r="N189" s="840">
        <f t="shared" si="84"/>
        <v>15700000</v>
      </c>
      <c r="O189" s="897">
        <f>O61*O125</f>
        <v>9250000</v>
      </c>
      <c r="P189" s="898">
        <f>P61*P125</f>
        <v>16050000.000000002</v>
      </c>
      <c r="Q189" s="841">
        <f t="shared" si="80"/>
        <v>30618000</v>
      </c>
      <c r="R189" s="1014">
        <f t="shared" si="80"/>
        <v>0</v>
      </c>
      <c r="S189" s="912">
        <f t="shared" si="78"/>
        <v>0</v>
      </c>
      <c r="T189" s="913">
        <f t="shared" si="78"/>
        <v>0</v>
      </c>
      <c r="U189" s="841">
        <f t="shared" si="81"/>
        <v>0</v>
      </c>
      <c r="V189" s="1014">
        <f t="shared" si="81"/>
        <v>0</v>
      </c>
      <c r="W189" s="912">
        <f t="shared" si="79"/>
        <v>0</v>
      </c>
      <c r="X189" s="913">
        <f t="shared" si="79"/>
        <v>0</v>
      </c>
      <c r="Y189" s="841">
        <f t="shared" si="82"/>
        <v>0</v>
      </c>
      <c r="Z189" s="1014">
        <f t="shared" si="82"/>
        <v>0</v>
      </c>
      <c r="AA189" s="912">
        <f t="shared" si="83"/>
        <v>0</v>
      </c>
      <c r="AB189" s="913">
        <f t="shared" si="83"/>
        <v>0</v>
      </c>
      <c r="AC189" s="841">
        <f t="shared" si="25"/>
        <v>0</v>
      </c>
      <c r="AD189" s="1014">
        <f t="shared" si="25"/>
        <v>0</v>
      </c>
      <c r="AE189" s="912">
        <f t="shared" si="25"/>
        <v>0</v>
      </c>
      <c r="AF189" s="1275">
        <f t="shared" si="25"/>
        <v>0</v>
      </c>
    </row>
    <row r="190" spans="1:32" ht="12.75" customHeight="1">
      <c r="A190" s="1232" t="str">
        <f>A126</f>
        <v>400GbE</v>
      </c>
      <c r="B190" s="957" t="s">
        <v>406</v>
      </c>
      <c r="C190" s="701" t="s">
        <v>183</v>
      </c>
      <c r="D190" s="490" t="str">
        <f>D126</f>
        <v>all</v>
      </c>
      <c r="E190" s="867"/>
      <c r="F190" s="866"/>
      <c r="G190" s="859"/>
      <c r="H190" s="856"/>
      <c r="I190" s="867"/>
      <c r="J190" s="866"/>
      <c r="K190" s="859"/>
      <c r="L190" s="857"/>
      <c r="M190" s="886">
        <f t="shared" si="84"/>
        <v>717400</v>
      </c>
      <c r="N190" s="840">
        <f t="shared" si="84"/>
        <v>821291.02759629069</v>
      </c>
      <c r="O190" s="897">
        <f t="shared" ref="O190:P193" si="85">O126*O62</f>
        <v>984587.55840257101</v>
      </c>
      <c r="P190" s="898">
        <f t="shared" si="85"/>
        <v>1349392.0931830248</v>
      </c>
      <c r="Q190" s="841">
        <f t="shared" si="80"/>
        <v>1479497.7005062618</v>
      </c>
      <c r="R190" s="1014">
        <f t="shared" si="80"/>
        <v>0</v>
      </c>
      <c r="S190" s="912">
        <f t="shared" si="78"/>
        <v>0</v>
      </c>
      <c r="T190" s="913">
        <f t="shared" si="78"/>
        <v>0</v>
      </c>
      <c r="U190" s="841">
        <f t="shared" si="81"/>
        <v>0</v>
      </c>
      <c r="V190" s="1014">
        <f t="shared" si="81"/>
        <v>0</v>
      </c>
      <c r="W190" s="912">
        <f t="shared" si="79"/>
        <v>0</v>
      </c>
      <c r="X190" s="913">
        <f t="shared" si="79"/>
        <v>0</v>
      </c>
      <c r="Y190" s="841">
        <f t="shared" si="82"/>
        <v>0</v>
      </c>
      <c r="Z190" s="1014">
        <f t="shared" si="82"/>
        <v>0</v>
      </c>
      <c r="AA190" s="912">
        <f t="shared" si="83"/>
        <v>0</v>
      </c>
      <c r="AB190" s="913">
        <f t="shared" si="83"/>
        <v>0</v>
      </c>
      <c r="AC190" s="841">
        <f t="shared" si="25"/>
        <v>0</v>
      </c>
      <c r="AD190" s="1014">
        <f t="shared" si="25"/>
        <v>0</v>
      </c>
      <c r="AE190" s="912">
        <f t="shared" si="25"/>
        <v>0</v>
      </c>
      <c r="AF190" s="1275">
        <f t="shared" si="25"/>
        <v>0</v>
      </c>
    </row>
    <row r="191" spans="1:32" ht="12.75" customHeight="1">
      <c r="A191" s="1232" t="str">
        <f>A127</f>
        <v>400GbE</v>
      </c>
      <c r="B191" s="701" t="s">
        <v>407</v>
      </c>
      <c r="C191" s="701" t="s">
        <v>189</v>
      </c>
      <c r="D191" s="490" t="str">
        <f>D127</f>
        <v>all</v>
      </c>
      <c r="E191" s="867"/>
      <c r="F191" s="866"/>
      <c r="G191" s="859"/>
      <c r="H191" s="856"/>
      <c r="I191" s="867"/>
      <c r="J191" s="866"/>
      <c r="K191" s="859"/>
      <c r="L191" s="857"/>
      <c r="M191" s="886">
        <f t="shared" si="84"/>
        <v>2695249.9999999995</v>
      </c>
      <c r="N191" s="840">
        <f t="shared" si="84"/>
        <v>3890155.0000000005</v>
      </c>
      <c r="O191" s="897">
        <f t="shared" si="85"/>
        <v>2632000</v>
      </c>
      <c r="P191" s="898">
        <f t="shared" si="85"/>
        <v>3880000</v>
      </c>
      <c r="Q191" s="841">
        <f t="shared" si="80"/>
        <v>4396000</v>
      </c>
      <c r="R191" s="1014">
        <f t="shared" si="80"/>
        <v>0</v>
      </c>
      <c r="S191" s="912">
        <f t="shared" si="78"/>
        <v>0</v>
      </c>
      <c r="T191" s="913">
        <f t="shared" si="78"/>
        <v>0</v>
      </c>
      <c r="U191" s="841">
        <f t="shared" si="81"/>
        <v>0</v>
      </c>
      <c r="V191" s="1014">
        <f t="shared" si="81"/>
        <v>0</v>
      </c>
      <c r="W191" s="912">
        <f t="shared" si="79"/>
        <v>0</v>
      </c>
      <c r="X191" s="913">
        <f t="shared" si="79"/>
        <v>0</v>
      </c>
      <c r="Y191" s="841">
        <f t="shared" si="82"/>
        <v>0</v>
      </c>
      <c r="Z191" s="1014">
        <f t="shared" si="82"/>
        <v>0</v>
      </c>
      <c r="AA191" s="912">
        <f t="shared" si="83"/>
        <v>0</v>
      </c>
      <c r="AB191" s="913">
        <f t="shared" si="83"/>
        <v>0</v>
      </c>
      <c r="AC191" s="841">
        <f t="shared" si="25"/>
        <v>0</v>
      </c>
      <c r="AD191" s="1014">
        <f t="shared" si="25"/>
        <v>0</v>
      </c>
      <c r="AE191" s="912">
        <f t="shared" si="25"/>
        <v>0</v>
      </c>
      <c r="AF191" s="1275">
        <f t="shared" si="25"/>
        <v>0</v>
      </c>
    </row>
    <row r="192" spans="1:32" ht="12.75" customHeight="1">
      <c r="A192" s="1232" t="str">
        <f>A128</f>
        <v>400GbE</v>
      </c>
      <c r="B192" s="701" t="s">
        <v>408</v>
      </c>
      <c r="C192" s="266" t="s">
        <v>189</v>
      </c>
      <c r="D192" s="490" t="str">
        <f>D128</f>
        <v>all</v>
      </c>
      <c r="E192" s="867"/>
      <c r="F192" s="866"/>
      <c r="G192" s="859"/>
      <c r="H192" s="856"/>
      <c r="I192" s="867"/>
      <c r="J192" s="866"/>
      <c r="K192" s="859"/>
      <c r="L192" s="857"/>
      <c r="M192" s="886">
        <f t="shared" si="84"/>
        <v>40000</v>
      </c>
      <c r="N192" s="840">
        <f t="shared" si="84"/>
        <v>69000</v>
      </c>
      <c r="O192" s="897">
        <f t="shared" si="85"/>
        <v>100000</v>
      </c>
      <c r="P192" s="898">
        <f t="shared" si="85"/>
        <v>179000</v>
      </c>
      <c r="Q192" s="841">
        <f t="shared" si="80"/>
        <v>418000</v>
      </c>
      <c r="R192" s="1014">
        <f t="shared" si="80"/>
        <v>0</v>
      </c>
      <c r="S192" s="912">
        <f t="shared" si="78"/>
        <v>0</v>
      </c>
      <c r="T192" s="913">
        <f t="shared" si="78"/>
        <v>0</v>
      </c>
      <c r="U192" s="841">
        <f t="shared" si="81"/>
        <v>0</v>
      </c>
      <c r="V192" s="1014">
        <f t="shared" si="81"/>
        <v>0</v>
      </c>
      <c r="W192" s="912">
        <f t="shared" si="79"/>
        <v>0</v>
      </c>
      <c r="X192" s="913">
        <f t="shared" si="79"/>
        <v>0</v>
      </c>
      <c r="Y192" s="841">
        <f t="shared" si="82"/>
        <v>0</v>
      </c>
      <c r="Z192" s="1014">
        <f t="shared" si="82"/>
        <v>0</v>
      </c>
      <c r="AA192" s="912">
        <f t="shared" si="83"/>
        <v>0</v>
      </c>
      <c r="AB192" s="913">
        <f t="shared" si="83"/>
        <v>0</v>
      </c>
      <c r="AC192" s="841">
        <f t="shared" si="25"/>
        <v>0</v>
      </c>
      <c r="AD192" s="1014">
        <f t="shared" si="25"/>
        <v>0</v>
      </c>
      <c r="AE192" s="912">
        <f t="shared" si="25"/>
        <v>0</v>
      </c>
      <c r="AF192" s="1275">
        <f t="shared" si="25"/>
        <v>0</v>
      </c>
    </row>
    <row r="193" spans="1:32" ht="13.05" customHeight="1" thickBot="1">
      <c r="A193" s="1366" t="s">
        <v>511</v>
      </c>
      <c r="B193" s="474" t="s">
        <v>512</v>
      </c>
      <c r="C193" s="474" t="s">
        <v>187</v>
      </c>
      <c r="D193" s="493" t="s">
        <v>187</v>
      </c>
      <c r="E193" s="826">
        <f>E129*E65</f>
        <v>0</v>
      </c>
      <c r="F193" s="827">
        <f>F129*F65</f>
        <v>0</v>
      </c>
      <c r="G193" s="827">
        <f>G65*G129</f>
        <v>0</v>
      </c>
      <c r="H193" s="828">
        <f>H65*H129</f>
        <v>0</v>
      </c>
      <c r="I193" s="826">
        <f>I129*I65</f>
        <v>0</v>
      </c>
      <c r="J193" s="827">
        <f>J129*J65</f>
        <v>0</v>
      </c>
      <c r="K193" s="827">
        <f>K65*K129</f>
        <v>13234600</v>
      </c>
      <c r="L193" s="830">
        <f>L65*L129</f>
        <v>20344300</v>
      </c>
      <c r="M193" s="899">
        <f t="shared" si="84"/>
        <v>0</v>
      </c>
      <c r="N193" s="900">
        <f t="shared" si="84"/>
        <v>0</v>
      </c>
      <c r="O193" s="901">
        <f t="shared" si="85"/>
        <v>0</v>
      </c>
      <c r="P193" s="902">
        <f t="shared" si="85"/>
        <v>0</v>
      </c>
      <c r="Q193" s="1015">
        <f t="shared" si="80"/>
        <v>0</v>
      </c>
      <c r="R193" s="1016">
        <f t="shared" si="80"/>
        <v>0</v>
      </c>
      <c r="S193" s="1017">
        <f t="shared" si="78"/>
        <v>0</v>
      </c>
      <c r="T193" s="1018">
        <f t="shared" si="78"/>
        <v>0</v>
      </c>
      <c r="U193" s="1015">
        <f t="shared" si="81"/>
        <v>0</v>
      </c>
      <c r="V193" s="1016">
        <f t="shared" si="81"/>
        <v>0</v>
      </c>
      <c r="W193" s="1017">
        <f t="shared" si="79"/>
        <v>0</v>
      </c>
      <c r="X193" s="1018">
        <f t="shared" si="79"/>
        <v>0</v>
      </c>
      <c r="Y193" s="1015">
        <f t="shared" si="82"/>
        <v>0</v>
      </c>
      <c r="Z193" s="1016">
        <f t="shared" si="82"/>
        <v>0</v>
      </c>
      <c r="AA193" s="1017">
        <f t="shared" si="83"/>
        <v>0</v>
      </c>
      <c r="AB193" s="1018">
        <f t="shared" si="83"/>
        <v>0</v>
      </c>
      <c r="AC193" s="1015">
        <f t="shared" si="25"/>
        <v>0</v>
      </c>
      <c r="AD193" s="1016">
        <f t="shared" si="25"/>
        <v>0</v>
      </c>
      <c r="AE193" s="1016">
        <f t="shared" si="25"/>
        <v>0</v>
      </c>
      <c r="AF193" s="1018">
        <f t="shared" si="25"/>
        <v>0</v>
      </c>
    </row>
    <row r="194" spans="1:32" ht="13.8" thickBot="1">
      <c r="A194" s="111" t="str">
        <f t="shared" ref="A194:D195" si="86">A66</f>
        <v>Ethernet</v>
      </c>
      <c r="B194" s="269" t="str">
        <f t="shared" si="86"/>
        <v>all</v>
      </c>
      <c r="C194" s="259" t="str">
        <f t="shared" si="86"/>
        <v>Miscellaneous</v>
      </c>
      <c r="D194" s="258" t="str">
        <f t="shared" si="86"/>
        <v>all</v>
      </c>
      <c r="E194" s="489">
        <f>E130*E66</f>
        <v>15254121.529098228</v>
      </c>
      <c r="F194" s="257">
        <f>F130*F66</f>
        <v>14704320.436017115</v>
      </c>
      <c r="G194" s="822">
        <f>G66*G130</f>
        <v>13800000</v>
      </c>
      <c r="H194" s="824">
        <f>H66*H130</f>
        <v>13800000</v>
      </c>
      <c r="I194" s="489">
        <f>I130*I66</f>
        <v>6080544.0000000028</v>
      </c>
      <c r="J194" s="257">
        <f>J130*J66</f>
        <v>11652926.999999998</v>
      </c>
      <c r="K194" s="903">
        <f>K66*K130</f>
        <v>11212717.841237757</v>
      </c>
      <c r="L194" s="824">
        <f>L66*L130</f>
        <v>6771040.6002201382</v>
      </c>
      <c r="M194" s="732">
        <f t="shared" si="84"/>
        <v>4494653.0000000037</v>
      </c>
      <c r="N194" s="872">
        <f t="shared" si="84"/>
        <v>4575866.9999999981</v>
      </c>
      <c r="O194" s="874">
        <f>O66*O130</f>
        <v>1661000</v>
      </c>
      <c r="P194" s="873">
        <f>P66*P130</f>
        <v>1532000</v>
      </c>
      <c r="Q194" s="1019">
        <f t="shared" si="80"/>
        <v>213750.00000000003</v>
      </c>
      <c r="R194" s="1020">
        <f t="shared" si="80"/>
        <v>0</v>
      </c>
      <c r="S194" s="1021">
        <f t="shared" si="78"/>
        <v>0</v>
      </c>
      <c r="T194" s="1022">
        <f t="shared" si="78"/>
        <v>0</v>
      </c>
      <c r="U194" s="1019">
        <f t="shared" si="81"/>
        <v>0</v>
      </c>
      <c r="V194" s="1020">
        <f t="shared" si="81"/>
        <v>0</v>
      </c>
      <c r="W194" s="1021">
        <f t="shared" si="79"/>
        <v>0</v>
      </c>
      <c r="X194" s="1022">
        <f t="shared" si="79"/>
        <v>0</v>
      </c>
      <c r="Y194" s="1019">
        <f t="shared" si="82"/>
        <v>0</v>
      </c>
      <c r="Z194" s="1020">
        <f t="shared" si="82"/>
        <v>0</v>
      </c>
      <c r="AA194" s="1021">
        <f t="shared" si="83"/>
        <v>0</v>
      </c>
      <c r="AB194" s="1022">
        <f t="shared" si="83"/>
        <v>0</v>
      </c>
      <c r="AC194" s="1022">
        <f t="shared" si="83"/>
        <v>0</v>
      </c>
      <c r="AD194" s="1022">
        <f t="shared" si="83"/>
        <v>0</v>
      </c>
      <c r="AE194" s="1021"/>
      <c r="AF194" s="1022"/>
    </row>
    <row r="195" spans="1:32" ht="13.8" thickBot="1">
      <c r="A195" s="507" t="str">
        <f t="shared" si="86"/>
        <v>Total - EXCLUDING GigE over Copper</v>
      </c>
      <c r="B195" s="114"/>
      <c r="C195" s="114"/>
      <c r="D195" s="506"/>
      <c r="E195" s="871">
        <f t="shared" ref="E195:V195" si="87">SUM(E137:E194)</f>
        <v>715027965.77793813</v>
      </c>
      <c r="F195" s="798">
        <f t="shared" si="87"/>
        <v>819797359.26121473</v>
      </c>
      <c r="G195" s="798">
        <f t="shared" si="87"/>
        <v>809134100.73224449</v>
      </c>
      <c r="H195" s="798">
        <f t="shared" si="87"/>
        <v>814381439.27820528</v>
      </c>
      <c r="I195" s="798">
        <f t="shared" si="87"/>
        <v>798454546.85312617</v>
      </c>
      <c r="J195" s="798">
        <f t="shared" si="87"/>
        <v>826280056.62668979</v>
      </c>
      <c r="K195" s="798">
        <f t="shared" si="87"/>
        <v>768035433.36762738</v>
      </c>
      <c r="L195" s="797">
        <f t="shared" si="87"/>
        <v>700769193.76630652</v>
      </c>
      <c r="M195" s="796">
        <f t="shared" si="87"/>
        <v>621509119.74132776</v>
      </c>
      <c r="N195" s="798">
        <f t="shared" si="87"/>
        <v>653393235.87627816</v>
      </c>
      <c r="O195" s="904">
        <f t="shared" si="87"/>
        <v>646776479.17863715</v>
      </c>
      <c r="P195" s="801">
        <f t="shared" si="87"/>
        <v>771265961.63619006</v>
      </c>
      <c r="Q195" s="944">
        <f t="shared" si="87"/>
        <v>717264235.97010076</v>
      </c>
      <c r="R195" s="942">
        <f t="shared" si="87"/>
        <v>0</v>
      </c>
      <c r="S195" s="1023">
        <f t="shared" si="87"/>
        <v>0</v>
      </c>
      <c r="T195" s="943">
        <f t="shared" si="87"/>
        <v>0</v>
      </c>
      <c r="U195" s="944">
        <f t="shared" si="87"/>
        <v>0</v>
      </c>
      <c r="V195" s="942">
        <f t="shared" si="87"/>
        <v>0</v>
      </c>
      <c r="W195" s="1023">
        <f t="shared" ref="W195:AF195" si="88">SUM(W137:W194)</f>
        <v>0</v>
      </c>
      <c r="X195" s="943">
        <f t="shared" si="88"/>
        <v>0</v>
      </c>
      <c r="Y195" s="944">
        <f t="shared" si="88"/>
        <v>0</v>
      </c>
      <c r="Z195" s="942">
        <f t="shared" si="88"/>
        <v>0</v>
      </c>
      <c r="AA195" s="1023">
        <f t="shared" si="88"/>
        <v>0</v>
      </c>
      <c r="AB195" s="943">
        <f t="shared" si="88"/>
        <v>0</v>
      </c>
      <c r="AC195" s="944">
        <f t="shared" si="88"/>
        <v>0</v>
      </c>
      <c r="AD195" s="942">
        <f t="shared" si="88"/>
        <v>0</v>
      </c>
      <c r="AE195" s="1023">
        <f t="shared" si="88"/>
        <v>0</v>
      </c>
      <c r="AF195" s="943">
        <f t="shared" si="88"/>
        <v>0</v>
      </c>
    </row>
    <row r="196" spans="1:32" ht="15.6">
      <c r="A196" s="806"/>
      <c r="L196" s="15"/>
      <c r="M196" s="478"/>
      <c r="N196" s="478"/>
      <c r="O196" s="478"/>
      <c r="P196" s="478"/>
      <c r="Q196" s="478"/>
      <c r="R196" s="478"/>
      <c r="S196" s="478"/>
      <c r="T196" s="478"/>
      <c r="U196" s="478"/>
      <c r="V196" s="478"/>
      <c r="W196" s="478"/>
      <c r="X196" s="1627"/>
      <c r="Y196" s="1627"/>
      <c r="Z196" s="1627"/>
      <c r="AA196" s="1627"/>
      <c r="AB196" s="1627"/>
      <c r="AC196" s="1627"/>
      <c r="AD196" s="1627"/>
      <c r="AE196" s="1627"/>
      <c r="AF196" s="1627"/>
    </row>
    <row r="197" spans="1:32">
      <c r="M197" s="5"/>
      <c r="N197" s="5"/>
      <c r="O197" s="5"/>
      <c r="P197" s="5"/>
      <c r="Q197" s="5"/>
      <c r="R197" s="5"/>
      <c r="S197" s="5"/>
      <c r="T197" s="5"/>
      <c r="U197" s="5"/>
      <c r="V197" s="5"/>
      <c r="W197" s="5"/>
      <c r="X197" s="5"/>
      <c r="Y197" s="5"/>
      <c r="Z197" s="5"/>
      <c r="AA197" s="5"/>
      <c r="AB197" s="5"/>
      <c r="AC197" s="5"/>
      <c r="AD197" s="5"/>
      <c r="AF197" s="5"/>
    </row>
    <row r="198" spans="1:32">
      <c r="Q198" s="67"/>
      <c r="R198" s="67"/>
      <c r="S198" s="67"/>
      <c r="T198" s="67"/>
      <c r="X198" s="15"/>
      <c r="AB198" s="15"/>
      <c r="AF198" s="15"/>
    </row>
    <row r="199" spans="1:32">
      <c r="AB199" s="5"/>
      <c r="AF199" s="5"/>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AE58"/>
  <sheetViews>
    <sheetView showGridLines="0" zoomScale="80" zoomScaleNormal="80" zoomScalePageLayoutView="80" workbookViewId="0">
      <pane xSplit="3" ySplit="8" topLeftCell="P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11.44140625" customWidth="1"/>
    <col min="2" max="2" width="11.77734375" customWidth="1"/>
    <col min="3" max="3" width="12.44140625" customWidth="1"/>
    <col min="4" max="7" width="14.44140625" hidden="1" customWidth="1" outlineLevel="1"/>
    <col min="8" max="15" width="12.109375" hidden="1" customWidth="1" outlineLevel="1"/>
    <col min="16" max="16" width="12.109375" customWidth="1" collapsed="1"/>
    <col min="17" max="23" width="10.77734375" customWidth="1"/>
    <col min="24" max="27" width="14" customWidth="1"/>
    <col min="28" max="31" width="13.109375" customWidth="1"/>
  </cols>
  <sheetData>
    <row r="1" spans="1:31" ht="25.05" customHeight="1">
      <c r="A1" s="69" t="str">
        <f>Introduction!$B$1</f>
        <v>Vendor Survey Results through H1 2023</v>
      </c>
    </row>
    <row r="2" spans="1:31" ht="15">
      <c r="A2" s="249" t="str">
        <f>Introduction!$B$2</f>
        <v>December 2023 QMU - Sample template for illustrative purposes only</v>
      </c>
    </row>
    <row r="3" spans="1:31" ht="17.399999999999999">
      <c r="A3" s="503" t="s">
        <v>311</v>
      </c>
      <c r="AB3" s="503"/>
    </row>
    <row r="4" spans="1:31" ht="17.399999999999999">
      <c r="H4" s="13"/>
      <c r="I4" s="13"/>
      <c r="J4" s="13"/>
      <c r="L4" s="13"/>
      <c r="AB4" s="503"/>
    </row>
    <row r="5" spans="1:31" ht="18">
      <c r="A5" s="686" t="s">
        <v>380</v>
      </c>
      <c r="B5" s="576"/>
      <c r="C5" s="576"/>
      <c r="H5" s="13"/>
      <c r="I5" s="13"/>
      <c r="J5" s="13"/>
      <c r="L5" s="13"/>
      <c r="N5" s="688"/>
      <c r="AA5" s="648"/>
    </row>
    <row r="6" spans="1:31" ht="16.2" thickBot="1">
      <c r="A6" s="576"/>
      <c r="B6" s="576"/>
      <c r="C6" s="576"/>
      <c r="L6" s="688"/>
      <c r="N6" s="688"/>
      <c r="P6" s="688"/>
      <c r="Q6" s="13"/>
      <c r="R6" s="688"/>
      <c r="S6" s="13"/>
    </row>
    <row r="7" spans="1:31" ht="16.2" thickBot="1">
      <c r="A7" s="518" t="str">
        <f>A3</f>
        <v>Fibre Channel Transceivers</v>
      </c>
      <c r="E7" s="512"/>
      <c r="F7" s="512"/>
      <c r="G7" s="512"/>
      <c r="H7" s="1216" t="s">
        <v>164</v>
      </c>
      <c r="I7" s="512"/>
      <c r="J7" s="512"/>
      <c r="K7" s="512"/>
      <c r="L7" s="512"/>
      <c r="M7" s="512"/>
      <c r="N7" s="512"/>
      <c r="P7" s="1752" t="s">
        <v>164</v>
      </c>
      <c r="X7" s="1" t="str">
        <f>P7</f>
        <v>Shipments: Actual Data</v>
      </c>
      <c r="AB7" s="1"/>
      <c r="AC7" s="1"/>
      <c r="AD7" s="2130" t="s">
        <v>280</v>
      </c>
      <c r="AE7" s="1710"/>
    </row>
    <row r="8" spans="1:31" ht="15.75" customHeight="1" thickBot="1">
      <c r="A8" s="467" t="s">
        <v>166</v>
      </c>
      <c r="B8" s="467" t="s">
        <v>176</v>
      </c>
      <c r="C8" s="652" t="s">
        <v>177</v>
      </c>
      <c r="D8" s="251" t="s">
        <v>100</v>
      </c>
      <c r="E8" s="73" t="s">
        <v>101</v>
      </c>
      <c r="F8" s="73" t="s">
        <v>102</v>
      </c>
      <c r="G8" s="76" t="s">
        <v>103</v>
      </c>
      <c r="H8" s="251" t="s">
        <v>104</v>
      </c>
      <c r="I8" s="73" t="s">
        <v>105</v>
      </c>
      <c r="J8" s="73" t="s">
        <v>106</v>
      </c>
      <c r="K8" s="93" t="s">
        <v>107</v>
      </c>
      <c r="L8" s="72" t="s">
        <v>108</v>
      </c>
      <c r="M8" s="73" t="s">
        <v>109</v>
      </c>
      <c r="N8" s="697" t="s">
        <v>110</v>
      </c>
      <c r="O8" s="76" t="s">
        <v>111</v>
      </c>
      <c r="P8" s="72" t="s">
        <v>112</v>
      </c>
      <c r="Q8" s="73" t="s">
        <v>113</v>
      </c>
      <c r="R8" s="697" t="s">
        <v>114</v>
      </c>
      <c r="S8" s="76" t="s">
        <v>115</v>
      </c>
      <c r="T8" s="72" t="s">
        <v>463</v>
      </c>
      <c r="U8" s="73" t="s">
        <v>464</v>
      </c>
      <c r="V8" s="697" t="s">
        <v>465</v>
      </c>
      <c r="W8" s="76" t="s">
        <v>466</v>
      </c>
      <c r="X8" s="72" t="s">
        <v>467</v>
      </c>
      <c r="Y8" s="73" t="s">
        <v>468</v>
      </c>
      <c r="Z8" s="697" t="s">
        <v>469</v>
      </c>
      <c r="AA8" s="76" t="s">
        <v>470</v>
      </c>
      <c r="AB8" s="1858" t="s">
        <v>568</v>
      </c>
      <c r="AC8" s="2125" t="s">
        <v>594</v>
      </c>
      <c r="AD8" s="2133" t="s">
        <v>595</v>
      </c>
      <c r="AE8" s="462" t="s">
        <v>596</v>
      </c>
    </row>
    <row r="9" spans="1:31" ht="12.75" customHeight="1">
      <c r="A9" s="259" t="s">
        <v>419</v>
      </c>
      <c r="B9" s="259" t="s">
        <v>218</v>
      </c>
      <c r="C9" s="116" t="s">
        <v>219</v>
      </c>
      <c r="D9" s="250">
        <v>333909</v>
      </c>
      <c r="E9" s="139">
        <v>266484</v>
      </c>
      <c r="F9" s="139">
        <v>276435</v>
      </c>
      <c r="G9" s="140">
        <v>223467</v>
      </c>
      <c r="H9" s="407">
        <v>245877</v>
      </c>
      <c r="I9" s="408">
        <v>236000</v>
      </c>
      <c r="J9" s="410">
        <v>240310</v>
      </c>
      <c r="K9" s="626">
        <v>208957</v>
      </c>
      <c r="L9" s="408">
        <v>114612</v>
      </c>
      <c r="M9" s="408">
        <v>217567</v>
      </c>
      <c r="N9" s="408">
        <v>217567</v>
      </c>
      <c r="O9" s="698">
        <v>180000</v>
      </c>
      <c r="P9" s="408" t="s">
        <v>443</v>
      </c>
      <c r="Q9" s="408"/>
      <c r="R9" s="408"/>
      <c r="S9" s="698"/>
      <c r="T9" s="408"/>
      <c r="U9" s="408"/>
      <c r="V9" s="408"/>
      <c r="W9" s="698"/>
      <c r="X9" s="139"/>
      <c r="Y9" s="139"/>
      <c r="Z9" s="408"/>
      <c r="AA9" s="698"/>
      <c r="AB9" s="139"/>
      <c r="AC9" s="139"/>
      <c r="AD9" s="408"/>
      <c r="AE9" s="698"/>
    </row>
    <row r="10" spans="1:31">
      <c r="A10" s="515" t="s">
        <v>419</v>
      </c>
      <c r="B10" s="124" t="s">
        <v>220</v>
      </c>
      <c r="C10" s="125" t="s">
        <v>219</v>
      </c>
      <c r="D10" s="252"/>
      <c r="E10" s="118"/>
      <c r="F10" s="118"/>
      <c r="G10" s="119"/>
      <c r="H10" s="409"/>
      <c r="I10" s="410"/>
      <c r="J10" s="410"/>
      <c r="K10" s="626"/>
      <c r="L10" s="410"/>
      <c r="M10" s="410"/>
      <c r="N10" s="410"/>
      <c r="O10" s="626"/>
      <c r="P10" s="410"/>
      <c r="Q10" s="410"/>
      <c r="R10" s="410"/>
      <c r="S10" s="626"/>
      <c r="T10" s="410"/>
      <c r="U10" s="410"/>
      <c r="V10" s="410"/>
      <c r="W10" s="626"/>
      <c r="X10" s="118"/>
      <c r="Y10" s="118"/>
      <c r="Z10" s="410"/>
      <c r="AA10" s="626"/>
      <c r="AB10" s="118"/>
      <c r="AC10" s="118"/>
      <c r="AD10" s="410"/>
      <c r="AE10" s="626"/>
    </row>
    <row r="11" spans="1:31">
      <c r="A11" s="515" t="s">
        <v>419</v>
      </c>
      <c r="B11" s="124" t="s">
        <v>189</v>
      </c>
      <c r="C11" s="125" t="s">
        <v>219</v>
      </c>
      <c r="D11" s="117">
        <v>3441</v>
      </c>
      <c r="E11" s="118">
        <v>4886</v>
      </c>
      <c r="F11" s="118">
        <v>2264</v>
      </c>
      <c r="G11" s="119">
        <v>6587</v>
      </c>
      <c r="H11" s="411"/>
      <c r="I11" s="410"/>
      <c r="J11" s="410"/>
      <c r="K11" s="626"/>
      <c r="L11" s="410"/>
      <c r="M11" s="410"/>
      <c r="N11" s="410"/>
      <c r="O11" s="626"/>
      <c r="P11" s="410"/>
      <c r="Q11" s="410"/>
      <c r="R11" s="410"/>
      <c r="S11" s="626"/>
      <c r="T11" s="410"/>
      <c r="U11" s="410"/>
      <c r="V11" s="410"/>
      <c r="W11" s="626"/>
      <c r="X11" s="118"/>
      <c r="Y11" s="118"/>
      <c r="Z11" s="363"/>
      <c r="AA11" s="626"/>
      <c r="AB11" s="363"/>
      <c r="AC11" s="363"/>
      <c r="AD11" s="363"/>
      <c r="AE11" s="1746"/>
    </row>
    <row r="12" spans="1:31">
      <c r="A12" s="130" t="s">
        <v>420</v>
      </c>
      <c r="B12" s="130" t="s">
        <v>218</v>
      </c>
      <c r="C12" s="131" t="s">
        <v>181</v>
      </c>
      <c r="D12" s="117">
        <v>682702</v>
      </c>
      <c r="E12" s="118">
        <v>560399</v>
      </c>
      <c r="F12" s="118">
        <v>546601</v>
      </c>
      <c r="G12" s="119">
        <v>613648</v>
      </c>
      <c r="H12" s="411">
        <v>407671</v>
      </c>
      <c r="I12" s="410">
        <v>390214</v>
      </c>
      <c r="J12" s="410">
        <v>256912</v>
      </c>
      <c r="K12" s="626">
        <v>210595</v>
      </c>
      <c r="L12" s="410">
        <v>137058</v>
      </c>
      <c r="M12" s="410">
        <v>90657</v>
      </c>
      <c r="N12" s="410">
        <v>90657</v>
      </c>
      <c r="O12" s="626">
        <v>105297.5</v>
      </c>
      <c r="P12" s="1263">
        <v>56000</v>
      </c>
      <c r="Q12" s="1263"/>
      <c r="R12" s="1263"/>
      <c r="S12" s="1272"/>
      <c r="T12" s="410"/>
      <c r="U12" s="410"/>
      <c r="V12" s="410"/>
      <c r="W12" s="626"/>
      <c r="X12" s="410"/>
      <c r="Y12" s="410"/>
      <c r="Z12" s="410"/>
      <c r="AA12" s="626"/>
      <c r="AB12" s="410"/>
      <c r="AC12" s="410"/>
      <c r="AD12" s="410"/>
      <c r="AE12" s="626"/>
    </row>
    <row r="13" spans="1:31">
      <c r="A13" s="515" t="s">
        <v>420</v>
      </c>
      <c r="B13" s="124" t="s">
        <v>189</v>
      </c>
      <c r="C13" s="125" t="s">
        <v>181</v>
      </c>
      <c r="D13" s="126">
        <v>12146</v>
      </c>
      <c r="E13" s="127">
        <v>13096</v>
      </c>
      <c r="F13" s="127">
        <v>10391</v>
      </c>
      <c r="G13" s="133">
        <v>8022</v>
      </c>
      <c r="H13" s="412">
        <v>7148</v>
      </c>
      <c r="I13" s="413">
        <v>11349</v>
      </c>
      <c r="J13" s="413">
        <v>6822</v>
      </c>
      <c r="K13" s="627">
        <v>15911</v>
      </c>
      <c r="L13" s="413">
        <v>5119</v>
      </c>
      <c r="M13" s="413">
        <v>9708</v>
      </c>
      <c r="N13" s="413">
        <v>9708</v>
      </c>
      <c r="O13" s="627">
        <v>7955.5</v>
      </c>
      <c r="P13" s="1273">
        <v>0</v>
      </c>
      <c r="Q13" s="1273"/>
      <c r="R13" s="1263"/>
      <c r="S13" s="1272"/>
      <c r="T13" s="413"/>
      <c r="U13" s="413"/>
      <c r="V13" s="413"/>
      <c r="W13" s="627"/>
      <c r="X13" s="413"/>
      <c r="Y13" s="413"/>
      <c r="Z13" s="413"/>
      <c r="AA13" s="627"/>
      <c r="AB13" s="413"/>
      <c r="AC13" s="413"/>
      <c r="AD13" s="413"/>
      <c r="AE13" s="627"/>
    </row>
    <row r="14" spans="1:31">
      <c r="A14" s="515" t="s">
        <v>421</v>
      </c>
      <c r="B14" s="112" t="s">
        <v>218</v>
      </c>
      <c r="C14" s="136" t="s">
        <v>181</v>
      </c>
      <c r="D14" s="126">
        <v>897090</v>
      </c>
      <c r="E14" s="127">
        <v>1221235</v>
      </c>
      <c r="F14" s="127">
        <v>1300923</v>
      </c>
      <c r="G14" s="133">
        <v>1173258</v>
      </c>
      <c r="H14" s="412">
        <v>1064742</v>
      </c>
      <c r="I14" s="413">
        <v>1285430</v>
      </c>
      <c r="J14" s="413">
        <v>1432708</v>
      </c>
      <c r="K14" s="627">
        <v>1662239</v>
      </c>
      <c r="L14" s="413">
        <v>1487441</v>
      </c>
      <c r="M14" s="413">
        <v>1128619</v>
      </c>
      <c r="N14" s="413">
        <v>1128619</v>
      </c>
      <c r="O14" s="627">
        <v>1100000</v>
      </c>
      <c r="P14" s="1273">
        <v>556105</v>
      </c>
      <c r="Q14" s="1273"/>
      <c r="R14" s="1263"/>
      <c r="S14" s="1272"/>
      <c r="T14" s="413"/>
      <c r="U14" s="413"/>
      <c r="V14" s="413"/>
      <c r="W14" s="627"/>
      <c r="X14" s="413"/>
      <c r="Y14" s="413"/>
      <c r="Z14" s="413"/>
      <c r="AA14" s="627"/>
      <c r="AB14" s="413"/>
      <c r="AC14" s="413"/>
      <c r="AD14" s="413"/>
      <c r="AE14" s="627"/>
    </row>
    <row r="15" spans="1:31">
      <c r="A15" s="515" t="s">
        <v>421</v>
      </c>
      <c r="B15" s="124" t="s">
        <v>189</v>
      </c>
      <c r="C15" s="136" t="s">
        <v>181</v>
      </c>
      <c r="D15" s="126">
        <v>34171</v>
      </c>
      <c r="E15" s="127">
        <v>50607</v>
      </c>
      <c r="F15" s="127">
        <v>64419</v>
      </c>
      <c r="G15" s="133">
        <v>82005</v>
      </c>
      <c r="H15" s="412">
        <v>40261</v>
      </c>
      <c r="I15" s="413">
        <v>59153</v>
      </c>
      <c r="J15" s="413">
        <v>63369</v>
      </c>
      <c r="K15" s="627">
        <v>69348</v>
      </c>
      <c r="L15" s="413">
        <v>37211</v>
      </c>
      <c r="M15" s="413">
        <v>34336</v>
      </c>
      <c r="N15" s="413">
        <v>34336</v>
      </c>
      <c r="O15" s="627">
        <v>55000</v>
      </c>
      <c r="P15" s="1273">
        <v>22000</v>
      </c>
      <c r="Q15" s="1273"/>
      <c r="R15" s="1263"/>
      <c r="S15" s="1272"/>
      <c r="T15" s="413"/>
      <c r="U15" s="413"/>
      <c r="V15" s="413"/>
      <c r="W15" s="627"/>
      <c r="X15" s="413"/>
      <c r="Y15" s="413"/>
      <c r="Z15" s="413"/>
      <c r="AA15" s="627"/>
      <c r="AB15" s="413"/>
      <c r="AC15" s="413"/>
      <c r="AD15" s="413"/>
      <c r="AE15" s="627"/>
    </row>
    <row r="16" spans="1:31">
      <c r="A16" s="516" t="s">
        <v>422</v>
      </c>
      <c r="B16" s="112" t="s">
        <v>218</v>
      </c>
      <c r="C16" s="338" t="s">
        <v>282</v>
      </c>
      <c r="D16" s="332">
        <v>80746</v>
      </c>
      <c r="E16" s="332">
        <v>78784</v>
      </c>
      <c r="F16" s="333">
        <v>109263</v>
      </c>
      <c r="G16" s="334">
        <v>152028</v>
      </c>
      <c r="H16" s="414">
        <v>174591</v>
      </c>
      <c r="I16" s="414">
        <v>191430</v>
      </c>
      <c r="J16" s="628">
        <v>187852</v>
      </c>
      <c r="K16" s="629">
        <v>269326</v>
      </c>
      <c r="L16" s="628">
        <v>422257</v>
      </c>
      <c r="M16" s="413">
        <v>428920</v>
      </c>
      <c r="N16" s="413">
        <v>428920</v>
      </c>
      <c r="O16" s="629">
        <v>736132.45399957965</v>
      </c>
      <c r="P16" s="628">
        <v>320105</v>
      </c>
      <c r="Q16" s="1273"/>
      <c r="R16" s="1263"/>
      <c r="S16" s="1272"/>
      <c r="T16" s="628"/>
      <c r="U16" s="413"/>
      <c r="V16" s="413"/>
      <c r="W16" s="629"/>
      <c r="X16" s="628"/>
      <c r="Y16" s="413"/>
      <c r="Z16" s="628"/>
      <c r="AA16" s="629"/>
      <c r="AB16" s="628"/>
      <c r="AC16" s="413"/>
      <c r="AD16" s="628"/>
      <c r="AE16" s="629"/>
    </row>
    <row r="17" spans="1:31">
      <c r="A17" s="516" t="s">
        <v>422</v>
      </c>
      <c r="B17" s="124" t="s">
        <v>189</v>
      </c>
      <c r="C17" s="338" t="s">
        <v>282</v>
      </c>
      <c r="D17" s="332">
        <v>3069</v>
      </c>
      <c r="E17" s="332">
        <v>2836</v>
      </c>
      <c r="F17" s="333">
        <v>2959</v>
      </c>
      <c r="G17" s="334">
        <v>4499</v>
      </c>
      <c r="H17" s="414">
        <v>7471</v>
      </c>
      <c r="I17" s="414">
        <v>4352</v>
      </c>
      <c r="J17" s="628">
        <v>9608</v>
      </c>
      <c r="K17" s="629">
        <v>10368</v>
      </c>
      <c r="L17" s="628">
        <v>9640</v>
      </c>
      <c r="M17" s="413">
        <v>11356</v>
      </c>
      <c r="N17" s="413">
        <v>11356</v>
      </c>
      <c r="O17" s="629">
        <v>39125.758671656338</v>
      </c>
      <c r="P17" s="628">
        <v>15300</v>
      </c>
      <c r="Q17" s="1273"/>
      <c r="R17" s="1263"/>
      <c r="S17" s="1272"/>
      <c r="T17" s="628"/>
      <c r="U17" s="413"/>
      <c r="V17" s="413"/>
      <c r="W17" s="629"/>
      <c r="X17" s="628"/>
      <c r="Y17" s="413"/>
      <c r="Z17" s="628"/>
      <c r="AA17" s="629"/>
      <c r="AB17" s="628"/>
      <c r="AC17" s="413"/>
      <c r="AD17" s="628"/>
      <c r="AE17" s="629"/>
    </row>
    <row r="18" spans="1:31">
      <c r="A18" s="516" t="s">
        <v>423</v>
      </c>
      <c r="B18" s="112" t="s">
        <v>202</v>
      </c>
      <c r="C18" s="338" t="s">
        <v>187</v>
      </c>
      <c r="D18" s="332"/>
      <c r="E18" s="332"/>
      <c r="F18" s="333"/>
      <c r="G18" s="334"/>
      <c r="H18" s="414"/>
      <c r="I18" s="414"/>
      <c r="J18" s="628"/>
      <c r="K18" s="629"/>
      <c r="L18" s="628"/>
      <c r="M18" s="628"/>
      <c r="N18" s="628"/>
      <c r="O18" s="629"/>
      <c r="P18" s="628"/>
      <c r="Q18" s="628"/>
      <c r="R18" s="1263"/>
      <c r="S18" s="1272"/>
      <c r="T18" s="628"/>
      <c r="U18" s="628"/>
      <c r="V18" s="628"/>
      <c r="W18" s="629"/>
      <c r="X18" s="628"/>
      <c r="Y18" s="628"/>
      <c r="Z18" s="628"/>
      <c r="AA18" s="629"/>
      <c r="AB18" s="628"/>
      <c r="AC18" s="628"/>
      <c r="AD18" s="628"/>
      <c r="AE18" s="629"/>
    </row>
    <row r="19" spans="1:31">
      <c r="A19" s="516" t="s">
        <v>423</v>
      </c>
      <c r="B19" s="124" t="s">
        <v>189</v>
      </c>
      <c r="C19" s="338" t="s">
        <v>187</v>
      </c>
      <c r="D19" s="332"/>
      <c r="E19" s="332"/>
      <c r="F19" s="333"/>
      <c r="G19" s="334"/>
      <c r="H19" s="414"/>
      <c r="I19" s="414"/>
      <c r="J19" s="628"/>
      <c r="K19" s="629"/>
      <c r="L19" s="628"/>
      <c r="M19" s="628"/>
      <c r="N19" s="628"/>
      <c r="O19" s="629"/>
      <c r="P19" s="1228"/>
      <c r="Q19" s="1228"/>
      <c r="R19" s="1263"/>
      <c r="S19" s="1272"/>
      <c r="T19" s="628"/>
      <c r="U19" s="628"/>
      <c r="V19" s="628"/>
      <c r="W19" s="629"/>
      <c r="X19" s="628"/>
      <c r="Y19" s="628"/>
      <c r="Z19" s="628"/>
      <c r="AA19" s="629"/>
      <c r="AB19" s="628"/>
      <c r="AC19" s="628"/>
      <c r="AD19" s="628"/>
      <c r="AE19" s="629"/>
    </row>
    <row r="20" spans="1:31" ht="27" thickBot="1">
      <c r="A20" s="517" t="s">
        <v>216</v>
      </c>
      <c r="B20" s="513" t="s">
        <v>211</v>
      </c>
      <c r="C20" s="514" t="s">
        <v>211</v>
      </c>
      <c r="D20" s="137">
        <v>137</v>
      </c>
      <c r="E20" s="905">
        <v>260</v>
      </c>
      <c r="F20" s="905">
        <v>0</v>
      </c>
      <c r="G20" s="906">
        <v>0</v>
      </c>
      <c r="H20" s="415">
        <v>2422</v>
      </c>
      <c r="I20" s="907">
        <v>5008</v>
      </c>
      <c r="J20" s="907">
        <v>270</v>
      </c>
      <c r="K20" s="908">
        <v>437</v>
      </c>
      <c r="L20" s="628">
        <v>21135</v>
      </c>
      <c r="M20" s="628">
        <v>10762</v>
      </c>
      <c r="N20" s="628">
        <v>10762</v>
      </c>
      <c r="O20" s="629">
        <v>161.11589037728893</v>
      </c>
      <c r="P20" s="628">
        <v>7000</v>
      </c>
      <c r="Q20" s="628"/>
      <c r="R20" s="1263"/>
      <c r="S20" s="1272"/>
      <c r="T20" s="628"/>
      <c r="U20" s="628"/>
      <c r="V20" s="628"/>
      <c r="W20" s="629"/>
      <c r="X20" s="628"/>
      <c r="Y20" s="628"/>
      <c r="Z20" s="628"/>
      <c r="AA20" s="629"/>
      <c r="AB20" s="628"/>
      <c r="AC20" s="628"/>
      <c r="AD20" s="628"/>
      <c r="AE20" s="629"/>
    </row>
    <row r="21" spans="1:31" ht="13.8" thickBot="1">
      <c r="A21" s="465" t="s">
        <v>14</v>
      </c>
      <c r="B21" s="114"/>
      <c r="C21" s="339"/>
      <c r="D21" s="171">
        <f t="shared" ref="D21:O21" si="0">SUM(D9:D20)</f>
        <v>2047411</v>
      </c>
      <c r="E21" s="172">
        <f t="shared" si="0"/>
        <v>2198587</v>
      </c>
      <c r="F21" s="172">
        <f t="shared" si="0"/>
        <v>2313255</v>
      </c>
      <c r="G21" s="228">
        <f t="shared" si="0"/>
        <v>2263514</v>
      </c>
      <c r="H21" s="171">
        <f>SUM(H9:H20)</f>
        <v>1950183</v>
      </c>
      <c r="I21" s="172">
        <f>SUM(I9:I20)</f>
        <v>2182936</v>
      </c>
      <c r="J21" s="172">
        <f t="shared" si="0"/>
        <v>2197851</v>
      </c>
      <c r="K21" s="228">
        <f t="shared" si="0"/>
        <v>2447181</v>
      </c>
      <c r="L21" s="171">
        <f>SUM(L9:L20)</f>
        <v>2234473</v>
      </c>
      <c r="M21" s="172">
        <f>SUM(M9:M20)</f>
        <v>1931925</v>
      </c>
      <c r="N21" s="172">
        <f>SUM(N9:N20)</f>
        <v>1931925</v>
      </c>
      <c r="O21" s="228">
        <f t="shared" si="0"/>
        <v>2223672.3285616133</v>
      </c>
      <c r="P21" s="171">
        <f t="shared" ref="P21:AA21" si="1">SUM(P9:P20)</f>
        <v>976510</v>
      </c>
      <c r="Q21" s="172">
        <f t="shared" si="1"/>
        <v>0</v>
      </c>
      <c r="R21" s="172">
        <f t="shared" si="1"/>
        <v>0</v>
      </c>
      <c r="S21" s="228">
        <f t="shared" si="1"/>
        <v>0</v>
      </c>
      <c r="T21" s="171">
        <f t="shared" si="1"/>
        <v>0</v>
      </c>
      <c r="U21" s="172">
        <f t="shared" si="1"/>
        <v>0</v>
      </c>
      <c r="V21" s="172">
        <f t="shared" si="1"/>
        <v>0</v>
      </c>
      <c r="W21" s="228">
        <f t="shared" si="1"/>
        <v>0</v>
      </c>
      <c r="X21" s="171">
        <f>SUM(X9:X20)</f>
        <v>0</v>
      </c>
      <c r="Y21" s="172">
        <f t="shared" si="1"/>
        <v>0</v>
      </c>
      <c r="Z21" s="172">
        <f t="shared" si="1"/>
        <v>0</v>
      </c>
      <c r="AA21" s="228">
        <f t="shared" si="1"/>
        <v>0</v>
      </c>
      <c r="AB21" s="171">
        <f t="shared" ref="AB21:AE21" si="2">SUM(AB9:AB20)</f>
        <v>0</v>
      </c>
      <c r="AC21" s="172">
        <f t="shared" si="2"/>
        <v>0</v>
      </c>
      <c r="AD21" s="171">
        <f t="shared" si="2"/>
        <v>0</v>
      </c>
      <c r="AE21" s="228">
        <f t="shared" si="2"/>
        <v>0</v>
      </c>
    </row>
    <row r="22" spans="1:31">
      <c r="N22" s="648"/>
      <c r="V22" s="644"/>
      <c r="W22" s="644"/>
    </row>
    <row r="23" spans="1:31" ht="16.2" thickBot="1">
      <c r="N23" s="688"/>
      <c r="P23" s="688"/>
      <c r="Q23" s="13"/>
      <c r="R23" s="688"/>
      <c r="S23" s="13"/>
    </row>
    <row r="24" spans="1:31" ht="16.2" thickBot="1">
      <c r="A24" s="518" t="str">
        <f t="shared" ref="A24:C38" si="3">A7</f>
        <v>Fibre Channel Transceivers</v>
      </c>
      <c r="E24" s="512"/>
      <c r="F24" s="512"/>
      <c r="G24" s="512"/>
      <c r="H24" s="1216" t="s">
        <v>178</v>
      </c>
      <c r="I24" s="512"/>
      <c r="J24" s="512"/>
      <c r="K24" s="512"/>
      <c r="L24" s="458"/>
      <c r="M24" s="458"/>
      <c r="P24" s="1752" t="s">
        <v>178</v>
      </c>
      <c r="X24" s="1" t="str">
        <f>P24</f>
        <v>ASP: Actual Data</v>
      </c>
      <c r="AB24" s="1"/>
      <c r="AC24" s="1"/>
      <c r="AD24" s="1857" t="s">
        <v>438</v>
      </c>
      <c r="AE24" s="1710"/>
    </row>
    <row r="25" spans="1:31" ht="13.8" thickBot="1">
      <c r="A25" s="467" t="str">
        <f t="shared" si="3"/>
        <v>Data Rate</v>
      </c>
      <c r="B25" s="467" t="str">
        <f t="shared" si="3"/>
        <v>Reach</v>
      </c>
      <c r="C25" s="370" t="str">
        <f t="shared" si="3"/>
        <v>Form Factor</v>
      </c>
      <c r="D25" s="72" t="s">
        <v>100</v>
      </c>
      <c r="E25" s="73" t="s">
        <v>101</v>
      </c>
      <c r="F25" s="73" t="s">
        <v>102</v>
      </c>
      <c r="G25" s="1217" t="s">
        <v>103</v>
      </c>
      <c r="H25" s="1203" t="str">
        <f t="shared" ref="H25:M25" si="4">H8</f>
        <v>1Q 18</v>
      </c>
      <c r="I25" s="73" t="str">
        <f t="shared" si="4"/>
        <v>2Q 18</v>
      </c>
      <c r="J25" s="73" t="str">
        <f t="shared" si="4"/>
        <v>3Q 18</v>
      </c>
      <c r="K25" s="93" t="str">
        <f t="shared" si="4"/>
        <v>4Q 18</v>
      </c>
      <c r="L25" s="72" t="str">
        <f t="shared" si="4"/>
        <v>1Q 19</v>
      </c>
      <c r="M25" s="73" t="str">
        <f t="shared" si="4"/>
        <v>2Q 19</v>
      </c>
      <c r="N25" s="697" t="s">
        <v>110</v>
      </c>
      <c r="O25" s="76" t="s">
        <v>111</v>
      </c>
      <c r="P25" s="72" t="s">
        <v>112</v>
      </c>
      <c r="Q25" s="73" t="s">
        <v>113</v>
      </c>
      <c r="R25" s="697" t="s">
        <v>114</v>
      </c>
      <c r="S25" s="76" t="s">
        <v>115</v>
      </c>
      <c r="T25" s="72" t="s">
        <v>463</v>
      </c>
      <c r="U25" s="73" t="s">
        <v>464</v>
      </c>
      <c r="V25" s="697" t="s">
        <v>465</v>
      </c>
      <c r="W25" s="76" t="s">
        <v>466</v>
      </c>
      <c r="X25" s="1203" t="s">
        <v>467</v>
      </c>
      <c r="Y25" s="73" t="s">
        <v>468</v>
      </c>
      <c r="Z25" s="73" t="str">
        <f t="shared" ref="Z25:AA25" si="5">Z8</f>
        <v>3Q 22</v>
      </c>
      <c r="AA25" s="76" t="str">
        <f t="shared" si="5"/>
        <v>4Q 22</v>
      </c>
      <c r="AB25" s="1858" t="s">
        <v>568</v>
      </c>
      <c r="AC25" s="2125" t="s">
        <v>594</v>
      </c>
      <c r="AD25" s="2133" t="s">
        <v>595</v>
      </c>
      <c r="AE25" s="462" t="s">
        <v>596</v>
      </c>
    </row>
    <row r="26" spans="1:31" ht="12.75" customHeight="1">
      <c r="A26" s="259" t="str">
        <f t="shared" si="3"/>
        <v>4 Gbps</v>
      </c>
      <c r="B26" s="259" t="str">
        <f t="shared" si="3"/>
        <v>MMF</v>
      </c>
      <c r="C26" s="116" t="str">
        <f t="shared" si="3"/>
        <v>SFF/SFP</v>
      </c>
      <c r="D26" s="120">
        <v>11.945122772971079</v>
      </c>
      <c r="E26" s="121">
        <v>13.083310817910268</v>
      </c>
      <c r="F26" s="122">
        <v>12.099509830520713</v>
      </c>
      <c r="G26" s="1218">
        <v>13.585822515181203</v>
      </c>
      <c r="H26" s="1223">
        <v>12.189123016792955</v>
      </c>
      <c r="I26" s="416">
        <v>13.472466101694943</v>
      </c>
      <c r="J26" s="416">
        <v>12.939959052890043</v>
      </c>
      <c r="K26" s="630">
        <v>13.793738424651954</v>
      </c>
      <c r="L26" s="420">
        <v>14.963607650158796</v>
      </c>
      <c r="M26" s="420">
        <v>13.896756401476306</v>
      </c>
      <c r="N26" s="910">
        <v>13.5</v>
      </c>
      <c r="O26" s="911">
        <v>13.5</v>
      </c>
      <c r="P26" s="1101" t="s">
        <v>443</v>
      </c>
      <c r="Q26" s="986"/>
      <c r="R26" s="987"/>
      <c r="S26" s="988"/>
      <c r="T26" s="408"/>
      <c r="U26" s="408"/>
      <c r="V26" s="408"/>
      <c r="W26" s="698"/>
      <c r="X26" s="139"/>
      <c r="Y26" s="139"/>
      <c r="Z26" s="408"/>
      <c r="AA26" s="698"/>
      <c r="AB26" s="139"/>
      <c r="AC26" s="139"/>
      <c r="AD26" s="408"/>
      <c r="AE26" s="698"/>
    </row>
    <row r="27" spans="1:31">
      <c r="A27" s="515" t="str">
        <f t="shared" si="3"/>
        <v>4 Gbps</v>
      </c>
      <c r="B27" s="124" t="str">
        <f t="shared" si="3"/>
        <v>4 km</v>
      </c>
      <c r="C27" s="125" t="str">
        <f t="shared" si="3"/>
        <v>SFF/SFP</v>
      </c>
      <c r="D27" s="120"/>
      <c r="E27" s="121"/>
      <c r="F27" s="122"/>
      <c r="G27" s="1218"/>
      <c r="H27" s="1223"/>
      <c r="I27" s="416"/>
      <c r="J27" s="416"/>
      <c r="K27" s="630"/>
      <c r="L27" s="416"/>
      <c r="M27" s="416"/>
      <c r="N27" s="912"/>
      <c r="O27" s="913"/>
      <c r="P27" s="989"/>
      <c r="Q27" s="989"/>
      <c r="R27" s="987"/>
      <c r="S27" s="988"/>
      <c r="T27" s="410"/>
      <c r="U27" s="410"/>
      <c r="V27" s="410"/>
      <c r="W27" s="626"/>
      <c r="X27" s="118"/>
      <c r="Y27" s="118"/>
      <c r="Z27" s="410"/>
      <c r="AA27" s="626"/>
      <c r="AB27" s="118"/>
      <c r="AC27" s="118"/>
      <c r="AD27" s="410"/>
      <c r="AE27" s="626"/>
    </row>
    <row r="28" spans="1:31">
      <c r="A28" s="515" t="str">
        <f t="shared" si="3"/>
        <v>4 Gbps</v>
      </c>
      <c r="B28" s="124" t="str">
        <f t="shared" si="3"/>
        <v>10 km</v>
      </c>
      <c r="C28" s="125" t="str">
        <f t="shared" si="3"/>
        <v>SFF/SFP</v>
      </c>
      <c r="D28" s="120">
        <v>68.404242952630042</v>
      </c>
      <c r="E28" s="121">
        <v>67.082275890298817</v>
      </c>
      <c r="F28" s="122">
        <v>64.331713780918705</v>
      </c>
      <c r="G28" s="1218">
        <v>60.247760740853217</v>
      </c>
      <c r="H28" s="1223"/>
      <c r="I28" s="416"/>
      <c r="J28" s="416"/>
      <c r="K28" s="630"/>
      <c r="L28" s="416"/>
      <c r="M28" s="416"/>
      <c r="N28" s="912"/>
      <c r="O28" s="913"/>
      <c r="P28" s="989"/>
      <c r="Q28" s="989"/>
      <c r="R28" s="987"/>
      <c r="S28" s="988"/>
      <c r="T28" s="410"/>
      <c r="U28" s="410"/>
      <c r="V28" s="410"/>
      <c r="W28" s="626"/>
      <c r="X28" s="118"/>
      <c r="Y28" s="118"/>
      <c r="Z28" s="410"/>
      <c r="AA28" s="626"/>
      <c r="AB28" s="118"/>
      <c r="AC28" s="118"/>
      <c r="AD28" s="410"/>
      <c r="AE28" s="626"/>
    </row>
    <row r="29" spans="1:31">
      <c r="A29" s="130" t="str">
        <f t="shared" si="3"/>
        <v>8 Gbps</v>
      </c>
      <c r="B29" s="130" t="str">
        <f t="shared" si="3"/>
        <v>MMF</v>
      </c>
      <c r="C29" s="131" t="str">
        <f t="shared" si="3"/>
        <v>SFP+</v>
      </c>
      <c r="D29" s="120">
        <v>13.623687934120598</v>
      </c>
      <c r="E29" s="121">
        <v>12.825179916452385</v>
      </c>
      <c r="F29" s="122">
        <v>12.621513681826405</v>
      </c>
      <c r="G29" s="1218">
        <v>12.142027677104778</v>
      </c>
      <c r="H29" s="1223">
        <v>11.67099695587866</v>
      </c>
      <c r="I29" s="416">
        <v>11.314327522846447</v>
      </c>
      <c r="J29" s="416">
        <v>11.594196144983512</v>
      </c>
      <c r="K29" s="630">
        <v>11.647259953940038</v>
      </c>
      <c r="L29" s="416">
        <v>12.556335274117524</v>
      </c>
      <c r="M29" s="416">
        <v>12.117211026175594</v>
      </c>
      <c r="N29" s="912">
        <v>11</v>
      </c>
      <c r="O29" s="913">
        <v>10.5</v>
      </c>
      <c r="P29" s="1274">
        <v>11.571428571428571</v>
      </c>
      <c r="Q29" s="1274"/>
      <c r="R29" s="910"/>
      <c r="S29" s="1275"/>
      <c r="T29" s="977"/>
      <c r="U29" s="977"/>
      <c r="V29" s="977"/>
      <c r="W29" s="1420"/>
      <c r="X29" s="977"/>
      <c r="Y29" s="977"/>
      <c r="Z29" s="977"/>
      <c r="AA29" s="1420"/>
      <c r="AB29" s="977"/>
      <c r="AC29" s="1831"/>
      <c r="AD29" s="1831"/>
      <c r="AE29" s="2067"/>
    </row>
    <row r="30" spans="1:31">
      <c r="A30" s="515" t="str">
        <f t="shared" si="3"/>
        <v>8 Gbps</v>
      </c>
      <c r="B30" s="124" t="str">
        <f t="shared" si="3"/>
        <v>10 km</v>
      </c>
      <c r="C30" s="125" t="str">
        <f t="shared" si="3"/>
        <v>SFP+</v>
      </c>
      <c r="D30" s="128">
        <v>91.17223777375267</v>
      </c>
      <c r="E30" s="129">
        <v>83.110109957238848</v>
      </c>
      <c r="F30" s="134">
        <v>87.927533442402108</v>
      </c>
      <c r="G30" s="1219">
        <v>84.755796559461487</v>
      </c>
      <c r="H30" s="1224">
        <v>78.534834918858422</v>
      </c>
      <c r="I30" s="418">
        <v>66.013745704467368</v>
      </c>
      <c r="J30" s="418">
        <v>67.662069774259763</v>
      </c>
      <c r="K30" s="631">
        <v>71.414310854126086</v>
      </c>
      <c r="L30" s="418">
        <v>74.901933971478826</v>
      </c>
      <c r="M30" s="418">
        <v>62.754841367943989</v>
      </c>
      <c r="N30" s="914">
        <v>68</v>
      </c>
      <c r="O30" s="915">
        <v>64</v>
      </c>
      <c r="P30" s="1276"/>
      <c r="Q30" s="1276"/>
      <c r="R30" s="910"/>
      <c r="S30" s="1275"/>
      <c r="T30" s="1421"/>
      <c r="U30" s="1421"/>
      <c r="V30" s="1421"/>
      <c r="W30" s="1422"/>
      <c r="X30" s="1421"/>
      <c r="Y30" s="1421"/>
      <c r="Z30" s="1421"/>
      <c r="AA30" s="1422"/>
      <c r="AB30" s="1421"/>
      <c r="AC30" s="1862"/>
      <c r="AD30" s="2068"/>
      <c r="AE30" s="2069"/>
    </row>
    <row r="31" spans="1:31">
      <c r="A31" s="515" t="str">
        <f t="shared" si="3"/>
        <v>16 Gbps</v>
      </c>
      <c r="B31" s="112" t="str">
        <f t="shared" si="3"/>
        <v>MMF</v>
      </c>
      <c r="C31" s="136" t="str">
        <f t="shared" si="3"/>
        <v>SFP+</v>
      </c>
      <c r="D31" s="128">
        <v>29.413886009207548</v>
      </c>
      <c r="E31" s="129">
        <v>27.432960077298802</v>
      </c>
      <c r="F31" s="134">
        <v>26.214657593108871</v>
      </c>
      <c r="G31" s="1219">
        <v>25.419042529435128</v>
      </c>
      <c r="H31" s="1224">
        <v>24.195579774255187</v>
      </c>
      <c r="I31" s="418">
        <v>22.976214963086296</v>
      </c>
      <c r="J31" s="418">
        <v>23.20557204957327</v>
      </c>
      <c r="K31" s="631">
        <v>21.556465857196237</v>
      </c>
      <c r="L31" s="418">
        <v>29.080906066190174</v>
      </c>
      <c r="M31" s="418">
        <v>27.937822241163754</v>
      </c>
      <c r="N31" s="914">
        <v>20</v>
      </c>
      <c r="O31" s="915">
        <v>20.5</v>
      </c>
      <c r="P31" s="1276">
        <v>22.045104534472546</v>
      </c>
      <c r="Q31" s="1276"/>
      <c r="R31" s="910"/>
      <c r="S31" s="1275"/>
      <c r="T31" s="1421"/>
      <c r="U31" s="1421"/>
      <c r="V31" s="1421"/>
      <c r="W31" s="1422"/>
      <c r="X31" s="1421"/>
      <c r="Y31" s="1421"/>
      <c r="Z31" s="1421"/>
      <c r="AA31" s="1422"/>
      <c r="AB31" s="1421"/>
      <c r="AC31" s="1421"/>
      <c r="AD31" s="2068"/>
      <c r="AE31" s="2069"/>
    </row>
    <row r="32" spans="1:31">
      <c r="A32" s="515" t="str">
        <f t="shared" si="3"/>
        <v>16 Gbps</v>
      </c>
      <c r="B32" s="124" t="str">
        <f t="shared" si="3"/>
        <v>10 km</v>
      </c>
      <c r="C32" s="136" t="str">
        <f t="shared" si="3"/>
        <v>SFP+</v>
      </c>
      <c r="D32" s="128">
        <v>117.03064001638816</v>
      </c>
      <c r="E32" s="129">
        <v>128.79378346869009</v>
      </c>
      <c r="F32" s="134">
        <v>106.11040221052772</v>
      </c>
      <c r="G32" s="1219">
        <v>103.75171026156941</v>
      </c>
      <c r="H32" s="1224">
        <v>101.43766920841516</v>
      </c>
      <c r="I32" s="418">
        <v>93.875289503490976</v>
      </c>
      <c r="J32" s="418">
        <v>85.926173207719856</v>
      </c>
      <c r="K32" s="631">
        <v>94.486965449616406</v>
      </c>
      <c r="L32" s="418">
        <v>89.102442826046058</v>
      </c>
      <c r="M32" s="418">
        <v>83.195683830382109</v>
      </c>
      <c r="N32" s="914">
        <v>86</v>
      </c>
      <c r="O32" s="915">
        <v>84</v>
      </c>
      <c r="P32" s="1276">
        <v>74.545454545454547</v>
      </c>
      <c r="Q32" s="1276"/>
      <c r="R32" s="910"/>
      <c r="S32" s="1275"/>
      <c r="T32" s="1421"/>
      <c r="U32" s="1421"/>
      <c r="V32" s="1421"/>
      <c r="W32" s="1422"/>
      <c r="X32" s="1421"/>
      <c r="Y32" s="1421"/>
      <c r="Z32" s="1421"/>
      <c r="AA32" s="1422"/>
      <c r="AB32" s="1421"/>
      <c r="AC32" s="1421"/>
      <c r="AD32" s="2068"/>
      <c r="AE32" s="2069"/>
    </row>
    <row r="33" spans="1:31">
      <c r="A33" s="516" t="str">
        <f t="shared" si="3"/>
        <v>32 Gbps</v>
      </c>
      <c r="B33" s="112" t="str">
        <f t="shared" si="3"/>
        <v>MMF</v>
      </c>
      <c r="C33" s="338" t="str">
        <f t="shared" si="3"/>
        <v>SFP28</v>
      </c>
      <c r="D33" s="128">
        <v>132.54818814554281</v>
      </c>
      <c r="E33" s="128">
        <v>122.64614642567018</v>
      </c>
      <c r="F33" s="366">
        <v>93.273166579720467</v>
      </c>
      <c r="G33" s="1220">
        <v>80.884343673533792</v>
      </c>
      <c r="H33" s="1224">
        <v>62.395192192037413</v>
      </c>
      <c r="I33" s="417">
        <v>59.884448623517734</v>
      </c>
      <c r="J33" s="632">
        <v>56.322022070566199</v>
      </c>
      <c r="K33" s="633">
        <v>53.063052954412129</v>
      </c>
      <c r="L33" s="632">
        <v>56.772752139100113</v>
      </c>
      <c r="M33" s="418">
        <v>53.615105380956841</v>
      </c>
      <c r="N33" s="916">
        <v>52</v>
      </c>
      <c r="O33" s="917">
        <v>51</v>
      </c>
      <c r="P33" s="632">
        <v>52.033863888411616</v>
      </c>
      <c r="Q33" s="1276"/>
      <c r="R33" s="910"/>
      <c r="S33" s="1275"/>
      <c r="T33" s="1423"/>
      <c r="U33" s="1421"/>
      <c r="V33" s="1421"/>
      <c r="W33" s="1424"/>
      <c r="X33" s="1423"/>
      <c r="Y33" s="1421"/>
      <c r="Z33" s="1423"/>
      <c r="AA33" s="1424"/>
      <c r="AB33" s="1423"/>
      <c r="AC33" s="1421"/>
      <c r="AD33" s="2070"/>
      <c r="AE33" s="2071"/>
    </row>
    <row r="34" spans="1:31">
      <c r="A34" s="516" t="str">
        <f t="shared" si="3"/>
        <v>32 Gbps</v>
      </c>
      <c r="B34" s="124" t="str">
        <f t="shared" si="3"/>
        <v>10 km</v>
      </c>
      <c r="C34" s="338" t="str">
        <f t="shared" si="3"/>
        <v>SFP28</v>
      </c>
      <c r="D34" s="128">
        <v>304.33691756272401</v>
      </c>
      <c r="E34" s="128">
        <v>331.58568406205922</v>
      </c>
      <c r="F34" s="366">
        <v>316.86245353159887</v>
      </c>
      <c r="G34" s="1220">
        <v>267.74616581462539</v>
      </c>
      <c r="H34" s="1224">
        <v>254.81675813144145</v>
      </c>
      <c r="I34" s="417">
        <v>244.13465073529375</v>
      </c>
      <c r="J34" s="632">
        <v>248.4699708576189</v>
      </c>
      <c r="K34" s="633">
        <v>214.66891396604933</v>
      </c>
      <c r="L34" s="632">
        <v>203.45673443983361</v>
      </c>
      <c r="M34" s="418">
        <v>201.73482564283219</v>
      </c>
      <c r="N34" s="916">
        <v>175</v>
      </c>
      <c r="O34" s="917">
        <v>170</v>
      </c>
      <c r="P34" s="632">
        <v>160.09803921568627</v>
      </c>
      <c r="Q34" s="1276"/>
      <c r="R34" s="910"/>
      <c r="S34" s="1275"/>
      <c r="T34" s="1423"/>
      <c r="U34" s="1421"/>
      <c r="V34" s="1421"/>
      <c r="W34" s="1424"/>
      <c r="X34" s="1423"/>
      <c r="Y34" s="1421"/>
      <c r="Z34" s="1423"/>
      <c r="AA34" s="1424"/>
      <c r="AB34" s="1423"/>
      <c r="AC34" s="1421"/>
      <c r="AD34" s="2070"/>
      <c r="AE34" s="2071"/>
    </row>
    <row r="35" spans="1:31">
      <c r="A35" s="516" t="str">
        <f t="shared" si="3"/>
        <v>64 Gbps</v>
      </c>
      <c r="B35" s="124" t="str">
        <f t="shared" si="3"/>
        <v>100 m</v>
      </c>
      <c r="C35" s="338" t="str">
        <f t="shared" si="3"/>
        <v>all</v>
      </c>
      <c r="D35" s="335"/>
      <c r="E35" s="335"/>
      <c r="F35" s="918"/>
      <c r="G35" s="919"/>
      <c r="H35" s="1225"/>
      <c r="I35" s="920"/>
      <c r="J35" s="632"/>
      <c r="K35" s="633"/>
      <c r="L35" s="632"/>
      <c r="M35" s="632"/>
      <c r="N35" s="916"/>
      <c r="O35" s="917"/>
      <c r="P35" s="632"/>
      <c r="Q35" s="632"/>
      <c r="R35" s="910"/>
      <c r="S35" s="1275"/>
      <c r="T35" s="1423"/>
      <c r="U35" s="1423"/>
      <c r="V35" s="1423"/>
      <c r="W35" s="1424"/>
      <c r="X35" s="1423"/>
      <c r="Y35" s="1423"/>
      <c r="Z35" s="1423"/>
      <c r="AA35" s="1424"/>
      <c r="AB35" s="1423"/>
      <c r="AC35" s="1423"/>
      <c r="AD35" s="2070"/>
      <c r="AE35" s="2071"/>
    </row>
    <row r="36" spans="1:31">
      <c r="A36" s="516" t="str">
        <f t="shared" si="3"/>
        <v>64 Gbps</v>
      </c>
      <c r="B36" s="124" t="str">
        <f t="shared" si="3"/>
        <v>10 km</v>
      </c>
      <c r="C36" s="338" t="str">
        <f t="shared" si="3"/>
        <v>all</v>
      </c>
      <c r="D36" s="335"/>
      <c r="E36" s="335"/>
      <c r="F36" s="918"/>
      <c r="G36" s="919"/>
      <c r="H36" s="1225"/>
      <c r="I36" s="920"/>
      <c r="J36" s="632"/>
      <c r="K36" s="633"/>
      <c r="L36" s="632"/>
      <c r="M36" s="632"/>
      <c r="N36" s="916"/>
      <c r="O36" s="917"/>
      <c r="P36" s="1277"/>
      <c r="Q36" s="1277"/>
      <c r="R36" s="910"/>
      <c r="S36" s="1275"/>
      <c r="T36" s="1423"/>
      <c r="U36" s="1423"/>
      <c r="V36" s="1423"/>
      <c r="W36" s="1424"/>
      <c r="X36" s="1423"/>
      <c r="Y36" s="1423"/>
      <c r="Z36" s="1423"/>
      <c r="AA36" s="1424"/>
      <c r="AB36" s="1423"/>
      <c r="AC36" s="1423"/>
      <c r="AD36" s="2070"/>
      <c r="AE36" s="2071"/>
    </row>
    <row r="37" spans="1:31" ht="13.8" thickBot="1">
      <c r="A37" s="516" t="str">
        <f t="shared" si="3"/>
        <v>Miscellaneous</v>
      </c>
      <c r="B37" s="124" t="str">
        <f t="shared" si="3"/>
        <v>All</v>
      </c>
      <c r="C37" s="338" t="str">
        <f t="shared" si="3"/>
        <v>All</v>
      </c>
      <c r="D37" s="138">
        <v>615.42919790958467</v>
      </c>
      <c r="E37" s="921">
        <v>612.00166168391547</v>
      </c>
      <c r="F37" s="922">
        <v>410.13562011131933</v>
      </c>
      <c r="G37" s="1221">
        <v>348.63050948815919</v>
      </c>
      <c r="H37" s="1226">
        <v>716.51527663088405</v>
      </c>
      <c r="I37" s="924">
        <v>623.51837060702906</v>
      </c>
      <c r="J37" s="924">
        <v>149.97362962962961</v>
      </c>
      <c r="K37" s="925">
        <v>132.02544622425629</v>
      </c>
      <c r="L37" s="632">
        <v>302.50631464395559</v>
      </c>
      <c r="M37" s="632">
        <v>307.70008083999267</v>
      </c>
      <c r="N37" s="916">
        <v>130</v>
      </c>
      <c r="O37" s="917">
        <v>130</v>
      </c>
      <c r="P37" s="632">
        <v>500</v>
      </c>
      <c r="Q37" s="632"/>
      <c r="R37" s="910"/>
      <c r="S37" s="1275"/>
      <c r="T37" s="1423"/>
      <c r="U37" s="1423"/>
      <c r="V37" s="1423"/>
      <c r="W37" s="1424"/>
      <c r="X37" s="1423"/>
      <c r="Y37" s="1423"/>
      <c r="Z37" s="1423"/>
      <c r="AA37" s="1424"/>
      <c r="AB37" s="1423"/>
      <c r="AC37" s="1423"/>
      <c r="AD37" s="2070"/>
      <c r="AE37" s="2071"/>
    </row>
    <row r="38" spans="1:31" ht="13.8" thickBot="1">
      <c r="A38" s="465" t="str">
        <f t="shared" si="3"/>
        <v>Total</v>
      </c>
      <c r="B38" s="114">
        <f t="shared" si="3"/>
        <v>0</v>
      </c>
      <c r="C38" s="339">
        <f t="shared" si="3"/>
        <v>0</v>
      </c>
      <c r="D38" s="926">
        <f t="shared" ref="D38:W38" si="6">D55/D21</f>
        <v>27.712695106216394</v>
      </c>
      <c r="E38" s="798">
        <f t="shared" si="6"/>
        <v>28.596500585165753</v>
      </c>
      <c r="F38" s="798">
        <f t="shared" si="6"/>
        <v>27.394576473410819</v>
      </c>
      <c r="G38" s="1222">
        <f t="shared" si="6"/>
        <v>28.00787006398016</v>
      </c>
      <c r="H38" s="1227">
        <f t="shared" si="6"/>
        <v>27.020605758536522</v>
      </c>
      <c r="I38" s="798">
        <f t="shared" si="6"/>
        <v>27.06435552851757</v>
      </c>
      <c r="J38" s="174">
        <f t="shared" si="6"/>
        <v>26.503043909710001</v>
      </c>
      <c r="K38" s="175">
        <f t="shared" si="6"/>
        <v>26.737110397637121</v>
      </c>
      <c r="L38" s="173">
        <f t="shared" si="6"/>
        <v>37.019282434829144</v>
      </c>
      <c r="M38" s="798">
        <f t="shared" si="6"/>
        <v>35.05205095953518</v>
      </c>
      <c r="N38" s="174">
        <f t="shared" si="6"/>
        <v>28.88828577713938</v>
      </c>
      <c r="O38" s="175">
        <f t="shared" si="6"/>
        <v>33.921299453638987</v>
      </c>
      <c r="P38" s="173">
        <f t="shared" si="6"/>
        <v>38.046914887858655</v>
      </c>
      <c r="Q38" s="174" t="e">
        <f t="shared" si="6"/>
        <v>#DIV/0!</v>
      </c>
      <c r="R38" s="174" t="e">
        <f t="shared" si="6"/>
        <v>#DIV/0!</v>
      </c>
      <c r="S38" s="175" t="e">
        <f t="shared" si="6"/>
        <v>#DIV/0!</v>
      </c>
      <c r="T38" s="1425" t="e">
        <f t="shared" si="6"/>
        <v>#DIV/0!</v>
      </c>
      <c r="U38" s="1426" t="e">
        <f t="shared" si="6"/>
        <v>#DIV/0!</v>
      </c>
      <c r="V38" s="1426" t="e">
        <f t="shared" si="6"/>
        <v>#DIV/0!</v>
      </c>
      <c r="W38" s="1427" t="e">
        <f t="shared" si="6"/>
        <v>#DIV/0!</v>
      </c>
      <c r="X38" s="1425" t="e">
        <f t="shared" ref="X38:AE38" si="7">X55/X21</f>
        <v>#DIV/0!</v>
      </c>
      <c r="Y38" s="1426" t="e">
        <f t="shared" si="7"/>
        <v>#DIV/0!</v>
      </c>
      <c r="Z38" s="1426" t="e">
        <f t="shared" si="7"/>
        <v>#DIV/0!</v>
      </c>
      <c r="AA38" s="1427" t="e">
        <f t="shared" si="7"/>
        <v>#DIV/0!</v>
      </c>
      <c r="AB38" s="1427" t="e">
        <f t="shared" si="7"/>
        <v>#DIV/0!</v>
      </c>
      <c r="AC38" s="1427" t="e">
        <f t="shared" si="7"/>
        <v>#DIV/0!</v>
      </c>
      <c r="AD38" s="1427" t="e">
        <f t="shared" si="7"/>
        <v>#DIV/0!</v>
      </c>
      <c r="AE38" s="1427" t="e">
        <f t="shared" si="7"/>
        <v>#DIV/0!</v>
      </c>
    </row>
    <row r="40" spans="1:31" ht="16.2" thickBot="1">
      <c r="N40" s="688"/>
      <c r="P40" s="688"/>
      <c r="Q40" s="13"/>
      <c r="R40" s="688"/>
      <c r="S40" s="13"/>
    </row>
    <row r="41" spans="1:31" ht="16.2" thickBot="1">
      <c r="A41" s="518" t="str">
        <f>A3</f>
        <v>Fibre Channel Transceivers</v>
      </c>
      <c r="E41" s="512"/>
      <c r="F41" s="512"/>
      <c r="G41" s="512"/>
      <c r="H41" s="1216" t="s">
        <v>165</v>
      </c>
      <c r="I41" s="512"/>
      <c r="J41" s="512"/>
      <c r="K41" s="512"/>
      <c r="L41" s="458"/>
      <c r="M41" s="458"/>
      <c r="P41" s="1752" t="s">
        <v>165</v>
      </c>
      <c r="X41" s="1" t="str">
        <f>P41</f>
        <v>Sales: Actual Data</v>
      </c>
      <c r="AB41" s="1"/>
      <c r="AC41" s="1"/>
      <c r="AD41" s="1857" t="s">
        <v>612</v>
      </c>
      <c r="AE41" s="1710"/>
    </row>
    <row r="42" spans="1:31" ht="13.8" thickBot="1">
      <c r="A42" s="467" t="str">
        <f t="shared" ref="A42:C53" si="8">A8</f>
        <v>Data Rate</v>
      </c>
      <c r="B42" s="467" t="str">
        <f t="shared" si="8"/>
        <v>Reach</v>
      </c>
      <c r="C42" s="370" t="str">
        <f t="shared" si="8"/>
        <v>Form Factor</v>
      </c>
      <c r="D42" s="72" t="s">
        <v>100</v>
      </c>
      <c r="E42" s="73" t="s">
        <v>101</v>
      </c>
      <c r="F42" s="73" t="s">
        <v>102</v>
      </c>
      <c r="G42" s="76" t="s">
        <v>103</v>
      </c>
      <c r="H42" s="72" t="str">
        <f t="shared" ref="H42:M42" si="9">H8</f>
        <v>1Q 18</v>
      </c>
      <c r="I42" s="73" t="str">
        <f t="shared" si="9"/>
        <v>2Q 18</v>
      </c>
      <c r="J42" s="73" t="str">
        <f t="shared" si="9"/>
        <v>3Q 18</v>
      </c>
      <c r="K42" s="93" t="str">
        <f t="shared" si="9"/>
        <v>4Q 18</v>
      </c>
      <c r="L42" s="72" t="str">
        <f t="shared" si="9"/>
        <v>1Q 19</v>
      </c>
      <c r="M42" s="73" t="str">
        <f t="shared" si="9"/>
        <v>2Q 19</v>
      </c>
      <c r="N42" s="73" t="s">
        <v>110</v>
      </c>
      <c r="O42" s="76" t="s">
        <v>111</v>
      </c>
      <c r="P42" s="72" t="s">
        <v>112</v>
      </c>
      <c r="Q42" s="73" t="s">
        <v>113</v>
      </c>
      <c r="R42" s="697" t="s">
        <v>114</v>
      </c>
      <c r="S42" s="76" t="s">
        <v>115</v>
      </c>
      <c r="T42" s="72" t="s">
        <v>463</v>
      </c>
      <c r="U42" s="73" t="s">
        <v>464</v>
      </c>
      <c r="V42" s="697" t="s">
        <v>465</v>
      </c>
      <c r="W42" s="76" t="s">
        <v>466</v>
      </c>
      <c r="X42" s="1203" t="s">
        <v>467</v>
      </c>
      <c r="Y42" s="73" t="s">
        <v>468</v>
      </c>
      <c r="Z42" s="73" t="str">
        <f t="shared" ref="Z42:AA42" si="10">Z8</f>
        <v>3Q 22</v>
      </c>
      <c r="AA42" s="76" t="str">
        <f t="shared" si="10"/>
        <v>4Q 22</v>
      </c>
      <c r="AB42" s="1858" t="s">
        <v>568</v>
      </c>
      <c r="AC42" s="2125" t="s">
        <v>594</v>
      </c>
      <c r="AD42" s="2133" t="s">
        <v>595</v>
      </c>
      <c r="AE42" s="462" t="s">
        <v>596</v>
      </c>
    </row>
    <row r="43" spans="1:31" ht="12.75" customHeight="1">
      <c r="A43" s="259" t="str">
        <f t="shared" si="8"/>
        <v>4 Gbps</v>
      </c>
      <c r="B43" s="259" t="str">
        <f t="shared" si="8"/>
        <v>MMF</v>
      </c>
      <c r="C43" s="116" t="str">
        <f t="shared" si="8"/>
        <v>SFF/SFP</v>
      </c>
      <c r="D43" s="120">
        <f>D26*D9</f>
        <v>3988584</v>
      </c>
      <c r="E43" s="121">
        <f>E26*E9</f>
        <v>3486493</v>
      </c>
      <c r="F43" s="122">
        <f>F26*F9</f>
        <v>3344727.9999999935</v>
      </c>
      <c r="G43" s="123">
        <f>G26*G9</f>
        <v>3035982.9999999977</v>
      </c>
      <c r="H43" s="120">
        <f>H26*H9</f>
        <v>2997025.0000000014</v>
      </c>
      <c r="I43" s="121">
        <f t="shared" ref="I43:O43" si="11">I26*I9</f>
        <v>3179502.0000000065</v>
      </c>
      <c r="J43" s="122">
        <f t="shared" si="11"/>
        <v>3109601.5600000061</v>
      </c>
      <c r="K43" s="123">
        <f t="shared" si="11"/>
        <v>2882298.1999999983</v>
      </c>
      <c r="L43" s="141">
        <f t="shared" si="11"/>
        <v>1715009</v>
      </c>
      <c r="M43" s="141">
        <f t="shared" si="11"/>
        <v>3023475.5999999954</v>
      </c>
      <c r="N43" s="141">
        <f t="shared" si="11"/>
        <v>2937154.5</v>
      </c>
      <c r="O43" s="748">
        <f t="shared" si="11"/>
        <v>2430000</v>
      </c>
      <c r="P43" s="1734" t="s">
        <v>443</v>
      </c>
      <c r="Q43" s="141"/>
      <c r="R43" s="141"/>
      <c r="S43" s="748"/>
      <c r="T43" s="1101"/>
      <c r="U43" s="141"/>
      <c r="V43" s="141"/>
      <c r="W43" s="748"/>
      <c r="X43" s="1101"/>
      <c r="Y43" s="141"/>
      <c r="Z43" s="141"/>
      <c r="AA43" s="748"/>
      <c r="AB43" s="1101"/>
      <c r="AC43" s="141"/>
      <c r="AD43" s="141"/>
      <c r="AE43" s="748"/>
    </row>
    <row r="44" spans="1:31">
      <c r="A44" s="515" t="str">
        <f t="shared" si="8"/>
        <v>4 Gbps</v>
      </c>
      <c r="B44" s="124" t="str">
        <f t="shared" si="8"/>
        <v>4 km</v>
      </c>
      <c r="C44" s="125" t="str">
        <f t="shared" si="8"/>
        <v>SFF/SFP</v>
      </c>
      <c r="D44" s="120">
        <f t="shared" ref="D44:G51" si="12">D27*D10</f>
        <v>0</v>
      </c>
      <c r="E44" s="121">
        <f t="shared" si="12"/>
        <v>0</v>
      </c>
      <c r="F44" s="122">
        <f t="shared" si="12"/>
        <v>0</v>
      </c>
      <c r="G44" s="123">
        <f t="shared" si="12"/>
        <v>0</v>
      </c>
      <c r="H44" s="120">
        <f t="shared" ref="H44:O44" si="13">H27*H10</f>
        <v>0</v>
      </c>
      <c r="I44" s="121">
        <f t="shared" si="13"/>
        <v>0</v>
      </c>
      <c r="J44" s="122">
        <f t="shared" si="13"/>
        <v>0</v>
      </c>
      <c r="K44" s="123">
        <f t="shared" si="13"/>
        <v>0</v>
      </c>
      <c r="L44" s="121">
        <f t="shared" si="13"/>
        <v>0</v>
      </c>
      <c r="M44" s="121">
        <f t="shared" si="13"/>
        <v>0</v>
      </c>
      <c r="N44" s="121">
        <f t="shared" si="13"/>
        <v>0</v>
      </c>
      <c r="O44" s="750">
        <f t="shared" si="13"/>
        <v>0</v>
      </c>
      <c r="P44" s="1735">
        <f t="shared" ref="P44:Q53" si="14">P27*P10</f>
        <v>0</v>
      </c>
      <c r="Q44" s="141">
        <f t="shared" si="14"/>
        <v>0</v>
      </c>
      <c r="R44" s="121">
        <f t="shared" ref="R44:U51" si="15">R27*R10</f>
        <v>0</v>
      </c>
      <c r="S44" s="750">
        <f t="shared" si="15"/>
        <v>0</v>
      </c>
      <c r="T44" s="141">
        <f t="shared" si="15"/>
        <v>0</v>
      </c>
      <c r="U44" s="141">
        <f t="shared" si="15"/>
        <v>0</v>
      </c>
      <c r="V44" s="121">
        <f t="shared" ref="V44:AA54" si="16">V27*V10</f>
        <v>0</v>
      </c>
      <c r="W44" s="750">
        <f t="shared" si="16"/>
        <v>0</v>
      </c>
      <c r="X44" s="141">
        <f t="shared" si="16"/>
        <v>0</v>
      </c>
      <c r="Y44" s="141">
        <f t="shared" si="16"/>
        <v>0</v>
      </c>
      <c r="Z44" s="121">
        <f t="shared" si="16"/>
        <v>0</v>
      </c>
      <c r="AA44" s="750">
        <f t="shared" si="16"/>
        <v>0</v>
      </c>
      <c r="AB44" s="986"/>
      <c r="AC44" s="986"/>
      <c r="AD44" s="989"/>
      <c r="AE44" s="1731"/>
    </row>
    <row r="45" spans="1:31">
      <c r="A45" s="515" t="str">
        <f t="shared" si="8"/>
        <v>4 Gbps</v>
      </c>
      <c r="B45" s="124" t="str">
        <f t="shared" si="8"/>
        <v>10 km</v>
      </c>
      <c r="C45" s="125" t="str">
        <f t="shared" si="8"/>
        <v>SFF/SFP</v>
      </c>
      <c r="D45" s="120">
        <f t="shared" si="12"/>
        <v>235378.99999999997</v>
      </c>
      <c r="E45" s="121">
        <f t="shared" si="12"/>
        <v>327764</v>
      </c>
      <c r="F45" s="122">
        <f t="shared" si="12"/>
        <v>145646.99999999994</v>
      </c>
      <c r="G45" s="123">
        <f t="shared" si="12"/>
        <v>396852.00000000012</v>
      </c>
      <c r="H45" s="120">
        <f t="shared" ref="H45:O45" si="17">H28*H11</f>
        <v>0</v>
      </c>
      <c r="I45" s="121">
        <f t="shared" si="17"/>
        <v>0</v>
      </c>
      <c r="J45" s="122">
        <f t="shared" si="17"/>
        <v>0</v>
      </c>
      <c r="K45" s="123">
        <f t="shared" si="17"/>
        <v>0</v>
      </c>
      <c r="L45" s="121">
        <f t="shared" si="17"/>
        <v>0</v>
      </c>
      <c r="M45" s="121">
        <f t="shared" si="17"/>
        <v>0</v>
      </c>
      <c r="N45" s="121">
        <f t="shared" si="17"/>
        <v>0</v>
      </c>
      <c r="O45" s="750">
        <f t="shared" si="17"/>
        <v>0</v>
      </c>
      <c r="P45" s="1735">
        <f t="shared" si="14"/>
        <v>0</v>
      </c>
      <c r="Q45" s="141">
        <f t="shared" si="14"/>
        <v>0</v>
      </c>
      <c r="R45" s="121">
        <f t="shared" si="15"/>
        <v>0</v>
      </c>
      <c r="S45" s="750">
        <f t="shared" si="15"/>
        <v>0</v>
      </c>
      <c r="T45" s="141">
        <f t="shared" si="15"/>
        <v>0</v>
      </c>
      <c r="U45" s="141">
        <f t="shared" si="15"/>
        <v>0</v>
      </c>
      <c r="V45" s="121">
        <f t="shared" si="16"/>
        <v>0</v>
      </c>
      <c r="W45" s="750">
        <f t="shared" si="16"/>
        <v>0</v>
      </c>
      <c r="X45" s="141">
        <f t="shared" si="16"/>
        <v>0</v>
      </c>
      <c r="Y45" s="141">
        <f t="shared" si="16"/>
        <v>0</v>
      </c>
      <c r="Z45" s="121">
        <f t="shared" si="16"/>
        <v>0</v>
      </c>
      <c r="AA45" s="750">
        <f t="shared" si="16"/>
        <v>0</v>
      </c>
      <c r="AB45" s="986"/>
      <c r="AC45" s="986"/>
      <c r="AD45" s="989"/>
      <c r="AE45" s="1731"/>
    </row>
    <row r="46" spans="1:31">
      <c r="A46" s="130" t="str">
        <f t="shared" si="8"/>
        <v>8 Gbps</v>
      </c>
      <c r="B46" s="130" t="str">
        <f t="shared" si="8"/>
        <v>MMF</v>
      </c>
      <c r="C46" s="131" t="str">
        <f t="shared" si="8"/>
        <v>SFP+</v>
      </c>
      <c r="D46" s="120">
        <f t="shared" si="12"/>
        <v>9300919</v>
      </c>
      <c r="E46" s="121">
        <f t="shared" si="12"/>
        <v>7187218</v>
      </c>
      <c r="F46" s="122">
        <f t="shared" si="12"/>
        <v>6898931.9999999953</v>
      </c>
      <c r="G46" s="123">
        <f t="shared" si="12"/>
        <v>7450930.9999999925</v>
      </c>
      <c r="H46" s="120">
        <f t="shared" ref="H46:O46" si="18">H29*H12</f>
        <v>4757927.0000000093</v>
      </c>
      <c r="I46" s="121">
        <f t="shared" si="18"/>
        <v>4415009.0000000037</v>
      </c>
      <c r="J46" s="122">
        <f t="shared" si="18"/>
        <v>2978688.1200000038</v>
      </c>
      <c r="K46" s="123">
        <f t="shared" si="18"/>
        <v>2452854.7100000023</v>
      </c>
      <c r="L46" s="120">
        <f t="shared" si="18"/>
        <v>1720946.1999999997</v>
      </c>
      <c r="M46" s="121">
        <f t="shared" si="18"/>
        <v>1098510.0000000009</v>
      </c>
      <c r="N46" s="121">
        <f t="shared" si="18"/>
        <v>997227</v>
      </c>
      <c r="O46" s="750">
        <f t="shared" si="18"/>
        <v>1105623.75</v>
      </c>
      <c r="P46" s="1735">
        <f t="shared" si="14"/>
        <v>648000</v>
      </c>
      <c r="Q46" s="141">
        <f t="shared" si="14"/>
        <v>0</v>
      </c>
      <c r="R46" s="121">
        <f t="shared" si="15"/>
        <v>0</v>
      </c>
      <c r="S46" s="750">
        <f t="shared" si="15"/>
        <v>0</v>
      </c>
      <c r="T46" s="141">
        <f t="shared" si="15"/>
        <v>0</v>
      </c>
      <c r="U46" s="141">
        <f t="shared" si="15"/>
        <v>0</v>
      </c>
      <c r="V46" s="121">
        <f t="shared" si="16"/>
        <v>0</v>
      </c>
      <c r="W46" s="750">
        <f t="shared" si="16"/>
        <v>0</v>
      </c>
      <c r="X46" s="141">
        <f t="shared" si="16"/>
        <v>0</v>
      </c>
      <c r="Y46" s="141">
        <f t="shared" si="16"/>
        <v>0</v>
      </c>
      <c r="Z46" s="121">
        <f t="shared" si="16"/>
        <v>0</v>
      </c>
      <c r="AA46" s="750">
        <f t="shared" si="16"/>
        <v>0</v>
      </c>
      <c r="AB46" s="141">
        <f t="shared" ref="AB46:AE46" si="19">AB29*AB12</f>
        <v>0</v>
      </c>
      <c r="AC46" s="141">
        <f t="shared" si="19"/>
        <v>0</v>
      </c>
      <c r="AD46" s="121">
        <f t="shared" si="19"/>
        <v>0</v>
      </c>
      <c r="AE46" s="750">
        <f t="shared" si="19"/>
        <v>0</v>
      </c>
    </row>
    <row r="47" spans="1:31">
      <c r="A47" s="515" t="str">
        <f t="shared" si="8"/>
        <v>8 Gbps</v>
      </c>
      <c r="B47" s="124" t="str">
        <f t="shared" si="8"/>
        <v>10 km</v>
      </c>
      <c r="C47" s="125" t="str">
        <f t="shared" si="8"/>
        <v>SFP+</v>
      </c>
      <c r="D47" s="128">
        <f t="shared" si="12"/>
        <v>1107378</v>
      </c>
      <c r="E47" s="129">
        <f t="shared" si="12"/>
        <v>1088410</v>
      </c>
      <c r="F47" s="134">
        <f t="shared" si="12"/>
        <v>913655.00000000035</v>
      </c>
      <c r="G47" s="135">
        <f t="shared" si="12"/>
        <v>679911</v>
      </c>
      <c r="H47" s="128">
        <f t="shared" ref="H47:O47" si="20">H30*H13</f>
        <v>561367</v>
      </c>
      <c r="I47" s="129">
        <f t="shared" si="20"/>
        <v>749190.00000000012</v>
      </c>
      <c r="J47" s="134">
        <f t="shared" si="20"/>
        <v>461590.64000000013</v>
      </c>
      <c r="K47" s="135">
        <f t="shared" si="20"/>
        <v>1136273.1000000001</v>
      </c>
      <c r="L47" s="128">
        <f t="shared" si="20"/>
        <v>383423.00000000012</v>
      </c>
      <c r="M47" s="129">
        <f t="shared" si="20"/>
        <v>609224.00000000023</v>
      </c>
      <c r="N47" s="129">
        <f t="shared" si="20"/>
        <v>660144</v>
      </c>
      <c r="O47" s="750">
        <f t="shared" si="20"/>
        <v>509152</v>
      </c>
      <c r="P47" s="1735">
        <f t="shared" si="14"/>
        <v>0</v>
      </c>
      <c r="Q47" s="141">
        <f t="shared" si="14"/>
        <v>0</v>
      </c>
      <c r="R47" s="129">
        <f t="shared" si="15"/>
        <v>0</v>
      </c>
      <c r="S47" s="750">
        <f t="shared" si="15"/>
        <v>0</v>
      </c>
      <c r="T47" s="141">
        <f t="shared" si="15"/>
        <v>0</v>
      </c>
      <c r="U47" s="141">
        <f t="shared" si="15"/>
        <v>0</v>
      </c>
      <c r="V47" s="129">
        <f t="shared" si="16"/>
        <v>0</v>
      </c>
      <c r="W47" s="750">
        <f t="shared" si="16"/>
        <v>0</v>
      </c>
      <c r="X47" s="141">
        <f t="shared" si="16"/>
        <v>0</v>
      </c>
      <c r="Y47" s="141">
        <f t="shared" si="16"/>
        <v>0</v>
      </c>
      <c r="Z47" s="129">
        <f t="shared" si="16"/>
        <v>0</v>
      </c>
      <c r="AA47" s="750">
        <f t="shared" si="16"/>
        <v>0</v>
      </c>
      <c r="AB47" s="141">
        <f t="shared" ref="AB47:AE47" si="21">AB30*AB13</f>
        <v>0</v>
      </c>
      <c r="AC47" s="141">
        <f t="shared" si="21"/>
        <v>0</v>
      </c>
      <c r="AD47" s="129">
        <f t="shared" si="21"/>
        <v>0</v>
      </c>
      <c r="AE47" s="750">
        <f t="shared" si="21"/>
        <v>0</v>
      </c>
    </row>
    <row r="48" spans="1:31">
      <c r="A48" s="515" t="str">
        <f t="shared" si="8"/>
        <v>16 Gbps</v>
      </c>
      <c r="B48" s="112" t="str">
        <f t="shared" si="8"/>
        <v>MMF</v>
      </c>
      <c r="C48" s="136" t="str">
        <f t="shared" si="8"/>
        <v>SFP+</v>
      </c>
      <c r="D48" s="128">
        <f t="shared" si="12"/>
        <v>26386903</v>
      </c>
      <c r="E48" s="129">
        <f t="shared" si="12"/>
        <v>33502091.000000004</v>
      </c>
      <c r="F48" s="134">
        <f t="shared" si="12"/>
        <v>34103250.99999997</v>
      </c>
      <c r="G48" s="135">
        <f t="shared" si="12"/>
        <v>29823095</v>
      </c>
      <c r="H48" s="128">
        <f t="shared" ref="H48:O48" si="22">H31*H14</f>
        <v>25762050.000000015</v>
      </c>
      <c r="I48" s="129">
        <f t="shared" si="22"/>
        <v>29534316.000000019</v>
      </c>
      <c r="J48" s="134">
        <f t="shared" si="22"/>
        <v>33246808.720000021</v>
      </c>
      <c r="K48" s="135">
        <f t="shared" si="22"/>
        <v>35831998.250000015</v>
      </c>
      <c r="L48" s="128">
        <f t="shared" si="22"/>
        <v>43256131.999999978</v>
      </c>
      <c r="M48" s="129">
        <f t="shared" si="22"/>
        <v>31531156.999999996</v>
      </c>
      <c r="N48" s="129">
        <f t="shared" si="22"/>
        <v>22572380</v>
      </c>
      <c r="O48" s="750">
        <f t="shared" si="22"/>
        <v>22550000</v>
      </c>
      <c r="P48" s="1735">
        <f t="shared" si="14"/>
        <v>12259392.857142856</v>
      </c>
      <c r="Q48" s="141">
        <f t="shared" si="14"/>
        <v>0</v>
      </c>
      <c r="R48" s="129">
        <f t="shared" si="15"/>
        <v>0</v>
      </c>
      <c r="S48" s="750">
        <f t="shared" si="15"/>
        <v>0</v>
      </c>
      <c r="T48" s="141">
        <f t="shared" si="15"/>
        <v>0</v>
      </c>
      <c r="U48" s="141">
        <f t="shared" si="15"/>
        <v>0</v>
      </c>
      <c r="V48" s="129">
        <f t="shared" si="16"/>
        <v>0</v>
      </c>
      <c r="W48" s="750">
        <f t="shared" si="16"/>
        <v>0</v>
      </c>
      <c r="X48" s="141">
        <f t="shared" si="16"/>
        <v>0</v>
      </c>
      <c r="Y48" s="141">
        <f t="shared" si="16"/>
        <v>0</v>
      </c>
      <c r="Z48" s="129">
        <f t="shared" si="16"/>
        <v>0</v>
      </c>
      <c r="AA48" s="750">
        <f t="shared" si="16"/>
        <v>0</v>
      </c>
      <c r="AB48" s="141">
        <f t="shared" ref="AB48:AE48" si="23">AB31*AB14</f>
        <v>0</v>
      </c>
      <c r="AC48" s="141">
        <f t="shared" si="23"/>
        <v>0</v>
      </c>
      <c r="AD48" s="129">
        <f t="shared" si="23"/>
        <v>0</v>
      </c>
      <c r="AE48" s="750">
        <f t="shared" si="23"/>
        <v>0</v>
      </c>
    </row>
    <row r="49" spans="1:31">
      <c r="A49" s="515" t="str">
        <f t="shared" si="8"/>
        <v>16 Gbps</v>
      </c>
      <c r="B49" s="124" t="str">
        <f t="shared" si="8"/>
        <v>10 km</v>
      </c>
      <c r="C49" s="136" t="str">
        <f t="shared" si="8"/>
        <v>SFP+</v>
      </c>
      <c r="D49" s="128">
        <f t="shared" si="12"/>
        <v>3999054</v>
      </c>
      <c r="E49" s="129">
        <f t="shared" si="12"/>
        <v>6517867</v>
      </c>
      <c r="F49" s="134">
        <f t="shared" si="12"/>
        <v>6835525.9999999851</v>
      </c>
      <c r="G49" s="135">
        <f t="shared" si="12"/>
        <v>8508159</v>
      </c>
      <c r="H49" s="128">
        <f t="shared" ref="H49:O49" si="24">H32*H15</f>
        <v>4083982.0000000028</v>
      </c>
      <c r="I49" s="129">
        <f t="shared" si="24"/>
        <v>5553005.0000000019</v>
      </c>
      <c r="J49" s="134">
        <f t="shared" si="24"/>
        <v>5445055.6699999999</v>
      </c>
      <c r="K49" s="135">
        <f t="shared" si="24"/>
        <v>6552482.0799999982</v>
      </c>
      <c r="L49" s="128">
        <f t="shared" si="24"/>
        <v>3315591</v>
      </c>
      <c r="M49" s="129">
        <f t="shared" si="24"/>
        <v>2856607</v>
      </c>
      <c r="N49" s="129">
        <f t="shared" si="24"/>
        <v>2952896</v>
      </c>
      <c r="O49" s="750">
        <f t="shared" si="24"/>
        <v>4620000</v>
      </c>
      <c r="P49" s="1735">
        <f t="shared" si="14"/>
        <v>1640000</v>
      </c>
      <c r="Q49" s="141">
        <f t="shared" si="14"/>
        <v>0</v>
      </c>
      <c r="R49" s="129">
        <f t="shared" si="15"/>
        <v>0</v>
      </c>
      <c r="S49" s="750">
        <f t="shared" si="15"/>
        <v>0</v>
      </c>
      <c r="T49" s="141">
        <f t="shared" si="15"/>
        <v>0</v>
      </c>
      <c r="U49" s="141">
        <f t="shared" si="15"/>
        <v>0</v>
      </c>
      <c r="V49" s="129">
        <f t="shared" si="16"/>
        <v>0</v>
      </c>
      <c r="W49" s="750">
        <f t="shared" si="16"/>
        <v>0</v>
      </c>
      <c r="X49" s="141">
        <f t="shared" si="16"/>
        <v>0</v>
      </c>
      <c r="Y49" s="141">
        <f t="shared" si="16"/>
        <v>0</v>
      </c>
      <c r="Z49" s="129">
        <f t="shared" si="16"/>
        <v>0</v>
      </c>
      <c r="AA49" s="750">
        <f t="shared" si="16"/>
        <v>0</v>
      </c>
      <c r="AB49" s="141">
        <f t="shared" ref="AB49:AE49" si="25">AB32*AB15</f>
        <v>0</v>
      </c>
      <c r="AC49" s="141">
        <f t="shared" si="25"/>
        <v>0</v>
      </c>
      <c r="AD49" s="129">
        <f t="shared" si="25"/>
        <v>0</v>
      </c>
      <c r="AE49" s="750">
        <f t="shared" si="25"/>
        <v>0</v>
      </c>
    </row>
    <row r="50" spans="1:31">
      <c r="A50" s="516" t="str">
        <f t="shared" si="8"/>
        <v>32 Gbps</v>
      </c>
      <c r="B50" s="112" t="str">
        <f t="shared" si="8"/>
        <v>MMF</v>
      </c>
      <c r="C50" s="338" t="str">
        <f t="shared" si="8"/>
        <v>SFP28</v>
      </c>
      <c r="D50" s="335">
        <f t="shared" si="12"/>
        <v>10702736</v>
      </c>
      <c r="E50" s="335">
        <f t="shared" si="12"/>
        <v>9662554</v>
      </c>
      <c r="F50" s="336">
        <f t="shared" si="12"/>
        <v>10191305.999999998</v>
      </c>
      <c r="G50" s="337">
        <f t="shared" si="12"/>
        <v>12296684.999999994</v>
      </c>
      <c r="H50" s="335">
        <f t="shared" ref="H50:O50" si="26">H33*H16</f>
        <v>10893639.000000004</v>
      </c>
      <c r="I50" s="335">
        <f t="shared" si="26"/>
        <v>11463680</v>
      </c>
      <c r="J50" s="336">
        <f t="shared" si="26"/>
        <v>10580204.490000002</v>
      </c>
      <c r="K50" s="337">
        <f t="shared" si="26"/>
        <v>14291259.800000001</v>
      </c>
      <c r="L50" s="335">
        <f t="shared" si="26"/>
        <v>23972691.999999996</v>
      </c>
      <c r="M50" s="335">
        <f t="shared" si="26"/>
        <v>22996591.000000007</v>
      </c>
      <c r="N50" s="335">
        <f t="shared" si="26"/>
        <v>22303840</v>
      </c>
      <c r="O50" s="750">
        <f t="shared" si="26"/>
        <v>37542755.153978564</v>
      </c>
      <c r="P50" s="1735">
        <f t="shared" si="14"/>
        <v>16656300</v>
      </c>
      <c r="Q50" s="141">
        <f t="shared" si="14"/>
        <v>0</v>
      </c>
      <c r="R50" s="335">
        <f t="shared" si="15"/>
        <v>0</v>
      </c>
      <c r="S50" s="750">
        <f t="shared" si="15"/>
        <v>0</v>
      </c>
      <c r="T50" s="141">
        <f t="shared" si="15"/>
        <v>0</v>
      </c>
      <c r="U50" s="141">
        <f t="shared" si="15"/>
        <v>0</v>
      </c>
      <c r="V50" s="335">
        <f t="shared" si="16"/>
        <v>0</v>
      </c>
      <c r="W50" s="750">
        <f t="shared" si="16"/>
        <v>0</v>
      </c>
      <c r="X50" s="141">
        <f t="shared" si="16"/>
        <v>0</v>
      </c>
      <c r="Y50" s="141">
        <f t="shared" si="16"/>
        <v>0</v>
      </c>
      <c r="Z50" s="335">
        <f t="shared" si="16"/>
        <v>0</v>
      </c>
      <c r="AA50" s="750">
        <f t="shared" si="16"/>
        <v>0</v>
      </c>
      <c r="AB50" s="141">
        <f t="shared" ref="AB50:AE50" si="27">AB33*AB16</f>
        <v>0</v>
      </c>
      <c r="AC50" s="141">
        <f t="shared" si="27"/>
        <v>0</v>
      </c>
      <c r="AD50" s="335">
        <f t="shared" si="27"/>
        <v>0</v>
      </c>
      <c r="AE50" s="750">
        <f t="shared" si="27"/>
        <v>0</v>
      </c>
    </row>
    <row r="51" spans="1:31">
      <c r="A51" s="516" t="str">
        <f t="shared" si="8"/>
        <v>32 Gbps</v>
      </c>
      <c r="B51" s="124" t="str">
        <f t="shared" si="8"/>
        <v>10 km</v>
      </c>
      <c r="C51" s="338" t="str">
        <f t="shared" si="8"/>
        <v>SFP28</v>
      </c>
      <c r="D51" s="335">
        <f t="shared" si="12"/>
        <v>934010</v>
      </c>
      <c r="E51" s="335">
        <f t="shared" si="12"/>
        <v>940376.99999999988</v>
      </c>
      <c r="F51" s="336">
        <f t="shared" si="12"/>
        <v>937596.00000000105</v>
      </c>
      <c r="G51" s="337">
        <f t="shared" si="12"/>
        <v>1204589.9999999995</v>
      </c>
      <c r="H51" s="335">
        <f t="shared" ref="H51:O51" si="28">H34*H17</f>
        <v>1903735.9999999991</v>
      </c>
      <c r="I51" s="335">
        <f t="shared" si="28"/>
        <v>1062473.9999999984</v>
      </c>
      <c r="J51" s="336">
        <f t="shared" si="28"/>
        <v>2387299.4800000023</v>
      </c>
      <c r="K51" s="337">
        <f t="shared" si="28"/>
        <v>2225687.2999999993</v>
      </c>
      <c r="L51" s="335">
        <f t="shared" si="28"/>
        <v>1961322.919999996</v>
      </c>
      <c r="M51" s="335">
        <f t="shared" si="28"/>
        <v>2290900.6800000025</v>
      </c>
      <c r="N51" s="335">
        <f t="shared" si="28"/>
        <v>1987300</v>
      </c>
      <c r="O51" s="750">
        <f t="shared" si="28"/>
        <v>6651378.9741815776</v>
      </c>
      <c r="P51" s="1735">
        <f t="shared" si="14"/>
        <v>2449500</v>
      </c>
      <c r="Q51" s="141">
        <f t="shared" si="14"/>
        <v>0</v>
      </c>
      <c r="R51" s="335">
        <f t="shared" si="15"/>
        <v>0</v>
      </c>
      <c r="S51" s="750">
        <f t="shared" si="15"/>
        <v>0</v>
      </c>
      <c r="T51" s="141">
        <f t="shared" si="15"/>
        <v>0</v>
      </c>
      <c r="U51" s="141">
        <f t="shared" si="15"/>
        <v>0</v>
      </c>
      <c r="V51" s="335">
        <f t="shared" si="16"/>
        <v>0</v>
      </c>
      <c r="W51" s="750">
        <f t="shared" si="16"/>
        <v>0</v>
      </c>
      <c r="X51" s="141">
        <f t="shared" si="16"/>
        <v>0</v>
      </c>
      <c r="Y51" s="141">
        <f t="shared" si="16"/>
        <v>0</v>
      </c>
      <c r="Z51" s="335">
        <f t="shared" si="16"/>
        <v>0</v>
      </c>
      <c r="AA51" s="750">
        <f t="shared" si="16"/>
        <v>0</v>
      </c>
      <c r="AB51" s="141">
        <f t="shared" ref="AB51:AE51" si="29">AB34*AB17</f>
        <v>0</v>
      </c>
      <c r="AC51" s="141">
        <f t="shared" si="29"/>
        <v>0</v>
      </c>
      <c r="AD51" s="335">
        <f t="shared" si="29"/>
        <v>0</v>
      </c>
      <c r="AE51" s="750">
        <f t="shared" si="29"/>
        <v>0</v>
      </c>
    </row>
    <row r="52" spans="1:31">
      <c r="A52" s="516" t="str">
        <f t="shared" si="8"/>
        <v>64 Gbps</v>
      </c>
      <c r="B52" s="124" t="str">
        <f t="shared" si="8"/>
        <v>100 m</v>
      </c>
      <c r="C52" s="338" t="str">
        <f t="shared" si="8"/>
        <v>all</v>
      </c>
      <c r="D52" s="335"/>
      <c r="E52" s="335"/>
      <c r="F52" s="336"/>
      <c r="G52" s="337"/>
      <c r="H52" s="335">
        <f t="shared" ref="H52:O52" si="30">H35*H18</f>
        <v>0</v>
      </c>
      <c r="I52" s="335">
        <f t="shared" si="30"/>
        <v>0</v>
      </c>
      <c r="J52" s="336">
        <f t="shared" si="30"/>
        <v>0</v>
      </c>
      <c r="K52" s="337">
        <f t="shared" si="30"/>
        <v>0</v>
      </c>
      <c r="L52" s="335">
        <f t="shared" si="30"/>
        <v>0</v>
      </c>
      <c r="M52" s="335">
        <f t="shared" si="30"/>
        <v>0</v>
      </c>
      <c r="N52" s="335">
        <f t="shared" si="30"/>
        <v>0</v>
      </c>
      <c r="O52" s="750">
        <f t="shared" si="30"/>
        <v>0</v>
      </c>
      <c r="P52" s="1735">
        <f t="shared" si="14"/>
        <v>0</v>
      </c>
      <c r="Q52" s="141">
        <f t="shared" si="14"/>
        <v>0</v>
      </c>
      <c r="R52" s="121">
        <f t="shared" ref="R52:U53" si="31">R35*R18</f>
        <v>0</v>
      </c>
      <c r="S52" s="750">
        <f t="shared" si="31"/>
        <v>0</v>
      </c>
      <c r="T52" s="141">
        <f t="shared" si="31"/>
        <v>0</v>
      </c>
      <c r="U52" s="141">
        <f t="shared" si="31"/>
        <v>0</v>
      </c>
      <c r="V52" s="121">
        <f t="shared" si="16"/>
        <v>0</v>
      </c>
      <c r="W52" s="750">
        <f t="shared" si="16"/>
        <v>0</v>
      </c>
      <c r="X52" s="141">
        <f t="shared" si="16"/>
        <v>0</v>
      </c>
      <c r="Y52" s="141">
        <f t="shared" si="16"/>
        <v>0</v>
      </c>
      <c r="Z52" s="121">
        <f t="shared" si="16"/>
        <v>0</v>
      </c>
      <c r="AA52" s="750">
        <f t="shared" si="16"/>
        <v>0</v>
      </c>
      <c r="AB52" s="141">
        <f t="shared" ref="AB52:AE52" si="32">AB35*AB18</f>
        <v>0</v>
      </c>
      <c r="AC52" s="141">
        <f t="shared" si="32"/>
        <v>0</v>
      </c>
      <c r="AD52" s="121">
        <f t="shared" si="32"/>
        <v>0</v>
      </c>
      <c r="AE52" s="750">
        <f t="shared" si="32"/>
        <v>0</v>
      </c>
    </row>
    <row r="53" spans="1:31">
      <c r="A53" s="516" t="str">
        <f t="shared" si="8"/>
        <v>64 Gbps</v>
      </c>
      <c r="B53" s="124" t="str">
        <f t="shared" si="8"/>
        <v>10 km</v>
      </c>
      <c r="C53" s="338" t="str">
        <f t="shared" si="8"/>
        <v>all</v>
      </c>
      <c r="D53" s="335"/>
      <c r="E53" s="335"/>
      <c r="F53" s="336"/>
      <c r="G53" s="337"/>
      <c r="H53" s="335">
        <f t="shared" ref="H53:O53" si="33">H36*H19</f>
        <v>0</v>
      </c>
      <c r="I53" s="335">
        <f t="shared" si="33"/>
        <v>0</v>
      </c>
      <c r="J53" s="336">
        <f t="shared" si="33"/>
        <v>0</v>
      </c>
      <c r="K53" s="337">
        <f t="shared" si="33"/>
        <v>0</v>
      </c>
      <c r="L53" s="335">
        <f t="shared" si="33"/>
        <v>0</v>
      </c>
      <c r="M53" s="335">
        <f t="shared" si="33"/>
        <v>0</v>
      </c>
      <c r="N53" s="335">
        <f t="shared" si="33"/>
        <v>0</v>
      </c>
      <c r="O53" s="750">
        <f t="shared" si="33"/>
        <v>0</v>
      </c>
      <c r="P53" s="1735">
        <f t="shared" si="14"/>
        <v>0</v>
      </c>
      <c r="Q53" s="141">
        <f t="shared" si="14"/>
        <v>0</v>
      </c>
      <c r="R53" s="141">
        <f t="shared" si="31"/>
        <v>0</v>
      </c>
      <c r="S53" s="750">
        <f t="shared" si="31"/>
        <v>0</v>
      </c>
      <c r="T53" s="141">
        <f t="shared" si="31"/>
        <v>0</v>
      </c>
      <c r="U53" s="141">
        <f t="shared" si="31"/>
        <v>0</v>
      </c>
      <c r="V53" s="141">
        <f t="shared" si="16"/>
        <v>0</v>
      </c>
      <c r="W53" s="750">
        <f t="shared" si="16"/>
        <v>0</v>
      </c>
      <c r="X53" s="141">
        <f t="shared" si="16"/>
        <v>0</v>
      </c>
      <c r="Y53" s="141">
        <f t="shared" si="16"/>
        <v>0</v>
      </c>
      <c r="Z53" s="141">
        <f t="shared" si="16"/>
        <v>0</v>
      </c>
      <c r="AA53" s="750">
        <f t="shared" si="16"/>
        <v>0</v>
      </c>
      <c r="AB53" s="141">
        <f t="shared" ref="AB53:AE53" si="34">AB36*AB19</f>
        <v>0</v>
      </c>
      <c r="AC53" s="141">
        <f t="shared" si="34"/>
        <v>0</v>
      </c>
      <c r="AD53" s="141">
        <f t="shared" si="34"/>
        <v>0</v>
      </c>
      <c r="AE53" s="750">
        <f t="shared" si="34"/>
        <v>0</v>
      </c>
    </row>
    <row r="54" spans="1:31" ht="27" thickBot="1">
      <c r="A54" s="517" t="str">
        <f>A20</f>
        <v>Miscellaneous</v>
      </c>
      <c r="B54" s="513" t="s">
        <v>211</v>
      </c>
      <c r="C54" s="514" t="s">
        <v>211</v>
      </c>
      <c r="D54" s="138">
        <f t="shared" ref="D54:R54" si="35">D37*D20</f>
        <v>84313.800113613106</v>
      </c>
      <c r="E54" s="921">
        <f t="shared" si="35"/>
        <v>159120.43203781801</v>
      </c>
      <c r="F54" s="922">
        <f t="shared" si="35"/>
        <v>0</v>
      </c>
      <c r="G54" s="923">
        <f t="shared" si="35"/>
        <v>0</v>
      </c>
      <c r="H54" s="138">
        <f t="shared" si="35"/>
        <v>1735400.0000000012</v>
      </c>
      <c r="I54" s="921">
        <f t="shared" si="35"/>
        <v>3122580.0000000014</v>
      </c>
      <c r="J54" s="922">
        <f t="shared" si="35"/>
        <v>40492.879999999997</v>
      </c>
      <c r="K54" s="923">
        <f t="shared" si="35"/>
        <v>57695.119999999995</v>
      </c>
      <c r="L54" s="335">
        <f t="shared" si="35"/>
        <v>6393470.9600000018</v>
      </c>
      <c r="M54" s="700">
        <f t="shared" si="35"/>
        <v>3311468.2700000009</v>
      </c>
      <c r="N54" s="700">
        <f t="shared" si="35"/>
        <v>1399060</v>
      </c>
      <c r="O54" s="750">
        <f t="shared" si="35"/>
        <v>20945.065749047561</v>
      </c>
      <c r="P54" s="1735">
        <f t="shared" si="35"/>
        <v>3500000</v>
      </c>
      <c r="Q54" s="141">
        <f t="shared" si="35"/>
        <v>0</v>
      </c>
      <c r="R54" s="700">
        <f t="shared" si="35"/>
        <v>0</v>
      </c>
      <c r="S54" s="750">
        <f>S37*S20</f>
        <v>0</v>
      </c>
      <c r="T54" s="141">
        <f>T37*T20</f>
        <v>0</v>
      </c>
      <c r="U54" s="141">
        <f>U37*U20</f>
        <v>0</v>
      </c>
      <c r="V54" s="700">
        <f t="shared" si="16"/>
        <v>0</v>
      </c>
      <c r="W54" s="750">
        <f t="shared" si="16"/>
        <v>0</v>
      </c>
      <c r="X54" s="141">
        <f t="shared" si="16"/>
        <v>0</v>
      </c>
      <c r="Y54" s="141">
        <f t="shared" si="16"/>
        <v>0</v>
      </c>
      <c r="Z54" s="700">
        <f t="shared" si="16"/>
        <v>0</v>
      </c>
      <c r="AA54" s="750">
        <f t="shared" si="16"/>
        <v>0</v>
      </c>
      <c r="AB54" s="141">
        <f t="shared" ref="AB54:AE54" si="36">AB37*AB20</f>
        <v>0</v>
      </c>
      <c r="AC54" s="141">
        <f t="shared" si="36"/>
        <v>0</v>
      </c>
      <c r="AD54" s="141">
        <f>AD37*AD20</f>
        <v>0</v>
      </c>
      <c r="AE54" s="750">
        <f t="shared" si="36"/>
        <v>0</v>
      </c>
    </row>
    <row r="55" spans="1:31" ht="13.8" thickBot="1">
      <c r="A55" s="465" t="str">
        <f>A21</f>
        <v>Total</v>
      </c>
      <c r="B55" s="114">
        <f>B21</f>
        <v>0</v>
      </c>
      <c r="C55" s="339">
        <f>C21</f>
        <v>0</v>
      </c>
      <c r="D55" s="173">
        <f t="shared" ref="D55:I55" si="37">SUM(D43:D54)</f>
        <v>56739276.800113611</v>
      </c>
      <c r="E55" s="174">
        <f t="shared" si="37"/>
        <v>62871894.432037815</v>
      </c>
      <c r="F55" s="174">
        <f t="shared" si="37"/>
        <v>63370640.99999994</v>
      </c>
      <c r="G55" s="175">
        <f t="shared" si="37"/>
        <v>63396205.999999985</v>
      </c>
      <c r="H55" s="173">
        <f>SUM(H43:H54)</f>
        <v>52695126.00000003</v>
      </c>
      <c r="I55" s="174">
        <f t="shared" si="37"/>
        <v>59079756.00000003</v>
      </c>
      <c r="J55" s="174">
        <f t="shared" ref="J55:S55" si="38">SUM(J43:J54)</f>
        <v>58249741.56000004</v>
      </c>
      <c r="K55" s="699">
        <f t="shared" si="38"/>
        <v>65430548.56000001</v>
      </c>
      <c r="L55" s="173">
        <f t="shared" si="38"/>
        <v>82718587.079999983</v>
      </c>
      <c r="M55" s="174">
        <f t="shared" si="38"/>
        <v>67717933.549999997</v>
      </c>
      <c r="N55" s="174">
        <f>SUM(N43:N54)</f>
        <v>55810001.5</v>
      </c>
      <c r="O55" s="175">
        <f t="shared" si="38"/>
        <v>75429854.943909183</v>
      </c>
      <c r="P55" s="1736">
        <f t="shared" si="38"/>
        <v>37153192.857142858</v>
      </c>
      <c r="Q55" s="174">
        <f t="shared" si="38"/>
        <v>0</v>
      </c>
      <c r="R55" s="174">
        <f t="shared" si="38"/>
        <v>0</v>
      </c>
      <c r="S55" s="175">
        <f t="shared" si="38"/>
        <v>0</v>
      </c>
      <c r="T55" s="173">
        <f t="shared" ref="T55:AA55" si="39">SUM(T43:T54)</f>
        <v>0</v>
      </c>
      <c r="U55" s="174">
        <f t="shared" si="39"/>
        <v>0</v>
      </c>
      <c r="V55" s="174">
        <f t="shared" si="39"/>
        <v>0</v>
      </c>
      <c r="W55" s="175">
        <f t="shared" si="39"/>
        <v>0</v>
      </c>
      <c r="X55" s="173">
        <f t="shared" si="39"/>
        <v>0</v>
      </c>
      <c r="Y55" s="174">
        <f t="shared" si="39"/>
        <v>0</v>
      </c>
      <c r="Z55" s="174">
        <f t="shared" si="39"/>
        <v>0</v>
      </c>
      <c r="AA55" s="175">
        <f t="shared" si="39"/>
        <v>0</v>
      </c>
      <c r="AB55" s="173">
        <f t="shared" ref="AB55:AE55" si="40">SUM(AB43:AB54)</f>
        <v>0</v>
      </c>
      <c r="AC55" s="174">
        <f t="shared" si="40"/>
        <v>0</v>
      </c>
      <c r="AD55" s="174">
        <f t="shared" si="40"/>
        <v>0</v>
      </c>
      <c r="AE55" s="175">
        <f t="shared" si="40"/>
        <v>0</v>
      </c>
    </row>
    <row r="56" spans="1:31">
      <c r="N56" s="12"/>
      <c r="O56" s="12"/>
      <c r="P56" s="12"/>
      <c r="Q56" s="12"/>
      <c r="R56" s="12"/>
      <c r="S56" s="12"/>
      <c r="T56" s="12"/>
      <c r="U56" s="12"/>
      <c r="V56" s="12"/>
      <c r="W56" s="12"/>
      <c r="X56" s="12"/>
      <c r="Y56" s="12"/>
      <c r="Z56" s="12"/>
      <c r="AA56" s="12"/>
      <c r="AB56" s="12"/>
      <c r="AC56" s="12"/>
      <c r="AD56" s="12"/>
      <c r="AE56" s="12"/>
    </row>
    <row r="57" spans="1:31">
      <c r="W57" s="802"/>
      <c r="AA57" s="802"/>
      <c r="AC57" s="802"/>
      <c r="AD57" s="802"/>
      <c r="AE57" s="802"/>
    </row>
    <row r="58" spans="1:31">
      <c r="AA58" s="67"/>
      <c r="AC58" s="67"/>
      <c r="AD58" s="67"/>
      <c r="AE58" s="67"/>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F71"/>
  <sheetViews>
    <sheetView showGridLines="0" zoomScale="80" zoomScaleNormal="80" zoomScalePageLayoutView="80" workbookViewId="0">
      <pane xSplit="4" ySplit="8" topLeftCell="Q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16.109375" customWidth="1"/>
    <col min="2" max="2" width="11.77734375" customWidth="1"/>
    <col min="3" max="3" width="17.109375" customWidth="1"/>
    <col min="4" max="4" width="10" customWidth="1"/>
    <col min="5" max="7" width="14.77734375" hidden="1" customWidth="1" outlineLevel="1"/>
    <col min="8" max="12" width="13.44140625" hidden="1" customWidth="1" outlineLevel="1"/>
    <col min="13" max="13" width="13.109375" hidden="1" customWidth="1" outlineLevel="1" collapsed="1"/>
    <col min="14" max="16" width="13.109375" hidden="1" customWidth="1" outlineLevel="1"/>
    <col min="17" max="17" width="11.109375" customWidth="1" collapsed="1"/>
    <col min="18" max="24" width="11.109375" customWidth="1"/>
    <col min="25" max="32" width="14.109375" customWidth="1"/>
  </cols>
  <sheetData>
    <row r="1" spans="1:32" ht="25.05" customHeight="1">
      <c r="A1" s="69" t="str">
        <f>Introduction!$B$1</f>
        <v>Vendor Survey Results through H1 2023</v>
      </c>
    </row>
    <row r="2" spans="1:32" ht="15">
      <c r="A2" s="249" t="str">
        <f>Introduction!$B$2</f>
        <v>December 2023 QMU - Sample template for illustrative purposes only</v>
      </c>
    </row>
    <row r="3" spans="1:32" ht="17.399999999999999">
      <c r="A3" s="503" t="s">
        <v>309</v>
      </c>
    </row>
    <row r="4" spans="1:32" ht="17.399999999999999">
      <c r="A4" s="503"/>
      <c r="AC4" s="503"/>
    </row>
    <row r="5" spans="1:32" ht="17.399999999999999">
      <c r="O5" s="688"/>
      <c r="AC5" s="503"/>
    </row>
    <row r="6" spans="1:32" ht="16.2" thickBot="1">
      <c r="J6" s="13"/>
      <c r="K6" s="13"/>
      <c r="L6" s="13"/>
      <c r="M6" s="13"/>
      <c r="N6" s="13"/>
      <c r="O6" s="688"/>
      <c r="Q6" s="688"/>
      <c r="R6" s="13"/>
      <c r="S6" s="688"/>
      <c r="T6" s="13"/>
    </row>
    <row r="7" spans="1:32" ht="15" customHeight="1" thickBot="1">
      <c r="A7" s="518" t="str">
        <f>A3</f>
        <v>FTTx Modules</v>
      </c>
      <c r="D7" s="1753"/>
      <c r="E7" s="1753"/>
      <c r="F7" s="512"/>
      <c r="G7" s="512"/>
      <c r="H7" s="512"/>
      <c r="I7" s="1216" t="s">
        <v>164</v>
      </c>
      <c r="J7" s="512"/>
      <c r="K7" s="512"/>
      <c r="L7" s="512"/>
      <c r="M7" s="512"/>
      <c r="N7" s="512"/>
      <c r="O7" s="1753"/>
      <c r="P7" s="1753"/>
      <c r="Q7" s="1748" t="s">
        <v>164</v>
      </c>
      <c r="Y7" s="1748" t="str">
        <f>Q7</f>
        <v>Shipments: Actual Data</v>
      </c>
      <c r="AC7" s="1"/>
      <c r="AD7" s="1"/>
      <c r="AE7" s="2130" t="s">
        <v>280</v>
      </c>
      <c r="AF7" s="2131"/>
    </row>
    <row r="8" spans="1:32" ht="13.8" thickBot="1">
      <c r="A8" s="521" t="s">
        <v>358</v>
      </c>
      <c r="B8" s="522" t="s">
        <v>217</v>
      </c>
      <c r="C8" s="522" t="s">
        <v>221</v>
      </c>
      <c r="D8" s="523" t="s">
        <v>166</v>
      </c>
      <c r="E8" s="72" t="s">
        <v>100</v>
      </c>
      <c r="F8" s="73" t="s">
        <v>101</v>
      </c>
      <c r="G8" s="73" t="s">
        <v>102</v>
      </c>
      <c r="H8" s="76" t="s">
        <v>103</v>
      </c>
      <c r="I8" s="72" t="s">
        <v>104</v>
      </c>
      <c r="J8" s="73" t="s">
        <v>105</v>
      </c>
      <c r="K8" s="73" t="s">
        <v>106</v>
      </c>
      <c r="L8" s="76" t="s">
        <v>107</v>
      </c>
      <c r="M8" s="72" t="s">
        <v>108</v>
      </c>
      <c r="N8" s="73" t="s">
        <v>109</v>
      </c>
      <c r="O8" s="697" t="s">
        <v>110</v>
      </c>
      <c r="P8" s="76" t="s">
        <v>111</v>
      </c>
      <c r="Q8" s="2124" t="s">
        <v>112</v>
      </c>
      <c r="R8" s="2125" t="s">
        <v>113</v>
      </c>
      <c r="S8" s="2125" t="s">
        <v>114</v>
      </c>
      <c r="T8" s="2126" t="s">
        <v>115</v>
      </c>
      <c r="U8" s="697" t="s">
        <v>463</v>
      </c>
      <c r="V8" s="2125" t="s">
        <v>464</v>
      </c>
      <c r="W8" s="2125" t="s">
        <v>465</v>
      </c>
      <c r="X8" s="2126" t="s">
        <v>466</v>
      </c>
      <c r="Y8" s="697" t="s">
        <v>467</v>
      </c>
      <c r="Z8" s="2125" t="s">
        <v>468</v>
      </c>
      <c r="AA8" s="2125" t="s">
        <v>469</v>
      </c>
      <c r="AB8" s="2126" t="s">
        <v>470</v>
      </c>
      <c r="AC8" s="697" t="s">
        <v>568</v>
      </c>
      <c r="AD8" s="2125" t="s">
        <v>594</v>
      </c>
      <c r="AE8" s="2129" t="s">
        <v>595</v>
      </c>
      <c r="AF8" s="2128" t="s">
        <v>596</v>
      </c>
    </row>
    <row r="9" spans="1:32" ht="14.55" customHeight="1">
      <c r="A9" s="928" t="s">
        <v>442</v>
      </c>
      <c r="B9" s="927" t="s">
        <v>222</v>
      </c>
      <c r="C9" s="928" t="s">
        <v>171</v>
      </c>
      <c r="D9" s="929" t="s">
        <v>424</v>
      </c>
      <c r="E9" s="145">
        <v>4209281</v>
      </c>
      <c r="F9" s="143">
        <v>4309273</v>
      </c>
      <c r="G9" s="145">
        <v>4268857</v>
      </c>
      <c r="H9" s="144">
        <v>4287498</v>
      </c>
      <c r="I9" s="145">
        <v>6943267</v>
      </c>
      <c r="J9" s="143">
        <v>6841212</v>
      </c>
      <c r="K9" s="634">
        <v>8110000</v>
      </c>
      <c r="L9" s="144">
        <v>8190000</v>
      </c>
      <c r="M9" s="145">
        <v>8280000</v>
      </c>
      <c r="N9" s="695">
        <v>7620000</v>
      </c>
      <c r="O9" s="407">
        <v>7060000</v>
      </c>
      <c r="P9" s="144">
        <v>6950000</v>
      </c>
      <c r="Q9" s="153">
        <v>5510200</v>
      </c>
      <c r="R9" s="1140"/>
      <c r="S9" s="153"/>
      <c r="T9" s="226"/>
      <c r="U9" s="153"/>
      <c r="V9" s="1140"/>
      <c r="W9" s="153"/>
      <c r="X9" s="226"/>
      <c r="Y9" s="153"/>
      <c r="Z9" s="1140"/>
      <c r="AA9" s="153"/>
      <c r="AB9" s="226"/>
      <c r="AC9" s="2132"/>
      <c r="AD9" s="695"/>
      <c r="AE9" s="695"/>
      <c r="AF9" s="1803"/>
    </row>
    <row r="10" spans="1:32" ht="12.75" customHeight="1">
      <c r="A10" s="956" t="s">
        <v>433</v>
      </c>
      <c r="B10" s="142" t="s">
        <v>222</v>
      </c>
      <c r="C10" s="268" t="s">
        <v>223</v>
      </c>
      <c r="D10" s="930" t="s">
        <v>187</v>
      </c>
      <c r="E10" s="152">
        <v>1188350</v>
      </c>
      <c r="F10" s="86">
        <v>1156078</v>
      </c>
      <c r="G10" s="153">
        <v>972400</v>
      </c>
      <c r="H10" s="226">
        <v>878210</v>
      </c>
      <c r="I10" s="152">
        <v>2118300</v>
      </c>
      <c r="J10" s="86">
        <v>1643000</v>
      </c>
      <c r="K10" s="635">
        <v>2542835</v>
      </c>
      <c r="L10" s="226">
        <v>2385238</v>
      </c>
      <c r="M10" s="152">
        <v>1406950</v>
      </c>
      <c r="N10" s="695">
        <v>1476930</v>
      </c>
      <c r="O10" s="411">
        <v>1244647</v>
      </c>
      <c r="P10" s="226">
        <v>1085595</v>
      </c>
      <c r="Q10" s="152">
        <v>619780</v>
      </c>
      <c r="R10" s="1140"/>
      <c r="S10" s="152"/>
      <c r="T10" s="226"/>
      <c r="U10" s="152"/>
      <c r="V10" s="1140"/>
      <c r="W10" s="152"/>
      <c r="X10" s="226"/>
      <c r="Y10" s="152"/>
      <c r="Z10" s="1140"/>
      <c r="AA10" s="152"/>
      <c r="AB10" s="226"/>
      <c r="AC10" s="1802"/>
      <c r="AD10" s="695"/>
      <c r="AE10" s="1804"/>
      <c r="AF10" s="2072"/>
    </row>
    <row r="11" spans="1:32" ht="12.75" customHeight="1">
      <c r="A11" s="955" t="s">
        <v>432</v>
      </c>
      <c r="B11" s="158" t="s">
        <v>222</v>
      </c>
      <c r="C11" s="519" t="s">
        <v>223</v>
      </c>
      <c r="D11" s="931" t="s">
        <v>187</v>
      </c>
      <c r="E11" s="86">
        <v>281388</v>
      </c>
      <c r="F11" s="86">
        <v>320798</v>
      </c>
      <c r="G11" s="86">
        <v>167995</v>
      </c>
      <c r="H11" s="226">
        <v>184250</v>
      </c>
      <c r="I11" s="152">
        <v>263399</v>
      </c>
      <c r="J11" s="86">
        <v>199042</v>
      </c>
      <c r="K11" s="990">
        <v>306287</v>
      </c>
      <c r="L11" s="226">
        <v>282776</v>
      </c>
      <c r="M11" s="152">
        <v>130973</v>
      </c>
      <c r="N11" s="990">
        <v>110536</v>
      </c>
      <c r="O11" s="410">
        <v>90000</v>
      </c>
      <c r="P11" s="226">
        <v>90000</v>
      </c>
      <c r="Q11" s="152">
        <v>40000</v>
      </c>
      <c r="R11" s="86"/>
      <c r="S11" s="152"/>
      <c r="T11" s="226"/>
      <c r="U11" s="152"/>
      <c r="V11" s="86"/>
      <c r="W11" s="152"/>
      <c r="X11" s="226"/>
      <c r="Y11" s="152"/>
      <c r="Z11" s="86"/>
      <c r="AA11" s="152"/>
      <c r="AB11" s="226"/>
      <c r="AC11" s="1802"/>
      <c r="AD11" s="990"/>
      <c r="AE11" s="1804"/>
      <c r="AF11" s="2072"/>
    </row>
    <row r="12" spans="1:32" ht="12.75" customHeight="1">
      <c r="A12" s="956" t="s">
        <v>433</v>
      </c>
      <c r="B12" s="932" t="s">
        <v>224</v>
      </c>
      <c r="C12" s="268" t="s">
        <v>223</v>
      </c>
      <c r="D12" s="930" t="s">
        <v>187</v>
      </c>
      <c r="E12" s="86">
        <v>832883</v>
      </c>
      <c r="F12" s="86">
        <v>829731</v>
      </c>
      <c r="G12" s="86">
        <v>602857.9</v>
      </c>
      <c r="H12" s="226">
        <v>597572.11</v>
      </c>
      <c r="I12" s="152">
        <v>735000</v>
      </c>
      <c r="J12" s="86">
        <v>735000</v>
      </c>
      <c r="K12" s="990">
        <v>846000</v>
      </c>
      <c r="L12" s="226">
        <v>735000</v>
      </c>
      <c r="M12" s="152">
        <v>935896.25</v>
      </c>
      <c r="N12" s="990">
        <v>815773.5</v>
      </c>
      <c r="O12" s="410">
        <v>730000</v>
      </c>
      <c r="P12" s="226">
        <v>680000</v>
      </c>
      <c r="Q12" s="152">
        <v>399700</v>
      </c>
      <c r="R12" s="86"/>
      <c r="S12" s="152"/>
      <c r="T12" s="226"/>
      <c r="U12" s="152"/>
      <c r="V12" s="86"/>
      <c r="W12" s="152"/>
      <c r="X12" s="226"/>
      <c r="Y12" s="152"/>
      <c r="Z12" s="86"/>
      <c r="AA12" s="152"/>
      <c r="AB12" s="226"/>
      <c r="AC12" s="1802"/>
      <c r="AD12" s="990"/>
      <c r="AE12" s="1804"/>
      <c r="AF12" s="2072"/>
    </row>
    <row r="13" spans="1:32" ht="12.75" customHeight="1">
      <c r="A13" s="955" t="s">
        <v>432</v>
      </c>
      <c r="B13" s="933" t="s">
        <v>224</v>
      </c>
      <c r="C13" s="505" t="s">
        <v>223</v>
      </c>
      <c r="D13" s="934" t="s">
        <v>187</v>
      </c>
      <c r="E13" s="86">
        <v>117000</v>
      </c>
      <c r="F13" s="86">
        <v>99000</v>
      </c>
      <c r="G13" s="86">
        <v>65000</v>
      </c>
      <c r="H13" s="226">
        <v>62000</v>
      </c>
      <c r="I13" s="152">
        <v>55000</v>
      </c>
      <c r="J13" s="86">
        <v>45000</v>
      </c>
      <c r="K13" s="990">
        <v>88000</v>
      </c>
      <c r="L13" s="226">
        <v>65000</v>
      </c>
      <c r="M13" s="152">
        <v>83298.75</v>
      </c>
      <c r="N13" s="990">
        <v>56924.5</v>
      </c>
      <c r="O13" s="410">
        <v>55000</v>
      </c>
      <c r="P13" s="226">
        <v>42000</v>
      </c>
      <c r="Q13" s="152">
        <v>15000</v>
      </c>
      <c r="R13" s="86"/>
      <c r="S13" s="152"/>
      <c r="T13" s="226"/>
      <c r="U13" s="152"/>
      <c r="V13" s="86"/>
      <c r="W13" s="152"/>
      <c r="X13" s="226"/>
      <c r="Y13" s="152"/>
      <c r="Z13" s="86"/>
      <c r="AA13" s="152"/>
      <c r="AB13" s="226"/>
      <c r="AC13" s="1802"/>
      <c r="AD13" s="990"/>
      <c r="AE13" s="1804"/>
      <c r="AF13" s="2072"/>
    </row>
    <row r="14" spans="1:32" ht="12.75" customHeight="1">
      <c r="A14" s="951" t="s">
        <v>425</v>
      </c>
      <c r="B14" s="142" t="s">
        <v>342</v>
      </c>
      <c r="C14" s="519" t="s">
        <v>223</v>
      </c>
      <c r="D14" s="935" t="s">
        <v>426</v>
      </c>
      <c r="E14" s="86"/>
      <c r="F14" s="86"/>
      <c r="G14" s="86"/>
      <c r="H14" s="226"/>
      <c r="I14" s="152">
        <v>124990</v>
      </c>
      <c r="J14" s="86">
        <v>273569</v>
      </c>
      <c r="K14" s="990">
        <v>501322</v>
      </c>
      <c r="L14" s="226">
        <v>650351</v>
      </c>
      <c r="M14" s="152">
        <v>325023</v>
      </c>
      <c r="N14" s="990">
        <v>441058</v>
      </c>
      <c r="O14" s="410">
        <v>700030</v>
      </c>
      <c r="P14" s="226">
        <v>1000480</v>
      </c>
      <c r="Q14" s="152">
        <v>715623</v>
      </c>
      <c r="R14" s="86"/>
      <c r="S14" s="152"/>
      <c r="T14" s="226"/>
      <c r="U14" s="152"/>
      <c r="V14" s="86"/>
      <c r="W14" s="152"/>
      <c r="X14" s="226"/>
      <c r="Y14" s="152"/>
      <c r="Z14" s="86"/>
      <c r="AA14" s="152"/>
      <c r="AB14" s="226"/>
      <c r="AC14" s="1802"/>
      <c r="AD14" s="990"/>
      <c r="AE14" s="1804"/>
      <c r="AF14" s="2072"/>
    </row>
    <row r="15" spans="1:32" ht="12.75" customHeight="1">
      <c r="A15" s="951" t="s">
        <v>425</v>
      </c>
      <c r="B15" s="158" t="s">
        <v>342</v>
      </c>
      <c r="C15" s="519" t="s">
        <v>171</v>
      </c>
      <c r="D15" s="935" t="s">
        <v>426</v>
      </c>
      <c r="E15" s="86"/>
      <c r="F15" s="86"/>
      <c r="G15" s="86"/>
      <c r="H15" s="226"/>
      <c r="I15" s="152"/>
      <c r="J15" s="86"/>
      <c r="K15" s="86"/>
      <c r="L15" s="226"/>
      <c r="M15" s="152"/>
      <c r="N15" s="86"/>
      <c r="O15" s="410"/>
      <c r="P15" s="226"/>
      <c r="Q15" s="152" t="s">
        <v>443</v>
      </c>
      <c r="R15" s="86"/>
      <c r="S15" s="152"/>
      <c r="T15" s="226"/>
      <c r="U15" s="152"/>
      <c r="V15" s="86"/>
      <c r="W15" s="152"/>
      <c r="X15" s="226"/>
      <c r="Y15" s="152"/>
      <c r="Z15" s="86"/>
      <c r="AA15" s="152"/>
      <c r="AB15" s="226"/>
      <c r="AC15" s="1802"/>
      <c r="AD15" s="990"/>
      <c r="AE15" s="1804"/>
      <c r="AF15" s="2072"/>
    </row>
    <row r="16" spans="1:32" ht="12.75" customHeight="1">
      <c r="A16" s="951" t="s">
        <v>427</v>
      </c>
      <c r="B16" s="158" t="s">
        <v>222</v>
      </c>
      <c r="C16" s="519" t="s">
        <v>223</v>
      </c>
      <c r="D16" s="935" t="s">
        <v>362</v>
      </c>
      <c r="E16" s="86"/>
      <c r="F16" s="86"/>
      <c r="G16" s="86"/>
      <c r="H16" s="226"/>
      <c r="I16" s="152"/>
      <c r="J16" s="86"/>
      <c r="K16" s="86"/>
      <c r="L16" s="226"/>
      <c r="M16" s="152"/>
      <c r="N16" s="86"/>
      <c r="O16" s="410"/>
      <c r="P16" s="226"/>
      <c r="Q16" s="152" t="s">
        <v>443</v>
      </c>
      <c r="R16" s="86"/>
      <c r="S16" s="152"/>
      <c r="T16" s="226"/>
      <c r="U16" s="152"/>
      <c r="V16" s="86"/>
      <c r="W16" s="152"/>
      <c r="X16" s="226"/>
      <c r="Y16" s="152"/>
      <c r="Z16" s="86"/>
      <c r="AA16" s="152"/>
      <c r="AB16" s="226"/>
      <c r="AC16" s="1802"/>
      <c r="AD16" s="990"/>
      <c r="AE16" s="1804"/>
      <c r="AF16" s="2072"/>
    </row>
    <row r="17" spans="1:32" ht="12.75" customHeight="1">
      <c r="A17" s="952" t="s">
        <v>343</v>
      </c>
      <c r="B17" s="419" t="s">
        <v>224</v>
      </c>
      <c r="C17" s="650" t="s">
        <v>223</v>
      </c>
      <c r="D17" s="936" t="s">
        <v>362</v>
      </c>
      <c r="E17" s="86">
        <v>178232</v>
      </c>
      <c r="F17" s="86">
        <v>210416</v>
      </c>
      <c r="G17" s="86">
        <v>266949</v>
      </c>
      <c r="H17" s="226">
        <v>324868</v>
      </c>
      <c r="I17" s="152">
        <v>102100</v>
      </c>
      <c r="J17" s="86">
        <v>127790</v>
      </c>
      <c r="K17" s="990">
        <v>254362</v>
      </c>
      <c r="L17" s="226">
        <v>279016</v>
      </c>
      <c r="M17" s="152">
        <v>211873</v>
      </c>
      <c r="N17" s="990">
        <v>265347</v>
      </c>
      <c r="O17" s="410">
        <v>400767</v>
      </c>
      <c r="P17" s="226">
        <v>490551</v>
      </c>
      <c r="Q17" s="152">
        <v>341841</v>
      </c>
      <c r="R17" s="86"/>
      <c r="S17" s="152"/>
      <c r="T17" s="226"/>
      <c r="U17" s="152"/>
      <c r="V17" s="86"/>
      <c r="W17" s="152"/>
      <c r="X17" s="226"/>
      <c r="Y17" s="152"/>
      <c r="Z17" s="86"/>
      <c r="AA17" s="152"/>
      <c r="AB17" s="226"/>
      <c r="AC17" s="1802"/>
      <c r="AD17" s="990"/>
      <c r="AE17" s="1804"/>
      <c r="AF17" s="2072"/>
    </row>
    <row r="18" spans="1:32">
      <c r="A18" s="953" t="s">
        <v>428</v>
      </c>
      <c r="B18" s="142" t="s">
        <v>342</v>
      </c>
      <c r="C18" s="268" t="s">
        <v>223</v>
      </c>
      <c r="D18" s="107" t="s">
        <v>429</v>
      </c>
      <c r="E18" s="169"/>
      <c r="F18" s="169"/>
      <c r="G18" s="169"/>
      <c r="H18" s="226"/>
      <c r="I18" s="152"/>
      <c r="J18" s="169"/>
      <c r="K18" s="169"/>
      <c r="L18" s="226"/>
      <c r="M18" s="152"/>
      <c r="N18" s="169"/>
      <c r="O18" s="169"/>
      <c r="P18" s="226"/>
      <c r="Q18" s="1141">
        <v>0</v>
      </c>
      <c r="R18" s="1141"/>
      <c r="S18" s="1141"/>
      <c r="T18" s="226"/>
      <c r="U18" s="1141"/>
      <c r="V18" s="1141"/>
      <c r="W18" s="1141"/>
      <c r="X18" s="226"/>
      <c r="Y18" s="1141"/>
      <c r="Z18" s="1141"/>
      <c r="AA18" s="1141"/>
      <c r="AB18" s="226"/>
      <c r="AC18" s="1378"/>
      <c r="AD18" s="1378"/>
      <c r="AE18" s="1805"/>
      <c r="AF18" s="2072"/>
    </row>
    <row r="19" spans="1:32">
      <c r="A19" s="954" t="str">
        <f>A18</f>
        <v>NG-PON2</v>
      </c>
      <c r="B19" s="158" t="s">
        <v>224</v>
      </c>
      <c r="C19" s="505" t="s">
        <v>223</v>
      </c>
      <c r="D19" s="937" t="s">
        <v>429</v>
      </c>
      <c r="E19" s="59"/>
      <c r="F19" s="59"/>
      <c r="G19" s="59"/>
      <c r="H19" s="226"/>
      <c r="I19" s="152"/>
      <c r="J19" s="59"/>
      <c r="K19" s="59"/>
      <c r="L19" s="226"/>
      <c r="M19" s="152"/>
      <c r="N19" s="59"/>
      <c r="O19" s="59"/>
      <c r="P19" s="226"/>
      <c r="Q19" s="1141">
        <v>0</v>
      </c>
      <c r="R19" s="1141"/>
      <c r="S19" s="1141"/>
      <c r="T19" s="226"/>
      <c r="U19" s="1141"/>
      <c r="V19" s="1141"/>
      <c r="W19" s="1141"/>
      <c r="X19" s="226"/>
      <c r="Y19" s="1141"/>
      <c r="Z19" s="1141"/>
      <c r="AA19" s="1141"/>
      <c r="AB19" s="226"/>
      <c r="AC19" s="1378"/>
      <c r="AD19" s="1378"/>
      <c r="AE19" s="1378"/>
      <c r="AF19" s="1733"/>
    </row>
    <row r="20" spans="1:32">
      <c r="A20" s="953" t="s">
        <v>430</v>
      </c>
      <c r="B20" s="142" t="s">
        <v>342</v>
      </c>
      <c r="C20" s="268" t="s">
        <v>223</v>
      </c>
      <c r="D20" s="107" t="s">
        <v>431</v>
      </c>
      <c r="E20" s="59"/>
      <c r="F20" s="59"/>
      <c r="G20" s="59"/>
      <c r="H20" s="226"/>
      <c r="I20" s="152"/>
      <c r="J20" s="59"/>
      <c r="K20" s="59"/>
      <c r="L20" s="226"/>
      <c r="M20" s="152"/>
      <c r="N20" s="59"/>
      <c r="O20" s="59"/>
      <c r="P20" s="226"/>
      <c r="Q20" s="1141">
        <v>0</v>
      </c>
      <c r="R20" s="1141"/>
      <c r="S20" s="1141"/>
      <c r="T20" s="226"/>
      <c r="U20" s="1141"/>
      <c r="V20" s="1141"/>
      <c r="W20" s="1141"/>
      <c r="X20" s="226"/>
      <c r="Y20" s="1141"/>
      <c r="Z20" s="1141"/>
      <c r="AA20" s="1141"/>
      <c r="AB20" s="226"/>
      <c r="AC20" s="1378"/>
      <c r="AD20" s="1378"/>
      <c r="AE20" s="1378"/>
      <c r="AF20" s="1733"/>
    </row>
    <row r="21" spans="1:32">
      <c r="A21" s="954" t="str">
        <f>A20</f>
        <v>25/50G PON</v>
      </c>
      <c r="B21" s="158" t="s">
        <v>224</v>
      </c>
      <c r="C21" s="505" t="s">
        <v>223</v>
      </c>
      <c r="D21" s="937" t="s">
        <v>431</v>
      </c>
      <c r="E21" s="59"/>
      <c r="F21" s="59"/>
      <c r="G21" s="59"/>
      <c r="H21" s="226"/>
      <c r="I21" s="152"/>
      <c r="J21" s="59"/>
      <c r="K21" s="59"/>
      <c r="L21" s="226"/>
      <c r="M21" s="152"/>
      <c r="N21" s="59"/>
      <c r="O21" s="59"/>
      <c r="P21" s="226"/>
      <c r="Q21" s="1141">
        <v>0</v>
      </c>
      <c r="R21" s="1141"/>
      <c r="S21" s="1141"/>
      <c r="T21" s="226"/>
      <c r="U21" s="1141"/>
      <c r="V21" s="1141"/>
      <c r="W21" s="1141"/>
      <c r="X21" s="226"/>
      <c r="Y21" s="1141"/>
      <c r="Z21" s="1141"/>
      <c r="AA21" s="1141"/>
      <c r="AB21" s="226"/>
      <c r="AC21" s="1378"/>
      <c r="AD21" s="1378"/>
      <c r="AE21" s="1378"/>
      <c r="AF21" s="1733"/>
    </row>
    <row r="22" spans="1:32" ht="12.75" customHeight="1">
      <c r="A22" s="950" t="s">
        <v>434</v>
      </c>
      <c r="B22" s="142" t="s">
        <v>226</v>
      </c>
      <c r="C22" s="268" t="s">
        <v>187</v>
      </c>
      <c r="D22" s="939" t="s">
        <v>225</v>
      </c>
      <c r="E22" s="86">
        <v>202000</v>
      </c>
      <c r="F22" s="86">
        <v>220000</v>
      </c>
      <c r="G22" s="86">
        <v>175000</v>
      </c>
      <c r="H22" s="226">
        <v>190000</v>
      </c>
      <c r="I22" s="152">
        <v>296000</v>
      </c>
      <c r="J22" s="86">
        <v>408000</v>
      </c>
      <c r="K22" s="990">
        <v>300000</v>
      </c>
      <c r="L22" s="226">
        <v>250000</v>
      </c>
      <c r="M22" s="152">
        <v>301000</v>
      </c>
      <c r="N22" s="990">
        <v>257000</v>
      </c>
      <c r="O22" s="410">
        <v>235000</v>
      </c>
      <c r="P22" s="226">
        <v>197000</v>
      </c>
      <c r="Q22" s="152" t="s">
        <v>443</v>
      </c>
      <c r="R22" s="86"/>
      <c r="S22" s="1192"/>
      <c r="T22" s="226"/>
      <c r="U22" s="152"/>
      <c r="V22" s="86"/>
      <c r="W22" s="1192"/>
      <c r="X22" s="226"/>
      <c r="Y22" s="152"/>
      <c r="Z22" s="86"/>
      <c r="AA22" s="1192"/>
      <c r="AB22" s="226"/>
      <c r="AC22" s="1192"/>
      <c r="AD22" s="1377"/>
      <c r="AE22" s="1192"/>
      <c r="AF22" s="1733"/>
    </row>
    <row r="23" spans="1:32" ht="13.05" customHeight="1" thickBot="1">
      <c r="A23" s="2230" t="s">
        <v>533</v>
      </c>
      <c r="B23" s="2231"/>
      <c r="C23" s="2231"/>
      <c r="D23" s="2232"/>
      <c r="E23" s="163">
        <v>73586</v>
      </c>
      <c r="F23" s="162">
        <v>115090</v>
      </c>
      <c r="G23" s="163">
        <v>111487</v>
      </c>
      <c r="H23" s="159">
        <v>114087</v>
      </c>
      <c r="I23" s="160">
        <v>105335</v>
      </c>
      <c r="J23" s="162">
        <v>238169</v>
      </c>
      <c r="K23" s="636">
        <v>289843</v>
      </c>
      <c r="L23" s="159">
        <v>274870</v>
      </c>
      <c r="M23" s="160">
        <v>275001</v>
      </c>
      <c r="N23" s="696">
        <v>301639</v>
      </c>
      <c r="O23" s="411">
        <v>332000</v>
      </c>
      <c r="P23" s="159">
        <v>382000</v>
      </c>
      <c r="Q23" s="152" t="s">
        <v>443</v>
      </c>
      <c r="R23" s="1142"/>
      <c r="S23" s="1193"/>
      <c r="T23" s="159"/>
      <c r="U23" s="152"/>
      <c r="V23" s="1142"/>
      <c r="W23" s="1193"/>
      <c r="X23" s="159"/>
      <c r="Y23" s="152"/>
      <c r="Z23" s="1142"/>
      <c r="AA23" s="1193"/>
      <c r="AB23" s="159"/>
      <c r="AC23" s="152"/>
      <c r="AD23" s="1142"/>
      <c r="AE23" s="1193"/>
      <c r="AF23" s="159"/>
    </row>
    <row r="24" spans="1:32" ht="13.8" thickBot="1">
      <c r="A24" s="940" t="s">
        <v>121</v>
      </c>
      <c r="B24" s="941"/>
      <c r="C24" s="941"/>
      <c r="D24" s="520"/>
      <c r="E24" s="520">
        <f t="shared" ref="E24:X24" si="0">SUM(E9:E23)</f>
        <v>7082720</v>
      </c>
      <c r="F24" s="240">
        <f t="shared" si="0"/>
        <v>7260386</v>
      </c>
      <c r="G24" s="240">
        <f t="shared" si="0"/>
        <v>6630545.9000000004</v>
      </c>
      <c r="H24" s="227">
        <f t="shared" si="0"/>
        <v>6638485.1100000003</v>
      </c>
      <c r="I24" s="520">
        <f t="shared" si="0"/>
        <v>10743391</v>
      </c>
      <c r="J24" s="240">
        <f t="shared" si="0"/>
        <v>10510782</v>
      </c>
      <c r="K24" s="240">
        <f t="shared" si="0"/>
        <v>13238649</v>
      </c>
      <c r="L24" s="227">
        <f t="shared" si="0"/>
        <v>13112251</v>
      </c>
      <c r="M24" s="520">
        <f t="shared" si="0"/>
        <v>11950015</v>
      </c>
      <c r="N24" s="520">
        <f t="shared" si="0"/>
        <v>11345208</v>
      </c>
      <c r="O24" s="520">
        <f t="shared" si="0"/>
        <v>10847444</v>
      </c>
      <c r="P24" s="227">
        <f t="shared" si="0"/>
        <v>10917626</v>
      </c>
      <c r="Q24" s="520">
        <f t="shared" si="0"/>
        <v>7642144</v>
      </c>
      <c r="R24" s="240">
        <f t="shared" si="0"/>
        <v>0</v>
      </c>
      <c r="S24" s="520">
        <f t="shared" si="0"/>
        <v>0</v>
      </c>
      <c r="T24" s="227">
        <f t="shared" si="0"/>
        <v>0</v>
      </c>
      <c r="U24" s="520">
        <f t="shared" si="0"/>
        <v>0</v>
      </c>
      <c r="V24" s="240">
        <f t="shared" si="0"/>
        <v>0</v>
      </c>
      <c r="W24" s="520">
        <f t="shared" si="0"/>
        <v>0</v>
      </c>
      <c r="X24" s="227">
        <f t="shared" si="0"/>
        <v>0</v>
      </c>
      <c r="Y24" s="520">
        <f t="shared" ref="Y24:AB24" si="1">SUM(Y9:Y23)</f>
        <v>0</v>
      </c>
      <c r="Z24" s="240">
        <f t="shared" si="1"/>
        <v>0</v>
      </c>
      <c r="AA24" s="520">
        <f t="shared" si="1"/>
        <v>0</v>
      </c>
      <c r="AB24" s="227">
        <f t="shared" si="1"/>
        <v>0</v>
      </c>
      <c r="AC24" s="520">
        <f>SUM(AC9:AC23)</f>
        <v>0</v>
      </c>
      <c r="AD24" s="240">
        <f t="shared" ref="AD24:AF24" si="2">SUM(AD9:AD23)</f>
        <v>0</v>
      </c>
      <c r="AE24" s="520">
        <f t="shared" si="2"/>
        <v>0</v>
      </c>
      <c r="AF24" s="227">
        <f t="shared" si="2"/>
        <v>0</v>
      </c>
    </row>
    <row r="26" spans="1:32" ht="13.5" customHeight="1" thickBot="1">
      <c r="O26" s="688"/>
      <c r="R26" s="13"/>
      <c r="S26" s="688"/>
      <c r="T26" s="13"/>
      <c r="X26" s="253"/>
    </row>
    <row r="27" spans="1:32" ht="16.2" thickBot="1">
      <c r="A27" s="518" t="str">
        <f>A3</f>
        <v>FTTx Modules</v>
      </c>
      <c r="D27" s="1753"/>
      <c r="E27" s="1753"/>
      <c r="F27" s="512"/>
      <c r="G27" s="512"/>
      <c r="H27" s="512"/>
      <c r="I27" s="1216" t="s">
        <v>178</v>
      </c>
      <c r="J27" s="512"/>
      <c r="K27" s="512"/>
      <c r="L27" s="512"/>
      <c r="M27" s="512"/>
      <c r="N27" s="512"/>
      <c r="O27" s="1753"/>
      <c r="P27" s="1753"/>
      <c r="Q27" s="1216" t="s">
        <v>178</v>
      </c>
      <c r="R27" s="1753"/>
      <c r="S27" s="1753"/>
      <c r="T27" s="1753"/>
      <c r="U27" s="1753"/>
      <c r="V27" s="1753"/>
      <c r="W27" s="1753"/>
      <c r="X27" s="1753"/>
      <c r="Y27" s="1216" t="str">
        <f>Q27</f>
        <v>ASP: Actual Data</v>
      </c>
      <c r="AC27" s="1"/>
      <c r="AD27" s="1"/>
      <c r="AE27" s="1857" t="s">
        <v>438</v>
      </c>
      <c r="AF27" s="1710"/>
    </row>
    <row r="28" spans="1:32" ht="13.8" thickBot="1">
      <c r="A28" s="521" t="str">
        <f t="shared" ref="A28:D33" si="3">A8</f>
        <v>Type</v>
      </c>
      <c r="B28" s="522" t="str">
        <f t="shared" si="3"/>
        <v>Application</v>
      </c>
      <c r="C28" s="522" t="str">
        <f t="shared" si="3"/>
        <v>Products</v>
      </c>
      <c r="D28" s="523" t="str">
        <f t="shared" si="3"/>
        <v>Data Rate</v>
      </c>
      <c r="E28" s="72" t="s">
        <v>100</v>
      </c>
      <c r="F28" s="73" t="s">
        <v>101</v>
      </c>
      <c r="G28" s="73" t="s">
        <v>102</v>
      </c>
      <c r="H28" s="76" t="s">
        <v>103</v>
      </c>
      <c r="I28" s="72" t="str">
        <f t="shared" ref="I28:N28" si="4">I8</f>
        <v>1Q 18</v>
      </c>
      <c r="J28" s="73" t="str">
        <f t="shared" si="4"/>
        <v>2Q 18</v>
      </c>
      <c r="K28" s="73" t="str">
        <f t="shared" si="4"/>
        <v>3Q 18</v>
      </c>
      <c r="L28" s="76" t="str">
        <f t="shared" si="4"/>
        <v>4Q 18</v>
      </c>
      <c r="M28" s="72" t="str">
        <f t="shared" si="4"/>
        <v>1Q 19</v>
      </c>
      <c r="N28" s="73" t="str">
        <f t="shared" si="4"/>
        <v>2Q 19</v>
      </c>
      <c r="O28" s="73" t="s">
        <v>110</v>
      </c>
      <c r="P28" s="76" t="s">
        <v>111</v>
      </c>
      <c r="Q28" s="72" t="s">
        <v>112</v>
      </c>
      <c r="R28" s="73" t="s">
        <v>113</v>
      </c>
      <c r="S28" s="697" t="s">
        <v>114</v>
      </c>
      <c r="T28" s="76" t="s">
        <v>115</v>
      </c>
      <c r="U28" s="72" t="s">
        <v>463</v>
      </c>
      <c r="V28" s="73" t="s">
        <v>464</v>
      </c>
      <c r="W28" s="697" t="s">
        <v>465</v>
      </c>
      <c r="X28" s="76" t="s">
        <v>466</v>
      </c>
      <c r="Y28" s="72" t="s">
        <v>467</v>
      </c>
      <c r="Z28" s="73" t="s">
        <v>468</v>
      </c>
      <c r="AA28" s="697" t="str">
        <f t="shared" ref="AA28:AB28" si="5">AA8</f>
        <v>3Q 22</v>
      </c>
      <c r="AB28" s="76" t="str">
        <f t="shared" si="5"/>
        <v>4Q 22</v>
      </c>
      <c r="AC28" s="1858" t="s">
        <v>568</v>
      </c>
      <c r="AD28" s="76" t="s">
        <v>594</v>
      </c>
      <c r="AE28" s="1372" t="s">
        <v>595</v>
      </c>
      <c r="AF28" s="462" t="s">
        <v>596</v>
      </c>
    </row>
    <row r="29" spans="1:32" ht="15" customHeight="1">
      <c r="A29" s="928" t="str">
        <f t="shared" ref="A29:A42" si="6">A9</f>
        <v>GPON/EPON</v>
      </c>
      <c r="B29" s="927" t="str">
        <f t="shared" si="3"/>
        <v>ONU</v>
      </c>
      <c r="C29" s="928" t="str">
        <f t="shared" si="3"/>
        <v>BOSAs</v>
      </c>
      <c r="D29" s="929" t="str">
        <f t="shared" si="3"/>
        <v>up to 2.5G</v>
      </c>
      <c r="E29" s="146">
        <v>9.9091374107500076</v>
      </c>
      <c r="F29" s="146">
        <v>8.7502599442386249</v>
      </c>
      <c r="G29" s="146">
        <v>6.5501372381412635</v>
      </c>
      <c r="H29" s="147">
        <v>6.6770850505353003</v>
      </c>
      <c r="I29" s="146">
        <v>5.6267463742424182</v>
      </c>
      <c r="J29" s="146">
        <v>5.9186520358361738</v>
      </c>
      <c r="K29" s="637">
        <v>4.7213316892725032</v>
      </c>
      <c r="L29" s="147">
        <v>4.2075702075702077</v>
      </c>
      <c r="M29" s="146">
        <v>3.9389751552795045</v>
      </c>
      <c r="N29" s="146">
        <v>3.8511698537682779</v>
      </c>
      <c r="O29" s="637">
        <v>3.763456090651558</v>
      </c>
      <c r="P29" s="147">
        <v>3.7071942446043167</v>
      </c>
      <c r="Q29" s="1149">
        <v>2.9202206816449494</v>
      </c>
      <c r="R29" s="1149"/>
      <c r="S29" s="1149"/>
      <c r="T29" s="1150"/>
      <c r="U29" s="1149"/>
      <c r="V29" s="1149"/>
      <c r="W29" s="1149"/>
      <c r="X29" s="1150"/>
      <c r="Y29" s="1149"/>
      <c r="Z29" s="1149"/>
      <c r="AA29" s="1149"/>
      <c r="AB29" s="1150"/>
      <c r="AC29" s="1863"/>
      <c r="AD29" s="1863"/>
      <c r="AE29" s="1863"/>
      <c r="AF29" s="2073"/>
    </row>
    <row r="30" spans="1:32">
      <c r="A30" s="956" t="str">
        <f t="shared" si="6"/>
        <v xml:space="preserve"> GPON</v>
      </c>
      <c r="B30" s="142" t="str">
        <f t="shared" si="3"/>
        <v>ONU</v>
      </c>
      <c r="C30" s="268" t="str">
        <f t="shared" si="3"/>
        <v>PON Transceivers</v>
      </c>
      <c r="D30" s="930" t="str">
        <f t="shared" si="3"/>
        <v>all</v>
      </c>
      <c r="E30" s="154">
        <v>16.10787339937729</v>
      </c>
      <c r="F30" s="154">
        <v>15.228154025717988</v>
      </c>
      <c r="G30" s="154">
        <v>10.382969971205265</v>
      </c>
      <c r="H30" s="155">
        <v>10.202924129763952</v>
      </c>
      <c r="I30" s="154">
        <v>9.8095170655714448</v>
      </c>
      <c r="J30" s="154">
        <v>10.488740109555692</v>
      </c>
      <c r="K30" s="638">
        <v>7.7743148886970648</v>
      </c>
      <c r="L30" s="155">
        <v>6.487402934214531</v>
      </c>
      <c r="M30" s="154">
        <v>9.0386751788165896</v>
      </c>
      <c r="N30" s="154">
        <v>8.3513780936801378</v>
      </c>
      <c r="O30" s="638">
        <v>8.1342942753407392</v>
      </c>
      <c r="P30" s="155">
        <v>7.4661687703189576</v>
      </c>
      <c r="Q30" s="1143">
        <v>8.9975878537545579</v>
      </c>
      <c r="R30" s="1143"/>
      <c r="S30" s="1143"/>
      <c r="T30" s="1145"/>
      <c r="U30" s="1143"/>
      <c r="V30" s="1143"/>
      <c r="W30" s="1143"/>
      <c r="X30" s="1145"/>
      <c r="Y30" s="1143"/>
      <c r="Z30" s="1143"/>
      <c r="AA30" s="1143"/>
      <c r="AB30" s="1145"/>
      <c r="AC30" s="1864"/>
      <c r="AD30" s="1864"/>
      <c r="AE30" s="1864"/>
      <c r="AF30" s="2074"/>
    </row>
    <row r="31" spans="1:32">
      <c r="A31" s="955" t="str">
        <f t="shared" si="6"/>
        <v xml:space="preserve"> EPON</v>
      </c>
      <c r="B31" s="158" t="str">
        <f t="shared" si="3"/>
        <v>ONU</v>
      </c>
      <c r="C31" s="519" t="str">
        <f t="shared" si="3"/>
        <v>PON Transceivers</v>
      </c>
      <c r="D31" s="931" t="str">
        <f t="shared" si="3"/>
        <v>all</v>
      </c>
      <c r="E31" s="154">
        <v>6.925988315066741</v>
      </c>
      <c r="F31" s="154">
        <v>6.6484329702803633</v>
      </c>
      <c r="G31" s="154">
        <v>6.746373403970356</v>
      </c>
      <c r="H31" s="155">
        <v>6.7772320217096338</v>
      </c>
      <c r="I31" s="154">
        <v>5.8022581710636718</v>
      </c>
      <c r="J31" s="154">
        <v>5.6966821072939382</v>
      </c>
      <c r="K31" s="638">
        <v>6.5592303950216628</v>
      </c>
      <c r="L31" s="155">
        <v>6.5426415254477046</v>
      </c>
      <c r="M31" s="154">
        <v>6.9854092064776712</v>
      </c>
      <c r="N31" s="154">
        <v>6.4964174567561699</v>
      </c>
      <c r="O31" s="638">
        <v>5.333333333333333</v>
      </c>
      <c r="P31" s="155">
        <v>5.166666666666667</v>
      </c>
      <c r="Q31" s="1143">
        <v>5</v>
      </c>
      <c r="R31" s="1143"/>
      <c r="S31" s="1143"/>
      <c r="T31" s="1145"/>
      <c r="U31" s="1143"/>
      <c r="V31" s="1143"/>
      <c r="W31" s="1143"/>
      <c r="X31" s="1145"/>
      <c r="Y31" s="1143"/>
      <c r="Z31" s="1143"/>
      <c r="AA31" s="1143"/>
      <c r="AB31" s="1145"/>
      <c r="AC31" s="1864"/>
      <c r="AD31" s="1864"/>
      <c r="AE31" s="1864"/>
      <c r="AF31" s="2074"/>
    </row>
    <row r="32" spans="1:32">
      <c r="A32" s="956" t="str">
        <f t="shared" si="6"/>
        <v xml:space="preserve"> GPON</v>
      </c>
      <c r="B32" s="932" t="str">
        <f t="shared" si="3"/>
        <v>OLT</v>
      </c>
      <c r="C32" s="268" t="str">
        <f t="shared" si="3"/>
        <v>PON Transceivers</v>
      </c>
      <c r="D32" s="930" t="str">
        <f t="shared" si="3"/>
        <v>all</v>
      </c>
      <c r="E32" s="154">
        <v>27.875400881113208</v>
      </c>
      <c r="F32" s="154">
        <v>27.054023445862683</v>
      </c>
      <c r="G32" s="154">
        <v>22.726422217880724</v>
      </c>
      <c r="H32" s="155">
        <v>22.468730531502054</v>
      </c>
      <c r="I32" s="154">
        <v>20.873349339735892</v>
      </c>
      <c r="J32" s="154">
        <v>20.840160881870997</v>
      </c>
      <c r="K32" s="638">
        <v>19.118203309692671</v>
      </c>
      <c r="L32" s="155">
        <v>19.136054421768709</v>
      </c>
      <c r="M32" s="154">
        <v>17.870601308638644</v>
      </c>
      <c r="N32" s="154">
        <v>16.842049907235282</v>
      </c>
      <c r="O32" s="638">
        <v>15.753424657534246</v>
      </c>
      <c r="P32" s="155">
        <v>14.838235294117647</v>
      </c>
      <c r="Q32" s="1143">
        <v>13.799099324493371</v>
      </c>
      <c r="R32" s="1143"/>
      <c r="S32" s="1143"/>
      <c r="T32" s="1145"/>
      <c r="U32" s="1143"/>
      <c r="V32" s="1143"/>
      <c r="W32" s="1143"/>
      <c r="X32" s="1145"/>
      <c r="Y32" s="1143"/>
      <c r="Z32" s="1143"/>
      <c r="AA32" s="1143"/>
      <c r="AB32" s="1145"/>
      <c r="AC32" s="1864"/>
      <c r="AD32" s="1864"/>
      <c r="AE32" s="1864"/>
      <c r="AF32" s="2074"/>
    </row>
    <row r="33" spans="1:32">
      <c r="A33" s="955" t="str">
        <f t="shared" si="6"/>
        <v xml:space="preserve"> EPON</v>
      </c>
      <c r="B33" s="933" t="str">
        <f t="shared" si="3"/>
        <v>OLT</v>
      </c>
      <c r="C33" s="505" t="str">
        <f t="shared" si="3"/>
        <v>PON Transceivers</v>
      </c>
      <c r="D33" s="934" t="str">
        <f t="shared" si="3"/>
        <v>all</v>
      </c>
      <c r="E33" s="154">
        <v>20.310020983673677</v>
      </c>
      <c r="F33" s="154">
        <v>20.043549265106144</v>
      </c>
      <c r="G33" s="154">
        <v>17.846153846153847</v>
      </c>
      <c r="H33" s="155">
        <v>16.35483870967742</v>
      </c>
      <c r="I33" s="154">
        <v>16.258021390374335</v>
      </c>
      <c r="J33" s="154">
        <v>16.705596107055968</v>
      </c>
      <c r="K33" s="638">
        <v>16.84659090909091</v>
      </c>
      <c r="L33" s="155">
        <v>17.153846153846153</v>
      </c>
      <c r="M33" s="154">
        <v>15.250889118984379</v>
      </c>
      <c r="N33" s="154">
        <v>14.092657818689668</v>
      </c>
      <c r="O33" s="638">
        <v>13.181818181818182</v>
      </c>
      <c r="P33" s="155">
        <v>12.880952380952381</v>
      </c>
      <c r="Q33" s="1143">
        <v>12.333333333333334</v>
      </c>
      <c r="R33" s="1143"/>
      <c r="S33" s="1143"/>
      <c r="T33" s="1145"/>
      <c r="U33" s="1143"/>
      <c r="V33" s="1143"/>
      <c r="W33" s="1143"/>
      <c r="X33" s="1145"/>
      <c r="Y33" s="1143"/>
      <c r="Z33" s="1143"/>
      <c r="AA33" s="1143"/>
      <c r="AB33" s="1145"/>
      <c r="AC33" s="1864"/>
      <c r="AD33" s="1864"/>
      <c r="AE33" s="1864"/>
      <c r="AF33" s="2074"/>
    </row>
    <row r="34" spans="1:32">
      <c r="A34" s="951" t="str">
        <f t="shared" si="6"/>
        <v xml:space="preserve">XG-PON </v>
      </c>
      <c r="B34" s="142" t="s">
        <v>342</v>
      </c>
      <c r="C34" s="519" t="s">
        <v>223</v>
      </c>
      <c r="D34" s="935" t="s">
        <v>426</v>
      </c>
      <c r="E34" s="154"/>
      <c r="F34" s="154"/>
      <c r="G34" s="154"/>
      <c r="H34" s="155"/>
      <c r="I34" s="154">
        <v>60.588979361532296</v>
      </c>
      <c r="J34" s="154">
        <v>34.014255256877313</v>
      </c>
      <c r="K34" s="638">
        <v>26.442486066839283</v>
      </c>
      <c r="L34" s="155">
        <v>25.254516407293895</v>
      </c>
      <c r="M34" s="154">
        <v>27.675184305638151</v>
      </c>
      <c r="N34" s="154">
        <v>25.447252483152521</v>
      </c>
      <c r="O34" s="638">
        <v>22.973239035097254</v>
      </c>
      <c r="P34" s="155">
        <v>20.710334901316333</v>
      </c>
      <c r="Q34" s="1143">
        <v>19.226324475317313</v>
      </c>
      <c r="R34" s="1143"/>
      <c r="S34" s="1143"/>
      <c r="T34" s="1145"/>
      <c r="U34" s="1143"/>
      <c r="V34" s="1341"/>
      <c r="W34" s="1146"/>
      <c r="X34" s="1147"/>
      <c r="Y34" s="1143"/>
      <c r="Z34" s="1341"/>
      <c r="AA34" s="1146"/>
      <c r="AB34" s="1147"/>
      <c r="AC34" s="1864"/>
      <c r="AD34" s="1865"/>
      <c r="AE34" s="2075"/>
      <c r="AF34" s="2076"/>
    </row>
    <row r="35" spans="1:32">
      <c r="A35" s="951" t="str">
        <f t="shared" si="6"/>
        <v xml:space="preserve">XG-PON </v>
      </c>
      <c r="B35" s="158" t="s">
        <v>342</v>
      </c>
      <c r="C35" s="519" t="s">
        <v>171</v>
      </c>
      <c r="D35" s="935" t="s">
        <v>426</v>
      </c>
      <c r="E35" s="154"/>
      <c r="F35" s="154"/>
      <c r="G35" s="154"/>
      <c r="H35" s="155"/>
      <c r="I35" s="154"/>
      <c r="J35" s="154"/>
      <c r="K35" s="638"/>
      <c r="L35" s="155"/>
      <c r="M35" s="154"/>
      <c r="N35" s="154"/>
      <c r="O35" s="638"/>
      <c r="P35" s="155"/>
      <c r="Q35" s="1143"/>
      <c r="R35" s="1143"/>
      <c r="S35" s="1144"/>
      <c r="T35" s="1145"/>
      <c r="U35" s="1143"/>
      <c r="V35" s="1143"/>
      <c r="W35" s="1144"/>
      <c r="X35" s="1145"/>
      <c r="Y35" s="1143"/>
      <c r="Z35" s="1143"/>
      <c r="AA35" s="1144"/>
      <c r="AB35" s="1145"/>
      <c r="AC35" s="1864"/>
      <c r="AD35" s="1864"/>
      <c r="AE35" s="2077"/>
      <c r="AF35" s="2074"/>
    </row>
    <row r="36" spans="1:32">
      <c r="A36" s="951" t="str">
        <f t="shared" si="6"/>
        <v xml:space="preserve">XGS-PON </v>
      </c>
      <c r="B36" s="158" t="s">
        <v>222</v>
      </c>
      <c r="C36" s="519" t="s">
        <v>223</v>
      </c>
      <c r="D36" s="935" t="s">
        <v>362</v>
      </c>
      <c r="E36" s="59"/>
      <c r="F36" s="59"/>
      <c r="G36" s="59"/>
      <c r="H36" s="155"/>
      <c r="I36" s="154"/>
      <c r="J36" s="59"/>
      <c r="K36" s="59"/>
      <c r="L36" s="155"/>
      <c r="M36" s="154"/>
      <c r="N36" s="59"/>
      <c r="O36" s="59"/>
      <c r="P36" s="155"/>
      <c r="Q36" s="1143"/>
      <c r="R36" s="61"/>
      <c r="S36" s="1146"/>
      <c r="T36" s="1147"/>
      <c r="U36" s="1143"/>
      <c r="V36" s="61"/>
      <c r="W36" s="1146"/>
      <c r="X36" s="1147"/>
      <c r="Y36" s="1143"/>
      <c r="Z36" s="1143"/>
      <c r="AA36" s="1146"/>
      <c r="AB36" s="1147"/>
      <c r="AC36" s="1806"/>
      <c r="AD36" s="1866"/>
      <c r="AE36" s="2075"/>
      <c r="AF36" s="2076"/>
    </row>
    <row r="37" spans="1:32">
      <c r="A37" s="952" t="str">
        <f t="shared" si="6"/>
        <v>10G PON</v>
      </c>
      <c r="B37" s="419" t="str">
        <f t="shared" ref="B37:D42" si="7">B17</f>
        <v>OLT</v>
      </c>
      <c r="C37" s="650" t="str">
        <f t="shared" si="7"/>
        <v>PON Transceivers</v>
      </c>
      <c r="D37" s="936" t="s">
        <v>362</v>
      </c>
      <c r="E37" s="161">
        <v>275.67020609854791</v>
      </c>
      <c r="F37" s="161">
        <v>224.23771494189739</v>
      </c>
      <c r="G37" s="161">
        <v>172.30656320166702</v>
      </c>
      <c r="H37" s="155">
        <v>164.35356067769973</v>
      </c>
      <c r="I37" s="154">
        <v>194.86664435286195</v>
      </c>
      <c r="J37" s="161">
        <v>178.11799348802961</v>
      </c>
      <c r="K37" s="639">
        <v>121.77526517325701</v>
      </c>
      <c r="L37" s="155">
        <v>110.80726553315939</v>
      </c>
      <c r="M37" s="154">
        <v>110.29049802628597</v>
      </c>
      <c r="N37" s="161">
        <v>103.80135929825582</v>
      </c>
      <c r="O37" s="639">
        <v>100.00260227996232</v>
      </c>
      <c r="P37" s="155">
        <v>95.954974777748987</v>
      </c>
      <c r="Q37" s="1143">
        <v>81.828881279783815</v>
      </c>
      <c r="R37" s="1144"/>
      <c r="S37" s="1144"/>
      <c r="T37" s="1145"/>
      <c r="U37" s="1143"/>
      <c r="V37" s="1144"/>
      <c r="W37" s="1144"/>
      <c r="X37" s="1145"/>
      <c r="Y37" s="1143"/>
      <c r="Z37" s="1144"/>
      <c r="AA37" s="1144"/>
      <c r="AB37" s="1145"/>
      <c r="AC37" s="1806"/>
      <c r="AD37" s="1808"/>
      <c r="AE37" s="2077"/>
      <c r="AF37" s="2074"/>
    </row>
    <row r="38" spans="1:32">
      <c r="A38" s="953" t="str">
        <f t="shared" si="6"/>
        <v>NG-PON2</v>
      </c>
      <c r="B38" s="142" t="str">
        <f t="shared" si="7"/>
        <v>ONUs</v>
      </c>
      <c r="C38" s="268" t="str">
        <f t="shared" si="7"/>
        <v>PON Transceivers</v>
      </c>
      <c r="D38" s="107" t="str">
        <f t="shared" si="7"/>
        <v>4x10G</v>
      </c>
      <c r="E38" s="938"/>
      <c r="F38" s="938"/>
      <c r="G38" s="938"/>
      <c r="H38" s="155"/>
      <c r="I38" s="154"/>
      <c r="J38" s="938"/>
      <c r="K38" s="938"/>
      <c r="L38" s="155"/>
      <c r="M38" s="154"/>
      <c r="N38" s="938"/>
      <c r="O38" s="938"/>
      <c r="P38" s="155"/>
      <c r="Q38" s="1143"/>
      <c r="R38" s="1148"/>
      <c r="S38" s="1189"/>
      <c r="T38" s="1188"/>
      <c r="U38" s="1143"/>
      <c r="V38" s="1148"/>
      <c r="W38" s="1146"/>
      <c r="X38" s="1147"/>
      <c r="Y38" s="1143"/>
      <c r="Z38" s="1148"/>
      <c r="AA38" s="1146"/>
      <c r="AB38" s="1147"/>
      <c r="AC38" s="1758"/>
      <c r="AD38" s="1760"/>
      <c r="AE38" s="1839"/>
      <c r="AF38" s="1840"/>
    </row>
    <row r="39" spans="1:32">
      <c r="A39" s="954" t="str">
        <f t="shared" si="6"/>
        <v>NG-PON2</v>
      </c>
      <c r="B39" s="158" t="str">
        <f t="shared" si="7"/>
        <v>OLT</v>
      </c>
      <c r="C39" s="505" t="str">
        <f t="shared" si="7"/>
        <v>PON Transceivers</v>
      </c>
      <c r="D39" s="937" t="str">
        <f t="shared" si="7"/>
        <v>4x10G</v>
      </c>
      <c r="E39" s="59"/>
      <c r="F39" s="59"/>
      <c r="G39" s="59"/>
      <c r="H39" s="155"/>
      <c r="I39" s="154"/>
      <c r="J39" s="59"/>
      <c r="K39" s="59"/>
      <c r="L39" s="155"/>
      <c r="M39" s="154"/>
      <c r="N39" s="59"/>
      <c r="O39" s="59"/>
      <c r="P39" s="155"/>
      <c r="Q39" s="1143"/>
      <c r="R39" s="61"/>
      <c r="S39" s="1189"/>
      <c r="T39" s="1188"/>
      <c r="U39" s="1143"/>
      <c r="V39" s="61"/>
      <c r="W39" s="1144"/>
      <c r="X39" s="1145"/>
      <c r="Y39" s="1143"/>
      <c r="Z39" s="61"/>
      <c r="AA39" s="1144"/>
      <c r="AB39" s="1145"/>
      <c r="AC39" s="1758"/>
      <c r="AD39" s="1759"/>
      <c r="AE39" s="1841"/>
      <c r="AF39" s="1838"/>
    </row>
    <row r="40" spans="1:32">
      <c r="A40" s="953" t="str">
        <f t="shared" si="6"/>
        <v>25/50G PON</v>
      </c>
      <c r="B40" s="142" t="str">
        <f t="shared" si="7"/>
        <v>ONUs</v>
      </c>
      <c r="C40" s="268" t="str">
        <f t="shared" si="7"/>
        <v>PON Transceivers</v>
      </c>
      <c r="D40" s="107" t="str">
        <f t="shared" si="7"/>
        <v>Nx25G</v>
      </c>
      <c r="E40" s="938"/>
      <c r="F40" s="938"/>
      <c r="G40" s="938"/>
      <c r="H40" s="155"/>
      <c r="I40" s="154"/>
      <c r="J40" s="938"/>
      <c r="K40" s="938"/>
      <c r="L40" s="155"/>
      <c r="M40" s="154"/>
      <c r="N40" s="938"/>
      <c r="O40" s="938"/>
      <c r="P40" s="155"/>
      <c r="Q40" s="1143"/>
      <c r="R40" s="1148"/>
      <c r="S40" s="1189"/>
      <c r="T40" s="1188"/>
      <c r="U40" s="1143"/>
      <c r="V40" s="1148"/>
      <c r="W40" s="1144"/>
      <c r="X40" s="1145"/>
      <c r="Y40" s="1143"/>
      <c r="Z40" s="1148"/>
      <c r="AA40" s="1144"/>
      <c r="AB40" s="1145"/>
      <c r="AC40" s="1758"/>
      <c r="AD40" s="1760"/>
      <c r="AE40" s="1841"/>
      <c r="AF40" s="1838"/>
    </row>
    <row r="41" spans="1:32">
      <c r="A41" s="954" t="str">
        <f t="shared" si="6"/>
        <v>25/50G PON</v>
      </c>
      <c r="B41" s="158" t="str">
        <f t="shared" si="7"/>
        <v>OLT</v>
      </c>
      <c r="C41" s="505" t="str">
        <f t="shared" si="7"/>
        <v>PON Transceivers</v>
      </c>
      <c r="D41" s="937" t="str">
        <f t="shared" si="7"/>
        <v>Nx25G</v>
      </c>
      <c r="E41" s="59"/>
      <c r="F41" s="59"/>
      <c r="G41" s="59"/>
      <c r="H41" s="155"/>
      <c r="I41" s="154"/>
      <c r="J41" s="59"/>
      <c r="K41" s="59"/>
      <c r="L41" s="155"/>
      <c r="M41" s="154"/>
      <c r="N41" s="59"/>
      <c r="O41" s="59"/>
      <c r="P41" s="155"/>
      <c r="Q41" s="1143"/>
      <c r="R41" s="61"/>
      <c r="S41" s="1189"/>
      <c r="T41" s="1188"/>
      <c r="U41" s="1143"/>
      <c r="V41" s="61"/>
      <c r="W41" s="1144"/>
      <c r="X41" s="1145"/>
      <c r="Y41" s="1143"/>
      <c r="Z41" s="61"/>
      <c r="AA41" s="1144"/>
      <c r="AB41" s="1145"/>
      <c r="AC41" s="1758"/>
      <c r="AD41" s="1759"/>
      <c r="AE41" s="1841"/>
      <c r="AF41" s="1838"/>
    </row>
    <row r="42" spans="1:32">
      <c r="A42" s="950" t="str">
        <f t="shared" si="6"/>
        <v xml:space="preserve"> P2P</v>
      </c>
      <c r="B42" s="142" t="str">
        <f t="shared" si="7"/>
        <v>bi-directional</v>
      </c>
      <c r="C42" s="268" t="str">
        <f t="shared" si="7"/>
        <v>all</v>
      </c>
      <c r="D42" s="939" t="str">
        <f t="shared" si="7"/>
        <v>2.5 Gbps</v>
      </c>
      <c r="E42" s="161">
        <v>16.222772277227723</v>
      </c>
      <c r="F42" s="161">
        <v>15.545454545454545</v>
      </c>
      <c r="G42" s="161">
        <v>14.828571428571429</v>
      </c>
      <c r="H42" s="155">
        <v>14.263157894736842</v>
      </c>
      <c r="I42" s="154">
        <v>14.189189189189189</v>
      </c>
      <c r="J42" s="161">
        <v>14.073529411764707</v>
      </c>
      <c r="K42" s="639">
        <v>15</v>
      </c>
      <c r="L42" s="155">
        <v>14</v>
      </c>
      <c r="M42" s="154">
        <v>11.327242524916944</v>
      </c>
      <c r="N42" s="161">
        <v>10.667315175097276</v>
      </c>
      <c r="O42" s="639">
        <v>9.7659574468085104</v>
      </c>
      <c r="P42" s="155">
        <v>9.6345177664974617</v>
      </c>
      <c r="Q42" s="1151" t="s">
        <v>443</v>
      </c>
      <c r="R42" s="1144"/>
      <c r="S42" s="1189"/>
      <c r="T42" s="1188"/>
      <c r="U42" s="1151"/>
      <c r="V42" s="1144"/>
      <c r="W42" s="1144"/>
      <c r="X42" s="1145"/>
      <c r="Y42" s="1151"/>
      <c r="Z42" s="1144"/>
      <c r="AA42" s="1144"/>
      <c r="AB42" s="1145"/>
      <c r="AC42" s="1192"/>
      <c r="AD42" s="1189"/>
      <c r="AE42" s="1189"/>
      <c r="AF42" s="1188"/>
    </row>
    <row r="43" spans="1:32" ht="13.8" thickBot="1">
      <c r="A43" s="2230" t="s">
        <v>533</v>
      </c>
      <c r="B43" s="2231"/>
      <c r="C43" s="2231"/>
      <c r="D43" s="2232"/>
      <c r="E43" s="148">
        <v>47.744258418720953</v>
      </c>
      <c r="F43" s="148">
        <v>46.83704926579199</v>
      </c>
      <c r="G43" s="148">
        <v>39.663404701893484</v>
      </c>
      <c r="H43" s="149">
        <v>39.208901978314792</v>
      </c>
      <c r="I43" s="148">
        <v>35.524203730953623</v>
      </c>
      <c r="J43" s="148">
        <v>36.25040622415176</v>
      </c>
      <c r="K43" s="625">
        <v>32.020369648395857</v>
      </c>
      <c r="L43" s="149">
        <v>28.130348892203589</v>
      </c>
      <c r="M43" s="148">
        <v>26.98747640917669</v>
      </c>
      <c r="N43" s="148">
        <v>25.8794850798471</v>
      </c>
      <c r="O43" s="625">
        <v>24.265060240963855</v>
      </c>
      <c r="P43" s="149">
        <v>23.075916230366492</v>
      </c>
      <c r="Q43" s="1151" t="s">
        <v>443</v>
      </c>
      <c r="R43" s="1146"/>
      <c r="S43" s="1190"/>
      <c r="T43" s="1191"/>
      <c r="U43" s="1151"/>
      <c r="V43" s="1146"/>
      <c r="W43" s="1146"/>
      <c r="X43" s="1147"/>
      <c r="Y43" s="1151"/>
      <c r="Z43" s="1146"/>
      <c r="AA43" s="1146"/>
      <c r="AB43" s="1147"/>
      <c r="AC43" s="1192"/>
      <c r="AD43" s="1190"/>
      <c r="AE43" s="1190"/>
      <c r="AF43" s="1191"/>
    </row>
    <row r="44" spans="1:32" ht="13.8" thickBot="1">
      <c r="A44" s="940" t="str">
        <f>A24</f>
        <v>TOTAL</v>
      </c>
      <c r="B44" s="941"/>
      <c r="C44" s="941"/>
      <c r="D44" s="520"/>
      <c r="E44" s="798">
        <f>E64/E24</f>
        <v>20.37604286546971</v>
      </c>
      <c r="F44" s="798">
        <f>F64/F24</f>
        <v>18.989424130156703</v>
      </c>
      <c r="G44" s="798">
        <f>G64/G24</f>
        <v>16.147415269820652</v>
      </c>
      <c r="H44" s="801">
        <f>H64/H24</f>
        <v>17.150619030758669</v>
      </c>
      <c r="I44" s="798">
        <v>38</v>
      </c>
      <c r="J44" s="798">
        <v>37</v>
      </c>
      <c r="K44" s="942">
        <v>10.253039188515384</v>
      </c>
      <c r="L44" s="801">
        <v>9.5740686324567772</v>
      </c>
      <c r="M44" s="798"/>
      <c r="N44" s="798"/>
      <c r="O44" s="942"/>
      <c r="P44" s="801"/>
      <c r="Q44" s="991"/>
      <c r="R44" s="991"/>
      <c r="S44" s="991"/>
      <c r="T44" s="992"/>
      <c r="U44" s="991"/>
      <c r="V44" s="991"/>
      <c r="W44" s="991"/>
      <c r="X44" s="992"/>
      <c r="Y44" s="991"/>
      <c r="Z44" s="991"/>
      <c r="AA44" s="991"/>
      <c r="AB44" s="992"/>
      <c r="AC44" s="991"/>
      <c r="AD44" s="991"/>
      <c r="AE44" s="991"/>
      <c r="AF44" s="992"/>
    </row>
    <row r="46" spans="1:32" ht="16.2" thickBot="1">
      <c r="O46" s="688"/>
      <c r="Q46" s="688"/>
      <c r="R46" s="13"/>
      <c r="S46" s="688"/>
      <c r="T46" s="13"/>
      <c r="U46" s="15"/>
    </row>
    <row r="47" spans="1:32" ht="16.2" thickBot="1">
      <c r="A47" s="518" t="str">
        <f>A3</f>
        <v>FTTx Modules</v>
      </c>
      <c r="D47" s="1753"/>
      <c r="E47" s="1753"/>
      <c r="F47" s="512"/>
      <c r="G47" s="512"/>
      <c r="H47" s="512"/>
      <c r="I47" s="1216" t="s">
        <v>165</v>
      </c>
      <c r="J47" s="512"/>
      <c r="K47" s="512"/>
      <c r="L47" s="512"/>
      <c r="M47" s="512"/>
      <c r="N47" s="512"/>
      <c r="O47" s="1753"/>
      <c r="P47" s="1753"/>
      <c r="Q47" s="1216" t="s">
        <v>165</v>
      </c>
      <c r="R47" s="1753"/>
      <c r="S47" s="1753"/>
      <c r="T47" s="1753"/>
      <c r="U47" s="1753"/>
      <c r="V47" s="1753"/>
      <c r="W47" s="1753"/>
      <c r="X47" s="1753"/>
      <c r="Y47" s="1216" t="str">
        <f>Q47</f>
        <v>Sales: Actual Data</v>
      </c>
      <c r="AC47" s="1"/>
      <c r="AD47" s="1"/>
      <c r="AE47" s="1857" t="s">
        <v>612</v>
      </c>
      <c r="AF47" s="1710"/>
    </row>
    <row r="48" spans="1:32" ht="13.8" thickBot="1">
      <c r="A48" s="521" t="str">
        <f t="shared" ref="A48:D53" si="8">A28</f>
        <v>Type</v>
      </c>
      <c r="B48" s="522" t="str">
        <f t="shared" si="8"/>
        <v>Application</v>
      </c>
      <c r="C48" s="522" t="str">
        <f t="shared" si="8"/>
        <v>Products</v>
      </c>
      <c r="D48" s="523" t="str">
        <f t="shared" si="8"/>
        <v>Data Rate</v>
      </c>
      <c r="E48" s="72" t="s">
        <v>100</v>
      </c>
      <c r="F48" s="73" t="s">
        <v>101</v>
      </c>
      <c r="G48" s="73" t="s">
        <v>102</v>
      </c>
      <c r="H48" s="76" t="s">
        <v>103</v>
      </c>
      <c r="I48" s="72" t="str">
        <f t="shared" ref="I48:N48" si="9">I8</f>
        <v>1Q 18</v>
      </c>
      <c r="J48" s="73" t="str">
        <f t="shared" si="9"/>
        <v>2Q 18</v>
      </c>
      <c r="K48" s="73" t="str">
        <f t="shared" si="9"/>
        <v>3Q 18</v>
      </c>
      <c r="L48" s="76" t="str">
        <f t="shared" si="9"/>
        <v>4Q 18</v>
      </c>
      <c r="M48" s="72" t="str">
        <f t="shared" si="9"/>
        <v>1Q 19</v>
      </c>
      <c r="N48" s="73" t="str">
        <f t="shared" si="9"/>
        <v>2Q 19</v>
      </c>
      <c r="O48" s="697" t="s">
        <v>110</v>
      </c>
      <c r="P48" s="76" t="s">
        <v>111</v>
      </c>
      <c r="Q48" s="72" t="s">
        <v>112</v>
      </c>
      <c r="R48" s="73" t="s">
        <v>113</v>
      </c>
      <c r="S48" s="697" t="s">
        <v>114</v>
      </c>
      <c r="T48" s="76" t="s">
        <v>115</v>
      </c>
      <c r="U48" s="72" t="s">
        <v>463</v>
      </c>
      <c r="V48" s="73" t="s">
        <v>464</v>
      </c>
      <c r="W48" s="697" t="s">
        <v>465</v>
      </c>
      <c r="X48" s="76" t="s">
        <v>466</v>
      </c>
      <c r="Y48" s="1203" t="s">
        <v>467</v>
      </c>
      <c r="Z48" s="73" t="s">
        <v>468</v>
      </c>
      <c r="AA48" s="73" t="str">
        <f t="shared" ref="AA48:AB48" si="10">AA8</f>
        <v>3Q 22</v>
      </c>
      <c r="AB48" s="76" t="str">
        <f t="shared" si="10"/>
        <v>4Q 22</v>
      </c>
      <c r="AC48" s="1858" t="s">
        <v>568</v>
      </c>
      <c r="AD48" s="76" t="s">
        <v>594</v>
      </c>
      <c r="AE48" s="1372" t="s">
        <v>595</v>
      </c>
      <c r="AF48" s="462" t="s">
        <v>596</v>
      </c>
    </row>
    <row r="49" spans="1:32" ht="15" customHeight="1">
      <c r="A49" s="928" t="str">
        <f t="shared" ref="A49:A62" si="11">A9</f>
        <v>GPON/EPON</v>
      </c>
      <c r="B49" s="927" t="str">
        <f t="shared" si="8"/>
        <v>ONU</v>
      </c>
      <c r="C49" s="928" t="str">
        <f t="shared" si="8"/>
        <v>BOSAs</v>
      </c>
      <c r="D49" s="929" t="str">
        <f t="shared" si="8"/>
        <v>up to 2.5G</v>
      </c>
      <c r="E49" s="151">
        <f t="shared" ref="E49:R54" si="12">E29*E9</f>
        <v>41710343.829459205</v>
      </c>
      <c r="F49" s="151">
        <f t="shared" si="12"/>
        <v>37707258.920689009</v>
      </c>
      <c r="G49" s="150">
        <f t="shared" si="12"/>
        <v>27961599.199999999</v>
      </c>
      <c r="H49" s="275">
        <f t="shared" si="12"/>
        <v>28627988.800000001</v>
      </c>
      <c r="I49" s="150">
        <f t="shared" si="12"/>
        <v>39068002.417647034</v>
      </c>
      <c r="J49" s="151">
        <f t="shared" si="12"/>
        <v>40490753.331386864</v>
      </c>
      <c r="K49" s="151">
        <f t="shared" si="12"/>
        <v>38290000</v>
      </c>
      <c r="L49" s="275">
        <f t="shared" si="12"/>
        <v>34460000</v>
      </c>
      <c r="M49" s="150">
        <f t="shared" si="12"/>
        <v>32614714.285714298</v>
      </c>
      <c r="N49" s="657">
        <f t="shared" si="12"/>
        <v>29345914.285714276</v>
      </c>
      <c r="O49" s="657">
        <f t="shared" si="12"/>
        <v>26570000</v>
      </c>
      <c r="P49" s="275">
        <f t="shared" si="12"/>
        <v>25765000</v>
      </c>
      <c r="Q49" s="150">
        <f t="shared" si="12"/>
        <v>16091000</v>
      </c>
      <c r="R49" s="657">
        <f t="shared" si="12"/>
        <v>0</v>
      </c>
      <c r="S49" s="657">
        <f t="shared" ref="S49:AB49" si="13">S29*S9</f>
        <v>0</v>
      </c>
      <c r="T49" s="275">
        <f t="shared" si="13"/>
        <v>0</v>
      </c>
      <c r="U49" s="156">
        <f t="shared" si="13"/>
        <v>0</v>
      </c>
      <c r="V49" s="157">
        <f t="shared" si="13"/>
        <v>0</v>
      </c>
      <c r="W49" s="657">
        <f t="shared" si="13"/>
        <v>0</v>
      </c>
      <c r="X49" s="275">
        <f t="shared" si="13"/>
        <v>0</v>
      </c>
      <c r="Y49" s="150">
        <f t="shared" si="13"/>
        <v>0</v>
      </c>
      <c r="Z49" s="4">
        <f t="shared" si="13"/>
        <v>0</v>
      </c>
      <c r="AA49" s="4">
        <f t="shared" si="13"/>
        <v>0</v>
      </c>
      <c r="AB49" s="275">
        <f t="shared" si="13"/>
        <v>0</v>
      </c>
      <c r="AC49" s="150">
        <f t="shared" ref="AC49:AF49" si="14">AC29*AC9</f>
        <v>0</v>
      </c>
      <c r="AD49" s="4">
        <f t="shared" si="14"/>
        <v>0</v>
      </c>
      <c r="AE49" s="4">
        <f t="shared" si="14"/>
        <v>0</v>
      </c>
      <c r="AF49" s="275">
        <f t="shared" si="14"/>
        <v>0</v>
      </c>
    </row>
    <row r="50" spans="1:32">
      <c r="A50" s="956" t="str">
        <f t="shared" si="11"/>
        <v xml:space="preserve"> GPON</v>
      </c>
      <c r="B50" s="142" t="str">
        <f t="shared" si="8"/>
        <v>ONU</v>
      </c>
      <c r="C50" s="268" t="str">
        <f t="shared" si="8"/>
        <v>PON Transceivers</v>
      </c>
      <c r="D50" s="930" t="str">
        <f t="shared" si="8"/>
        <v>all</v>
      </c>
      <c r="E50" s="157">
        <f t="shared" si="12"/>
        <v>19141791.354150001</v>
      </c>
      <c r="F50" s="157">
        <f t="shared" si="12"/>
        <v>17604933.849744</v>
      </c>
      <c r="G50" s="156">
        <f t="shared" si="12"/>
        <v>10096400</v>
      </c>
      <c r="H50" s="178">
        <f t="shared" si="12"/>
        <v>8960310</v>
      </c>
      <c r="I50" s="156">
        <f t="shared" si="12"/>
        <v>20779499.999999993</v>
      </c>
      <c r="J50" s="157">
        <f t="shared" si="12"/>
        <v>17233000.000000004</v>
      </c>
      <c r="K50" s="157">
        <f t="shared" si="12"/>
        <v>19768800</v>
      </c>
      <c r="L50" s="178">
        <f t="shared" si="12"/>
        <v>15474000</v>
      </c>
      <c r="M50" s="156">
        <f t="shared" si="12"/>
        <v>12716964.042836001</v>
      </c>
      <c r="N50" s="157">
        <f t="shared" si="12"/>
        <v>12334400.847899007</v>
      </c>
      <c r="O50" s="157">
        <f t="shared" si="12"/>
        <v>10124324.966920026</v>
      </c>
      <c r="P50" s="178">
        <f t="shared" si="12"/>
        <v>8105235.4862144087</v>
      </c>
      <c r="Q50" s="156">
        <f t="shared" si="12"/>
        <v>5576525</v>
      </c>
      <c r="R50" s="157">
        <f t="shared" si="12"/>
        <v>0</v>
      </c>
      <c r="S50" s="157">
        <f t="shared" ref="S50:AB50" si="15">S30*S10</f>
        <v>0</v>
      </c>
      <c r="T50" s="178">
        <f t="shared" si="15"/>
        <v>0</v>
      </c>
      <c r="U50" s="156">
        <f t="shared" si="15"/>
        <v>0</v>
      </c>
      <c r="V50" s="157">
        <f t="shared" si="15"/>
        <v>0</v>
      </c>
      <c r="W50" s="157">
        <f t="shared" si="15"/>
        <v>0</v>
      </c>
      <c r="X50" s="178">
        <f t="shared" si="15"/>
        <v>0</v>
      </c>
      <c r="Y50" s="156">
        <f t="shared" si="15"/>
        <v>0</v>
      </c>
      <c r="Z50" s="157">
        <f t="shared" si="15"/>
        <v>0</v>
      </c>
      <c r="AA50" s="156">
        <f t="shared" si="15"/>
        <v>0</v>
      </c>
      <c r="AB50" s="178">
        <f t="shared" si="15"/>
        <v>0</v>
      </c>
      <c r="AC50" s="156">
        <f>AC30*AC10</f>
        <v>0</v>
      </c>
      <c r="AD50" s="157">
        <f t="shared" ref="AD50:AF50" si="16">AD30*AD10</f>
        <v>0</v>
      </c>
      <c r="AE50" s="156">
        <f t="shared" si="16"/>
        <v>0</v>
      </c>
      <c r="AF50" s="178">
        <f t="shared" si="16"/>
        <v>0</v>
      </c>
    </row>
    <row r="51" spans="1:32">
      <c r="A51" s="955" t="str">
        <f t="shared" si="11"/>
        <v xml:space="preserve"> EPON</v>
      </c>
      <c r="B51" s="158" t="str">
        <f t="shared" si="8"/>
        <v>ONU</v>
      </c>
      <c r="C51" s="519" t="str">
        <f t="shared" si="8"/>
        <v>PON Transceivers</v>
      </c>
      <c r="D51" s="931" t="str">
        <f t="shared" si="8"/>
        <v>all</v>
      </c>
      <c r="E51" s="157">
        <f t="shared" si="12"/>
        <v>1948890</v>
      </c>
      <c r="F51" s="157">
        <f t="shared" si="12"/>
        <v>2132804</v>
      </c>
      <c r="G51" s="156">
        <f t="shared" si="12"/>
        <v>1133357</v>
      </c>
      <c r="H51" s="178">
        <f t="shared" si="12"/>
        <v>1248705</v>
      </c>
      <c r="I51" s="156">
        <f t="shared" si="12"/>
        <v>1528309</v>
      </c>
      <c r="J51" s="157">
        <f t="shared" si="12"/>
        <v>1133879</v>
      </c>
      <c r="K51" s="157">
        <f t="shared" si="12"/>
        <v>2009007</v>
      </c>
      <c r="L51" s="178">
        <f t="shared" si="12"/>
        <v>1850102.0000000002</v>
      </c>
      <c r="M51" s="156">
        <f t="shared" si="12"/>
        <v>914900</v>
      </c>
      <c r="N51" s="157">
        <f t="shared" si="12"/>
        <v>718088</v>
      </c>
      <c r="O51" s="157">
        <f t="shared" si="12"/>
        <v>480000</v>
      </c>
      <c r="P51" s="178">
        <f t="shared" si="12"/>
        <v>465000</v>
      </c>
      <c r="Q51" s="156">
        <f t="shared" si="12"/>
        <v>200000</v>
      </c>
      <c r="R51" s="157">
        <f t="shared" si="12"/>
        <v>0</v>
      </c>
      <c r="S51" s="157">
        <f t="shared" ref="S51:AB51" si="17">S31*S11</f>
        <v>0</v>
      </c>
      <c r="T51" s="178">
        <f t="shared" si="17"/>
        <v>0</v>
      </c>
      <c r="U51" s="156">
        <f t="shared" si="17"/>
        <v>0</v>
      </c>
      <c r="V51" s="157">
        <f t="shared" si="17"/>
        <v>0</v>
      </c>
      <c r="W51" s="157">
        <f t="shared" si="17"/>
        <v>0</v>
      </c>
      <c r="X51" s="178">
        <f t="shared" si="17"/>
        <v>0</v>
      </c>
      <c r="Y51" s="156">
        <f t="shared" si="17"/>
        <v>0</v>
      </c>
      <c r="Z51" s="157">
        <f t="shared" si="17"/>
        <v>0</v>
      </c>
      <c r="AA51" s="156">
        <f t="shared" si="17"/>
        <v>0</v>
      </c>
      <c r="AB51" s="178">
        <f t="shared" si="17"/>
        <v>0</v>
      </c>
      <c r="AC51" s="156">
        <f t="shared" ref="AC51:AF51" si="18">AC31*AC11</f>
        <v>0</v>
      </c>
      <c r="AD51" s="157">
        <f t="shared" si="18"/>
        <v>0</v>
      </c>
      <c r="AE51" s="156">
        <f t="shared" si="18"/>
        <v>0</v>
      </c>
      <c r="AF51" s="178">
        <f t="shared" si="18"/>
        <v>0</v>
      </c>
    </row>
    <row r="52" spans="1:32">
      <c r="A52" s="956" t="str">
        <f t="shared" si="11"/>
        <v xml:space="preserve"> GPON</v>
      </c>
      <c r="B52" s="932" t="str">
        <f t="shared" si="8"/>
        <v>OLT</v>
      </c>
      <c r="C52" s="268" t="str">
        <f t="shared" si="8"/>
        <v>PON Transceivers</v>
      </c>
      <c r="D52" s="930" t="str">
        <f t="shared" si="8"/>
        <v>all</v>
      </c>
      <c r="E52" s="157">
        <f t="shared" si="12"/>
        <v>23216947.512064211</v>
      </c>
      <c r="F52" s="157">
        <f t="shared" si="12"/>
        <v>22447561.927759089</v>
      </c>
      <c r="G52" s="156">
        <f t="shared" si="12"/>
        <v>13700803.172784917</v>
      </c>
      <c r="H52" s="178">
        <f t="shared" si="12"/>
        <v>13426686.712731104</v>
      </c>
      <c r="I52" s="156">
        <f t="shared" si="12"/>
        <v>15341911.764705881</v>
      </c>
      <c r="J52" s="157">
        <f t="shared" si="12"/>
        <v>15317518.248175183</v>
      </c>
      <c r="K52" s="157">
        <f t="shared" si="12"/>
        <v>16174000</v>
      </c>
      <c r="L52" s="178">
        <f t="shared" si="12"/>
        <v>14065000</v>
      </c>
      <c r="M52" s="156">
        <f t="shared" si="12"/>
        <v>16725028.75</v>
      </c>
      <c r="N52" s="157">
        <f t="shared" si="12"/>
        <v>13739298.000000002</v>
      </c>
      <c r="O52" s="157">
        <f t="shared" si="12"/>
        <v>11500000</v>
      </c>
      <c r="P52" s="178">
        <f t="shared" si="12"/>
        <v>10090000</v>
      </c>
      <c r="Q52" s="156">
        <f t="shared" si="12"/>
        <v>5515500</v>
      </c>
      <c r="R52" s="157">
        <f t="shared" si="12"/>
        <v>0</v>
      </c>
      <c r="S52" s="157">
        <f t="shared" ref="S52:AB52" si="19">S32*S12</f>
        <v>0</v>
      </c>
      <c r="T52" s="178">
        <f t="shared" si="19"/>
        <v>0</v>
      </c>
      <c r="U52" s="156">
        <f t="shared" si="19"/>
        <v>0</v>
      </c>
      <c r="V52" s="157">
        <f t="shared" si="19"/>
        <v>0</v>
      </c>
      <c r="W52" s="157">
        <f t="shared" si="19"/>
        <v>0</v>
      </c>
      <c r="X52" s="178">
        <f t="shared" si="19"/>
        <v>0</v>
      </c>
      <c r="Y52" s="156">
        <f t="shared" si="19"/>
        <v>0</v>
      </c>
      <c r="Z52" s="157">
        <f t="shared" si="19"/>
        <v>0</v>
      </c>
      <c r="AA52" s="156">
        <f t="shared" si="19"/>
        <v>0</v>
      </c>
      <c r="AB52" s="178">
        <f t="shared" si="19"/>
        <v>0</v>
      </c>
      <c r="AC52" s="156">
        <f t="shared" ref="AC52:AF52" si="20">AC32*AC12</f>
        <v>0</v>
      </c>
      <c r="AD52" s="157">
        <f t="shared" si="20"/>
        <v>0</v>
      </c>
      <c r="AE52" s="156">
        <f t="shared" si="20"/>
        <v>0</v>
      </c>
      <c r="AF52" s="178">
        <f t="shared" si="20"/>
        <v>0</v>
      </c>
    </row>
    <row r="53" spans="1:32">
      <c r="A53" s="955" t="str">
        <f t="shared" si="11"/>
        <v xml:space="preserve"> EPON</v>
      </c>
      <c r="B53" s="933" t="str">
        <f t="shared" si="8"/>
        <v>OLT</v>
      </c>
      <c r="C53" s="505" t="str">
        <f t="shared" si="8"/>
        <v>PON Transceivers</v>
      </c>
      <c r="D53" s="934" t="str">
        <f t="shared" si="8"/>
        <v>all</v>
      </c>
      <c r="E53" s="157">
        <f t="shared" si="12"/>
        <v>2376272.4550898201</v>
      </c>
      <c r="F53" s="157">
        <f t="shared" si="12"/>
        <v>1984311.3772455081</v>
      </c>
      <c r="G53" s="156">
        <f t="shared" si="12"/>
        <v>1160000</v>
      </c>
      <c r="H53" s="178">
        <f t="shared" si="12"/>
        <v>1014000</v>
      </c>
      <c r="I53" s="156">
        <f t="shared" si="12"/>
        <v>894191.17647058843</v>
      </c>
      <c r="J53" s="157">
        <f t="shared" si="12"/>
        <v>751751.82481751859</v>
      </c>
      <c r="K53" s="157">
        <f t="shared" si="12"/>
        <v>1482500</v>
      </c>
      <c r="L53" s="178">
        <f t="shared" si="12"/>
        <v>1115000</v>
      </c>
      <c r="M53" s="156">
        <f t="shared" si="12"/>
        <v>1270380</v>
      </c>
      <c r="N53" s="157">
        <f t="shared" si="12"/>
        <v>802217.5</v>
      </c>
      <c r="O53" s="157">
        <f t="shared" si="12"/>
        <v>725000</v>
      </c>
      <c r="P53" s="178">
        <f t="shared" si="12"/>
        <v>541000</v>
      </c>
      <c r="Q53" s="156">
        <f t="shared" si="12"/>
        <v>185000</v>
      </c>
      <c r="R53" s="157">
        <f t="shared" si="12"/>
        <v>0</v>
      </c>
      <c r="S53" s="157">
        <f t="shared" ref="S53:AB53" si="21">S33*S13</f>
        <v>0</v>
      </c>
      <c r="T53" s="178">
        <f t="shared" si="21"/>
        <v>0</v>
      </c>
      <c r="U53" s="156">
        <f t="shared" si="21"/>
        <v>0</v>
      </c>
      <c r="V53" s="157">
        <f t="shared" si="21"/>
        <v>0</v>
      </c>
      <c r="W53" s="157">
        <f t="shared" si="21"/>
        <v>0</v>
      </c>
      <c r="X53" s="178">
        <f t="shared" si="21"/>
        <v>0</v>
      </c>
      <c r="Y53" s="156">
        <f t="shared" si="21"/>
        <v>0</v>
      </c>
      <c r="Z53" s="157">
        <f t="shared" si="21"/>
        <v>0</v>
      </c>
      <c r="AA53" s="156">
        <f t="shared" si="21"/>
        <v>0</v>
      </c>
      <c r="AB53" s="178">
        <f t="shared" si="21"/>
        <v>0</v>
      </c>
      <c r="AC53" s="156">
        <f t="shared" ref="AC53:AF53" si="22">AC33*AC13</f>
        <v>0</v>
      </c>
      <c r="AD53" s="157">
        <f t="shared" si="22"/>
        <v>0</v>
      </c>
      <c r="AE53" s="156">
        <f t="shared" si="22"/>
        <v>0</v>
      </c>
      <c r="AF53" s="178">
        <f t="shared" si="22"/>
        <v>0</v>
      </c>
    </row>
    <row r="54" spans="1:32">
      <c r="A54" s="951" t="str">
        <f t="shared" si="11"/>
        <v xml:space="preserve">XG-PON </v>
      </c>
      <c r="B54" s="142" t="s">
        <v>342</v>
      </c>
      <c r="C54" s="519" t="s">
        <v>223</v>
      </c>
      <c r="D54" s="935" t="s">
        <v>426</v>
      </c>
      <c r="E54" s="157"/>
      <c r="F54" s="157"/>
      <c r="G54" s="156"/>
      <c r="H54" s="178"/>
      <c r="I54" s="156">
        <f t="shared" si="12"/>
        <v>7573016.5303979218</v>
      </c>
      <c r="J54" s="157">
        <f t="shared" si="12"/>
        <v>9305245.7963686697</v>
      </c>
      <c r="K54" s="157">
        <f t="shared" si="12"/>
        <v>13256200.000000004</v>
      </c>
      <c r="L54" s="178">
        <f t="shared" si="12"/>
        <v>16424299.999999993</v>
      </c>
      <c r="M54" s="156">
        <f t="shared" si="12"/>
        <v>8995071.4285714291</v>
      </c>
      <c r="N54" s="157">
        <f t="shared" si="12"/>
        <v>11223714.285714285</v>
      </c>
      <c r="O54" s="157">
        <f t="shared" si="12"/>
        <v>16081956.521739131</v>
      </c>
      <c r="P54" s="178">
        <f t="shared" si="12"/>
        <v>20720275.862068966</v>
      </c>
      <c r="Q54" s="156">
        <f t="shared" si="12"/>
        <v>13758800.000000002</v>
      </c>
      <c r="R54" s="157">
        <f t="shared" si="12"/>
        <v>0</v>
      </c>
      <c r="S54" s="157">
        <f>S34*S14</f>
        <v>0</v>
      </c>
      <c r="T54" s="178">
        <f>T34*T14</f>
        <v>0</v>
      </c>
      <c r="U54" s="156">
        <f>U34*U14</f>
        <v>0</v>
      </c>
      <c r="V54" s="157">
        <f>V34*V14</f>
        <v>0</v>
      </c>
      <c r="W54" s="157">
        <f t="shared" ref="W54:AB54" si="23">W34*W14</f>
        <v>0</v>
      </c>
      <c r="X54" s="178">
        <f t="shared" si="23"/>
        <v>0</v>
      </c>
      <c r="Y54" s="156">
        <f t="shared" si="23"/>
        <v>0</v>
      </c>
      <c r="Z54" s="156">
        <f t="shared" si="23"/>
        <v>0</v>
      </c>
      <c r="AA54" s="156">
        <f t="shared" si="23"/>
        <v>0</v>
      </c>
      <c r="AB54" s="178">
        <f t="shared" si="23"/>
        <v>0</v>
      </c>
      <c r="AC54" s="156">
        <f t="shared" ref="AC54:AF54" si="24">AC34*AC14</f>
        <v>0</v>
      </c>
      <c r="AD54" s="156">
        <f t="shared" si="24"/>
        <v>0</v>
      </c>
      <c r="AE54" s="156">
        <f t="shared" si="24"/>
        <v>0</v>
      </c>
      <c r="AF54" s="178">
        <f t="shared" si="24"/>
        <v>0</v>
      </c>
    </row>
    <row r="55" spans="1:32">
      <c r="A55" s="951" t="str">
        <f t="shared" si="11"/>
        <v xml:space="preserve">XG-PON </v>
      </c>
      <c r="B55" s="158" t="s">
        <v>342</v>
      </c>
      <c r="C55" s="950" t="s">
        <v>171</v>
      </c>
      <c r="D55" s="935" t="s">
        <v>426</v>
      </c>
      <c r="E55" s="157"/>
      <c r="F55" s="157"/>
      <c r="G55" s="156"/>
      <c r="H55" s="178"/>
      <c r="I55" s="156"/>
      <c r="J55" s="157"/>
      <c r="K55" s="157"/>
      <c r="L55" s="178"/>
      <c r="M55" s="156"/>
      <c r="N55" s="157"/>
      <c r="O55" s="157"/>
      <c r="P55" s="178"/>
      <c r="Q55" s="156"/>
      <c r="R55" s="157"/>
      <c r="S55" s="157">
        <f t="shared" ref="S55:T58" si="25">S35*S15</f>
        <v>0</v>
      </c>
      <c r="T55" s="178">
        <f t="shared" si="25"/>
        <v>0</v>
      </c>
      <c r="U55" s="156"/>
      <c r="V55" s="157"/>
      <c r="W55" s="157">
        <f t="shared" ref="W55:AB55" si="26">W35*W15</f>
        <v>0</v>
      </c>
      <c r="X55" s="178">
        <f t="shared" si="26"/>
        <v>0</v>
      </c>
      <c r="Y55" s="156">
        <f t="shared" si="26"/>
        <v>0</v>
      </c>
      <c r="Z55" s="156">
        <f t="shared" si="26"/>
        <v>0</v>
      </c>
      <c r="AA55" s="156">
        <f t="shared" si="26"/>
        <v>0</v>
      </c>
      <c r="AB55" s="178">
        <f t="shared" si="26"/>
        <v>0</v>
      </c>
      <c r="AC55" s="156">
        <f t="shared" ref="AC55:AF55" si="27">AC35*AC15</f>
        <v>0</v>
      </c>
      <c r="AD55" s="156">
        <f t="shared" si="27"/>
        <v>0</v>
      </c>
      <c r="AE55" s="156">
        <f t="shared" si="27"/>
        <v>0</v>
      </c>
      <c r="AF55" s="178">
        <f t="shared" si="27"/>
        <v>0</v>
      </c>
    </row>
    <row r="56" spans="1:32">
      <c r="A56" s="951" t="str">
        <f t="shared" si="11"/>
        <v xml:space="preserve">XGS-PON </v>
      </c>
      <c r="B56" s="158" t="s">
        <v>222</v>
      </c>
      <c r="C56" s="519" t="s">
        <v>223</v>
      </c>
      <c r="D56" s="935" t="s">
        <v>362</v>
      </c>
      <c r="E56" s="157"/>
      <c r="F56" s="157"/>
      <c r="G56" s="156"/>
      <c r="H56" s="178"/>
      <c r="I56" s="156"/>
      <c r="J56" s="157"/>
      <c r="K56" s="157"/>
      <c r="L56" s="178"/>
      <c r="M56" s="156"/>
      <c r="N56" s="157"/>
      <c r="O56" s="157"/>
      <c r="P56" s="178">
        <f>P36*P15</f>
        <v>0</v>
      </c>
      <c r="Q56" s="156"/>
      <c r="R56" s="157"/>
      <c r="S56" s="157">
        <f t="shared" si="25"/>
        <v>0</v>
      </c>
      <c r="T56" s="178">
        <f t="shared" si="25"/>
        <v>0</v>
      </c>
      <c r="U56" s="156"/>
      <c r="V56" s="157"/>
      <c r="W56" s="157">
        <f t="shared" ref="W56:AB56" si="28">W36*W16</f>
        <v>0</v>
      </c>
      <c r="X56" s="178">
        <f t="shared" si="28"/>
        <v>0</v>
      </c>
      <c r="Y56" s="156">
        <f t="shared" si="28"/>
        <v>0</v>
      </c>
      <c r="Z56" s="156">
        <f t="shared" si="28"/>
        <v>0</v>
      </c>
      <c r="AA56" s="156">
        <f t="shared" si="28"/>
        <v>0</v>
      </c>
      <c r="AB56" s="178">
        <f t="shared" si="28"/>
        <v>0</v>
      </c>
      <c r="AC56" s="156">
        <f t="shared" ref="AC56:AF56" si="29">AC36*AC16</f>
        <v>0</v>
      </c>
      <c r="AD56" s="156">
        <f t="shared" si="29"/>
        <v>0</v>
      </c>
      <c r="AE56" s="156">
        <f t="shared" si="29"/>
        <v>0</v>
      </c>
      <c r="AF56" s="178">
        <f t="shared" si="29"/>
        <v>0</v>
      </c>
    </row>
    <row r="57" spans="1:32">
      <c r="A57" s="952" t="str">
        <f t="shared" si="11"/>
        <v>10G PON</v>
      </c>
      <c r="B57" s="419" t="str">
        <f t="shared" ref="B57:D62" si="30">B37</f>
        <v>OLT</v>
      </c>
      <c r="C57" s="650" t="str">
        <f t="shared" si="30"/>
        <v>PON Transceivers</v>
      </c>
      <c r="D57" s="936" t="s">
        <v>362</v>
      </c>
      <c r="E57" s="169">
        <f t="shared" ref="E57:R57" si="31">E37*E17</f>
        <v>49133252.173356391</v>
      </c>
      <c r="F57" s="169">
        <f t="shared" si="31"/>
        <v>47183203.027214281</v>
      </c>
      <c r="G57" s="169">
        <f t="shared" si="31"/>
        <v>45997064.740121812</v>
      </c>
      <c r="H57" s="178">
        <f t="shared" si="31"/>
        <v>53393212.55024296</v>
      </c>
      <c r="I57" s="156">
        <f t="shared" si="31"/>
        <v>19895884.388427205</v>
      </c>
      <c r="J57" s="169">
        <f t="shared" si="31"/>
        <v>22761698.387835305</v>
      </c>
      <c r="K57" s="169">
        <f t="shared" si="31"/>
        <v>30975000</v>
      </c>
      <c r="L57" s="178">
        <f t="shared" si="31"/>
        <v>30917000</v>
      </c>
      <c r="M57" s="156">
        <f t="shared" si="31"/>
        <v>23367578.688323289</v>
      </c>
      <c r="N57" s="169">
        <f t="shared" si="31"/>
        <v>27543379.285714287</v>
      </c>
      <c r="O57" s="169">
        <f t="shared" si="31"/>
        <v>40077742.90793366</v>
      </c>
      <c r="P57" s="178">
        <f t="shared" si="31"/>
        <v>47070808.832199544</v>
      </c>
      <c r="Q57" s="156">
        <f t="shared" si="31"/>
        <v>27972466.605562579</v>
      </c>
      <c r="R57" s="169">
        <f t="shared" si="31"/>
        <v>0</v>
      </c>
      <c r="S57" s="169">
        <f t="shared" si="25"/>
        <v>0</v>
      </c>
      <c r="T57" s="178">
        <f t="shared" si="25"/>
        <v>0</v>
      </c>
      <c r="U57" s="156">
        <f t="shared" ref="U57:AB58" si="32">U37*U17</f>
        <v>0</v>
      </c>
      <c r="V57" s="169">
        <f t="shared" si="32"/>
        <v>0</v>
      </c>
      <c r="W57" s="169">
        <f t="shared" si="32"/>
        <v>0</v>
      </c>
      <c r="X57" s="178">
        <f t="shared" si="32"/>
        <v>0</v>
      </c>
      <c r="Y57" s="156">
        <f t="shared" si="32"/>
        <v>0</v>
      </c>
      <c r="Z57" s="169">
        <f t="shared" si="32"/>
        <v>0</v>
      </c>
      <c r="AA57" s="156">
        <f t="shared" si="32"/>
        <v>0</v>
      </c>
      <c r="AB57" s="178">
        <f t="shared" si="32"/>
        <v>0</v>
      </c>
      <c r="AC57" s="156">
        <f t="shared" ref="AC57:AF57" si="33">AC37*AC17</f>
        <v>0</v>
      </c>
      <c r="AD57" s="169">
        <f t="shared" si="33"/>
        <v>0</v>
      </c>
      <c r="AE57" s="156">
        <f t="shared" si="33"/>
        <v>0</v>
      </c>
      <c r="AF57" s="178">
        <f t="shared" si="33"/>
        <v>0</v>
      </c>
    </row>
    <row r="58" spans="1:32">
      <c r="A58" s="953" t="str">
        <f t="shared" si="11"/>
        <v>NG-PON2</v>
      </c>
      <c r="B58" s="142" t="str">
        <f t="shared" si="30"/>
        <v>ONUs</v>
      </c>
      <c r="C58" s="268" t="str">
        <f t="shared" si="30"/>
        <v>PON Transceivers</v>
      </c>
      <c r="D58" s="107" t="str">
        <f t="shared" si="30"/>
        <v>4x10G</v>
      </c>
      <c r="E58" s="169"/>
      <c r="F58" s="169"/>
      <c r="G58" s="169"/>
      <c r="H58" s="178"/>
      <c r="I58" s="156"/>
      <c r="J58" s="169"/>
      <c r="K58" s="169"/>
      <c r="L58" s="178"/>
      <c r="M58" s="156"/>
      <c r="N58" s="169"/>
      <c r="O58" s="169"/>
      <c r="P58" s="178">
        <f t="shared" ref="P58:R61" si="34">P38*P18</f>
        <v>0</v>
      </c>
      <c r="Q58" s="156">
        <f t="shared" si="34"/>
        <v>0</v>
      </c>
      <c r="R58" s="169">
        <f t="shared" si="34"/>
        <v>0</v>
      </c>
      <c r="S58" s="169">
        <f t="shared" si="25"/>
        <v>0</v>
      </c>
      <c r="T58" s="178">
        <f t="shared" si="25"/>
        <v>0</v>
      </c>
      <c r="U58" s="156">
        <f t="shared" si="32"/>
        <v>0</v>
      </c>
      <c r="V58" s="169">
        <f t="shared" si="32"/>
        <v>0</v>
      </c>
      <c r="W58" s="169">
        <f t="shared" si="32"/>
        <v>0</v>
      </c>
      <c r="X58" s="178">
        <f t="shared" si="32"/>
        <v>0</v>
      </c>
      <c r="Y58" s="156">
        <f t="shared" si="32"/>
        <v>0</v>
      </c>
      <c r="Z58" s="169">
        <f t="shared" si="32"/>
        <v>0</v>
      </c>
      <c r="AA58" s="156">
        <f t="shared" si="32"/>
        <v>0</v>
      </c>
      <c r="AB58" s="178">
        <f t="shared" si="32"/>
        <v>0</v>
      </c>
      <c r="AC58" s="156">
        <f t="shared" ref="AC58:AF58" si="35">AC38*AC18</f>
        <v>0</v>
      </c>
      <c r="AD58" s="169">
        <f t="shared" si="35"/>
        <v>0</v>
      </c>
      <c r="AE58" s="156">
        <f t="shared" si="35"/>
        <v>0</v>
      </c>
      <c r="AF58" s="178">
        <f t="shared" si="35"/>
        <v>0</v>
      </c>
    </row>
    <row r="59" spans="1:32">
      <c r="A59" s="954" t="str">
        <f t="shared" si="11"/>
        <v>NG-PON2</v>
      </c>
      <c r="B59" s="158" t="str">
        <f t="shared" si="30"/>
        <v>OLT</v>
      </c>
      <c r="C59" s="505" t="str">
        <f t="shared" si="30"/>
        <v>PON Transceivers</v>
      </c>
      <c r="D59" s="937" t="str">
        <f t="shared" si="30"/>
        <v>4x10G</v>
      </c>
      <c r="E59" s="169"/>
      <c r="F59" s="169"/>
      <c r="G59" s="169"/>
      <c r="H59" s="178"/>
      <c r="I59" s="156"/>
      <c r="J59" s="169"/>
      <c r="K59" s="169"/>
      <c r="L59" s="178"/>
      <c r="M59" s="156"/>
      <c r="N59" s="169"/>
      <c r="O59" s="169"/>
      <c r="P59" s="178">
        <f t="shared" si="34"/>
        <v>0</v>
      </c>
      <c r="Q59" s="156">
        <f t="shared" si="34"/>
        <v>0</v>
      </c>
      <c r="R59" s="169">
        <f t="shared" si="34"/>
        <v>0</v>
      </c>
      <c r="S59" s="169">
        <f t="shared" ref="S59:V61" si="36">S39*S19</f>
        <v>0</v>
      </c>
      <c r="T59" s="178">
        <f t="shared" si="36"/>
        <v>0</v>
      </c>
      <c r="U59" s="156">
        <f t="shared" si="36"/>
        <v>0</v>
      </c>
      <c r="V59" s="169">
        <f t="shared" si="36"/>
        <v>0</v>
      </c>
      <c r="W59" s="169">
        <f t="shared" ref="W59:AB60" si="37">W39*W19</f>
        <v>0</v>
      </c>
      <c r="X59" s="178">
        <f t="shared" si="37"/>
        <v>0</v>
      </c>
      <c r="Y59" s="156">
        <f t="shared" si="37"/>
        <v>0</v>
      </c>
      <c r="Z59" s="169">
        <f t="shared" si="37"/>
        <v>0</v>
      </c>
      <c r="AA59" s="156">
        <f t="shared" si="37"/>
        <v>0</v>
      </c>
      <c r="AB59" s="178">
        <f t="shared" si="37"/>
        <v>0</v>
      </c>
      <c r="AC59" s="156">
        <f t="shared" ref="AC59:AF59" si="38">AC39*AC19</f>
        <v>0</v>
      </c>
      <c r="AD59" s="169">
        <f t="shared" si="38"/>
        <v>0</v>
      </c>
      <c r="AE59" s="156">
        <f t="shared" si="38"/>
        <v>0</v>
      </c>
      <c r="AF59" s="178">
        <f t="shared" si="38"/>
        <v>0</v>
      </c>
    </row>
    <row r="60" spans="1:32">
      <c r="A60" s="953" t="str">
        <f t="shared" si="11"/>
        <v>25/50G PON</v>
      </c>
      <c r="B60" s="142" t="str">
        <f t="shared" si="30"/>
        <v>ONUs</v>
      </c>
      <c r="C60" s="268" t="str">
        <f t="shared" si="30"/>
        <v>PON Transceivers</v>
      </c>
      <c r="D60" s="107" t="str">
        <f t="shared" si="30"/>
        <v>Nx25G</v>
      </c>
      <c r="E60" s="59"/>
      <c r="F60" s="59"/>
      <c r="G60" s="59"/>
      <c r="H60" s="178"/>
      <c r="I60" s="156"/>
      <c r="J60" s="59"/>
      <c r="K60" s="59"/>
      <c r="L60" s="178"/>
      <c r="M60" s="156"/>
      <c r="N60" s="59"/>
      <c r="O60" s="59"/>
      <c r="P60" s="178">
        <f t="shared" si="34"/>
        <v>0</v>
      </c>
      <c r="Q60" s="156">
        <f t="shared" si="34"/>
        <v>0</v>
      </c>
      <c r="R60" s="169">
        <f t="shared" si="34"/>
        <v>0</v>
      </c>
      <c r="S60" s="169">
        <f t="shared" si="36"/>
        <v>0</v>
      </c>
      <c r="T60" s="178">
        <f t="shared" si="36"/>
        <v>0</v>
      </c>
      <c r="U60" s="156">
        <f t="shared" si="36"/>
        <v>0</v>
      </c>
      <c r="V60" s="169">
        <f t="shared" si="36"/>
        <v>0</v>
      </c>
      <c r="W60" s="169">
        <f t="shared" si="37"/>
        <v>0</v>
      </c>
      <c r="X60" s="178">
        <f t="shared" si="37"/>
        <v>0</v>
      </c>
      <c r="Y60" s="156">
        <f t="shared" si="37"/>
        <v>0</v>
      </c>
      <c r="Z60" s="169">
        <f t="shared" si="37"/>
        <v>0</v>
      </c>
      <c r="AA60" s="156">
        <f t="shared" si="37"/>
        <v>0</v>
      </c>
      <c r="AB60" s="178">
        <f t="shared" si="37"/>
        <v>0</v>
      </c>
      <c r="AC60" s="156">
        <f t="shared" ref="AC60:AF60" si="39">AC40*AC20</f>
        <v>0</v>
      </c>
      <c r="AD60" s="169">
        <f t="shared" si="39"/>
        <v>0</v>
      </c>
      <c r="AE60" s="156">
        <f t="shared" si="39"/>
        <v>0</v>
      </c>
      <c r="AF60" s="178">
        <f t="shared" si="39"/>
        <v>0</v>
      </c>
    </row>
    <row r="61" spans="1:32">
      <c r="A61" s="954" t="str">
        <f t="shared" si="11"/>
        <v>25/50G PON</v>
      </c>
      <c r="B61" s="158" t="str">
        <f t="shared" si="30"/>
        <v>OLT</v>
      </c>
      <c r="C61" s="505" t="str">
        <f t="shared" si="30"/>
        <v>PON Transceivers</v>
      </c>
      <c r="D61" s="937" t="str">
        <f t="shared" si="30"/>
        <v>Nx25G</v>
      </c>
      <c r="E61" s="59"/>
      <c r="F61" s="59"/>
      <c r="G61" s="59"/>
      <c r="H61" s="178"/>
      <c r="I61" s="156"/>
      <c r="J61" s="59"/>
      <c r="K61" s="59"/>
      <c r="L61" s="178"/>
      <c r="M61" s="156"/>
      <c r="N61" s="59"/>
      <c r="O61" s="59"/>
      <c r="P61" s="178">
        <f t="shared" si="34"/>
        <v>0</v>
      </c>
      <c r="Q61" s="156">
        <f t="shared" si="34"/>
        <v>0</v>
      </c>
      <c r="R61" s="169">
        <f t="shared" si="34"/>
        <v>0</v>
      </c>
      <c r="S61" s="169">
        <f t="shared" si="36"/>
        <v>0</v>
      </c>
      <c r="T61" s="178">
        <f t="shared" si="36"/>
        <v>0</v>
      </c>
      <c r="U61" s="156">
        <f t="shared" si="36"/>
        <v>0</v>
      </c>
      <c r="V61" s="169">
        <f t="shared" si="36"/>
        <v>0</v>
      </c>
      <c r="W61" s="169">
        <f t="shared" ref="W61:Z63" si="40">W41*W21</f>
        <v>0</v>
      </c>
      <c r="X61" s="178">
        <f t="shared" si="40"/>
        <v>0</v>
      </c>
      <c r="Y61" s="156">
        <f t="shared" si="40"/>
        <v>0</v>
      </c>
      <c r="Z61" s="156">
        <f t="shared" si="40"/>
        <v>0</v>
      </c>
      <c r="AA61" s="156">
        <f>AA41*AA21</f>
        <v>0</v>
      </c>
      <c r="AB61" s="178">
        <f>AB41*AB21</f>
        <v>0</v>
      </c>
      <c r="AC61" s="156">
        <f t="shared" ref="AC61:AD61" si="41">AC41*AC21</f>
        <v>0</v>
      </c>
      <c r="AD61" s="156">
        <f t="shared" si="41"/>
        <v>0</v>
      </c>
      <c r="AE61" s="156">
        <f>AE41*AE21</f>
        <v>0</v>
      </c>
      <c r="AF61" s="178">
        <f>AF41*AF21</f>
        <v>0</v>
      </c>
    </row>
    <row r="62" spans="1:32">
      <c r="A62" s="950" t="str">
        <f t="shared" si="11"/>
        <v xml:space="preserve"> P2P</v>
      </c>
      <c r="B62" s="142" t="str">
        <f t="shared" si="30"/>
        <v>bi-directional</v>
      </c>
      <c r="C62" s="268" t="str">
        <f t="shared" si="30"/>
        <v>all</v>
      </c>
      <c r="D62" s="939" t="str">
        <f t="shared" si="30"/>
        <v>2.5 Gbps</v>
      </c>
      <c r="E62" s="157">
        <f t="shared" ref="E62:P63" si="42">E42*E22</f>
        <v>3277000</v>
      </c>
      <c r="F62" s="157">
        <f t="shared" si="42"/>
        <v>3420000</v>
      </c>
      <c r="G62" s="156">
        <f t="shared" si="42"/>
        <v>2595000</v>
      </c>
      <c r="H62" s="178">
        <f t="shared" si="42"/>
        <v>2710000</v>
      </c>
      <c r="I62" s="156">
        <f t="shared" si="42"/>
        <v>4200000</v>
      </c>
      <c r="J62" s="157">
        <f t="shared" si="42"/>
        <v>5742000</v>
      </c>
      <c r="K62" s="157">
        <f t="shared" si="42"/>
        <v>4500000</v>
      </c>
      <c r="L62" s="178">
        <f t="shared" si="42"/>
        <v>3500000</v>
      </c>
      <c r="M62" s="156">
        <f t="shared" si="42"/>
        <v>3409500</v>
      </c>
      <c r="N62" s="157">
        <f t="shared" si="42"/>
        <v>2741500</v>
      </c>
      <c r="O62" s="157">
        <f t="shared" si="42"/>
        <v>2295000</v>
      </c>
      <c r="P62" s="178">
        <f t="shared" si="42"/>
        <v>1898000</v>
      </c>
      <c r="Q62" s="156"/>
      <c r="R62" s="169"/>
      <c r="S62" s="169">
        <f>S42*S22</f>
        <v>0</v>
      </c>
      <c r="T62" s="178">
        <f>T42*T22</f>
        <v>0</v>
      </c>
      <c r="U62" s="156"/>
      <c r="V62" s="169"/>
      <c r="W62" s="169">
        <f t="shared" si="40"/>
        <v>0</v>
      </c>
      <c r="X62" s="178">
        <f t="shared" si="40"/>
        <v>0</v>
      </c>
      <c r="Y62" s="156">
        <f>Y42*Y22</f>
        <v>0</v>
      </c>
      <c r="Z62" s="156">
        <f>Z42*Z22</f>
        <v>0</v>
      </c>
      <c r="AA62" s="156"/>
      <c r="AB62" s="178"/>
      <c r="AC62" s="156">
        <f>AC42*AC22</f>
        <v>0</v>
      </c>
      <c r="AD62" s="156">
        <f>AD42*AD22</f>
        <v>0</v>
      </c>
      <c r="AE62" s="156"/>
      <c r="AF62" s="178"/>
    </row>
    <row r="63" spans="1:32" ht="13.8" thickBot="1">
      <c r="A63" s="2230" t="s">
        <v>533</v>
      </c>
      <c r="B63" s="2231"/>
      <c r="C63" s="2231"/>
      <c r="D63" s="2232"/>
      <c r="E63" s="653">
        <f t="shared" si="42"/>
        <v>3513309</v>
      </c>
      <c r="F63" s="157">
        <f t="shared" si="42"/>
        <v>5390476</v>
      </c>
      <c r="G63" s="156">
        <f t="shared" si="42"/>
        <v>4421953.9999999991</v>
      </c>
      <c r="H63" s="178">
        <f t="shared" si="42"/>
        <v>4473226</v>
      </c>
      <c r="I63" s="945">
        <f t="shared" si="42"/>
        <v>3741942</v>
      </c>
      <c r="J63" s="157">
        <f t="shared" si="42"/>
        <v>8633723</v>
      </c>
      <c r="K63" s="157">
        <f t="shared" si="42"/>
        <v>9280880</v>
      </c>
      <c r="L63" s="178">
        <f t="shared" si="42"/>
        <v>7732189.0000000009</v>
      </c>
      <c r="M63" s="945">
        <f t="shared" si="42"/>
        <v>7421582.9999999991</v>
      </c>
      <c r="N63" s="157">
        <f t="shared" si="42"/>
        <v>7806261.9999999991</v>
      </c>
      <c r="O63" s="157">
        <f t="shared" si="42"/>
        <v>8056000</v>
      </c>
      <c r="P63" s="178">
        <f t="shared" si="42"/>
        <v>8815000</v>
      </c>
      <c r="Q63" s="156"/>
      <c r="R63" s="169"/>
      <c r="S63" s="169">
        <f>S43*S23</f>
        <v>0</v>
      </c>
      <c r="T63" s="178">
        <f>T43*T23</f>
        <v>0</v>
      </c>
      <c r="U63" s="156"/>
      <c r="V63" s="169"/>
      <c r="W63" s="169">
        <f t="shared" si="40"/>
        <v>0</v>
      </c>
      <c r="X63" s="178">
        <f t="shared" si="40"/>
        <v>0</v>
      </c>
      <c r="Y63" s="156">
        <f>Y43*Y23</f>
        <v>0</v>
      </c>
      <c r="Z63" s="156">
        <f>Z43*Z23</f>
        <v>0</v>
      </c>
      <c r="AA63" s="156"/>
      <c r="AB63" s="178"/>
      <c r="AC63" s="156">
        <f>AC43*AC23</f>
        <v>0</v>
      </c>
      <c r="AD63" s="156">
        <f>AD43*AD23</f>
        <v>0</v>
      </c>
      <c r="AE63" s="156"/>
      <c r="AF63" s="178"/>
    </row>
    <row r="64" spans="1:32" ht="13.8" thickBot="1">
      <c r="A64" s="940" t="str">
        <f>A44</f>
        <v>TOTAL</v>
      </c>
      <c r="B64" s="941"/>
      <c r="C64" s="941"/>
      <c r="D64" s="520"/>
      <c r="E64" s="238">
        <f t="shared" ref="E64:P64" si="43">SUM(E49:E63)</f>
        <v>144317806.32411963</v>
      </c>
      <c r="F64" s="238">
        <f t="shared" si="43"/>
        <v>137870549.10265189</v>
      </c>
      <c r="G64" s="238">
        <f t="shared" si="43"/>
        <v>107066178.11290672</v>
      </c>
      <c r="H64" s="239">
        <f t="shared" si="43"/>
        <v>113854129.06297407</v>
      </c>
      <c r="I64" s="164">
        <f t="shared" si="43"/>
        <v>113022757.27764863</v>
      </c>
      <c r="J64" s="238">
        <f t="shared" si="43"/>
        <v>121369569.58858356</v>
      </c>
      <c r="K64" s="238">
        <f t="shared" si="43"/>
        <v>135736387</v>
      </c>
      <c r="L64" s="239">
        <f t="shared" si="43"/>
        <v>125537591</v>
      </c>
      <c r="M64" s="164">
        <f t="shared" si="43"/>
        <v>107435720.19544502</v>
      </c>
      <c r="N64" s="238">
        <f t="shared" si="43"/>
        <v>106254774.20504186</v>
      </c>
      <c r="O64" s="238">
        <f t="shared" si="43"/>
        <v>115910024.39659283</v>
      </c>
      <c r="P64" s="239">
        <f t="shared" si="43"/>
        <v>123470320.18048292</v>
      </c>
      <c r="Q64" s="164">
        <f t="shared" ref="Q64:AB64" si="44">SUM(Q49:Q63)</f>
        <v>69299291.605562583</v>
      </c>
      <c r="R64" s="238">
        <f t="shared" si="44"/>
        <v>0</v>
      </c>
      <c r="S64" s="238">
        <f t="shared" si="44"/>
        <v>0</v>
      </c>
      <c r="T64" s="239">
        <f t="shared" si="44"/>
        <v>0</v>
      </c>
      <c r="U64" s="164">
        <f t="shared" si="44"/>
        <v>0</v>
      </c>
      <c r="V64" s="238">
        <f t="shared" si="44"/>
        <v>0</v>
      </c>
      <c r="W64" s="238">
        <f t="shared" si="44"/>
        <v>0</v>
      </c>
      <c r="X64" s="239">
        <f t="shared" si="44"/>
        <v>0</v>
      </c>
      <c r="Y64" s="164">
        <f t="shared" si="44"/>
        <v>0</v>
      </c>
      <c r="Z64" s="238">
        <f t="shared" si="44"/>
        <v>0</v>
      </c>
      <c r="AA64" s="164">
        <f t="shared" si="44"/>
        <v>0</v>
      </c>
      <c r="AB64" s="239">
        <f t="shared" si="44"/>
        <v>0</v>
      </c>
      <c r="AC64" s="164">
        <f t="shared" ref="AC64:AF64" si="45">SUM(AC49:AC63)</f>
        <v>0</v>
      </c>
      <c r="AD64" s="238">
        <f t="shared" si="45"/>
        <v>0</v>
      </c>
      <c r="AE64" s="164">
        <f t="shared" si="45"/>
        <v>0</v>
      </c>
      <c r="AF64" s="239">
        <f t="shared" si="45"/>
        <v>0</v>
      </c>
    </row>
    <row r="65" spans="5:32">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row>
    <row r="66" spans="5:32">
      <c r="M66" s="45"/>
      <c r="N66" s="45"/>
      <c r="O66" s="45"/>
      <c r="P66" s="45"/>
      <c r="Q66" s="45"/>
      <c r="R66" s="45"/>
      <c r="S66" s="45"/>
      <c r="T66" s="45"/>
      <c r="U66" s="45"/>
      <c r="V66" s="45"/>
      <c r="W66" s="45"/>
      <c r="X66" s="45"/>
      <c r="Y66" s="45"/>
      <c r="Z66" s="45"/>
      <c r="AA66" s="45"/>
      <c r="AB66" s="45"/>
      <c r="AC66" s="45"/>
      <c r="AD66" s="45"/>
      <c r="AE66" s="45"/>
      <c r="AF66" s="45"/>
    </row>
    <row r="67" spans="5:32">
      <c r="L67" s="15"/>
      <c r="P67" s="15"/>
      <c r="X67" s="15"/>
      <c r="AB67" s="15"/>
      <c r="AC67" s="15"/>
      <c r="AD67" s="15"/>
      <c r="AE67" s="15"/>
      <c r="AF67" s="15"/>
    </row>
    <row r="68" spans="5:32">
      <c r="P68" s="946"/>
      <c r="AB68" s="5"/>
      <c r="AF68" s="5"/>
    </row>
    <row r="70" spans="5:32">
      <c r="Q70" s="67"/>
      <c r="R70" s="67"/>
      <c r="S70" s="67"/>
      <c r="T70" s="67"/>
      <c r="AC70" s="5"/>
      <c r="AD70" s="5"/>
    </row>
    <row r="71" spans="5:32">
      <c r="AC71" s="5"/>
      <c r="AD71" s="5"/>
    </row>
  </sheetData>
  <mergeCells count="3">
    <mergeCell ref="A63:D63"/>
    <mergeCell ref="A23:D23"/>
    <mergeCell ref="A43:D43"/>
  </mergeCells>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AE99"/>
  <sheetViews>
    <sheetView showGridLines="0" zoomScale="80" zoomScaleNormal="80" zoomScalePageLayoutView="80" workbookViewId="0">
      <pane xSplit="15" ySplit="8" topLeftCell="P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17.109375" customWidth="1"/>
    <col min="2" max="2" width="12" customWidth="1"/>
    <col min="3" max="3" width="13.44140625" customWidth="1"/>
    <col min="4" max="6" width="12" hidden="1" customWidth="1" outlineLevel="1"/>
    <col min="7" max="7" width="13.44140625" hidden="1" customWidth="1" outlineLevel="1"/>
    <col min="8" max="10" width="12" hidden="1" customWidth="1" outlineLevel="1"/>
    <col min="11" max="11" width="13.77734375" hidden="1" customWidth="1" outlineLevel="1"/>
    <col min="12" max="12" width="14.109375" hidden="1" customWidth="1" outlineLevel="1" collapsed="1"/>
    <col min="13" max="13" width="14.109375" hidden="1" customWidth="1" outlineLevel="1"/>
    <col min="14" max="15" width="13.77734375" hidden="1" customWidth="1" outlineLevel="1"/>
    <col min="16" max="16" width="11.77734375" customWidth="1" collapsed="1"/>
    <col min="17" max="23" width="11.77734375" customWidth="1"/>
    <col min="24" max="31" width="13.109375" customWidth="1"/>
  </cols>
  <sheetData>
    <row r="1" spans="1:31" ht="25.05" customHeight="1">
      <c r="A1" s="69" t="str">
        <f>Introduction!$B$1</f>
        <v>Vendor Survey Results through H1 2023</v>
      </c>
    </row>
    <row r="2" spans="1:31" ht="15">
      <c r="A2" s="249" t="str">
        <f>Introduction!$B$2</f>
        <v>December 2023 QMU - Sample template for illustrative purposes only</v>
      </c>
    </row>
    <row r="3" spans="1:31" ht="17.399999999999999">
      <c r="A3" s="503" t="s">
        <v>361</v>
      </c>
      <c r="AB3" s="503"/>
    </row>
    <row r="4" spans="1:31" ht="17.399999999999999">
      <c r="AB4" s="503"/>
    </row>
    <row r="5" spans="1:31" ht="15.6">
      <c r="A5" s="689"/>
      <c r="N5" s="688"/>
    </row>
    <row r="6" spans="1:31" ht="16.2" thickBot="1">
      <c r="I6" s="13"/>
      <c r="N6" s="688"/>
      <c r="P6" s="688"/>
      <c r="Q6" s="13"/>
      <c r="R6" s="688"/>
      <c r="S6" s="13"/>
    </row>
    <row r="7" spans="1:31" ht="16.2" thickBot="1">
      <c r="A7" s="518" t="str">
        <f>A3</f>
        <v>Optical Transceivers for wireless fronthaul &amp; midhaul networks</v>
      </c>
      <c r="C7" s="1753"/>
      <c r="D7" s="1753"/>
      <c r="E7" s="512"/>
      <c r="F7" s="512"/>
      <c r="G7" s="1753"/>
      <c r="H7" s="1754" t="s">
        <v>164</v>
      </c>
      <c r="I7" s="512"/>
      <c r="J7" s="512"/>
      <c r="K7" s="512"/>
      <c r="L7" s="512"/>
      <c r="M7" s="512"/>
      <c r="N7" s="1753"/>
      <c r="O7" s="1753"/>
      <c r="P7" s="1748" t="s">
        <v>164</v>
      </c>
      <c r="X7" s="1748" t="str">
        <f>P7</f>
        <v>Shipments: Actual Data</v>
      </c>
      <c r="AB7" s="1"/>
      <c r="AC7" s="1"/>
      <c r="AD7" s="2130" t="s">
        <v>280</v>
      </c>
      <c r="AE7" s="2131"/>
    </row>
    <row r="8" spans="1:31" ht="13.8" thickBot="1">
      <c r="A8" s="372" t="s">
        <v>166</v>
      </c>
      <c r="B8" s="371" t="s">
        <v>176</v>
      </c>
      <c r="C8" s="373" t="s">
        <v>177</v>
      </c>
      <c r="D8" s="72" t="s">
        <v>100</v>
      </c>
      <c r="E8" s="73" t="s">
        <v>101</v>
      </c>
      <c r="F8" s="73" t="s">
        <v>102</v>
      </c>
      <c r="G8" s="73" t="s">
        <v>103</v>
      </c>
      <c r="H8" s="1203" t="s">
        <v>104</v>
      </c>
      <c r="I8" s="73" t="s">
        <v>105</v>
      </c>
      <c r="J8" s="73" t="s">
        <v>106</v>
      </c>
      <c r="K8" s="73" t="s">
        <v>107</v>
      </c>
      <c r="L8" s="1203" t="s">
        <v>108</v>
      </c>
      <c r="M8" s="73" t="s">
        <v>109</v>
      </c>
      <c r="N8" s="73" t="s">
        <v>110</v>
      </c>
      <c r="O8" s="73" t="s">
        <v>111</v>
      </c>
      <c r="P8" s="2124" t="s">
        <v>112</v>
      </c>
      <c r="Q8" s="2125" t="s">
        <v>113</v>
      </c>
      <c r="R8" s="2125" t="s">
        <v>114</v>
      </c>
      <c r="S8" s="2125" t="s">
        <v>115</v>
      </c>
      <c r="T8" s="2124" t="s">
        <v>463</v>
      </c>
      <c r="U8" s="2125" t="s">
        <v>464</v>
      </c>
      <c r="V8" s="697" t="s">
        <v>465</v>
      </c>
      <c r="W8" s="2126" t="s">
        <v>466</v>
      </c>
      <c r="X8" s="2124" t="s">
        <v>467</v>
      </c>
      <c r="Y8" s="2125" t="s">
        <v>468</v>
      </c>
      <c r="Z8" s="2125" t="s">
        <v>469</v>
      </c>
      <c r="AA8" s="2126" t="s">
        <v>470</v>
      </c>
      <c r="AB8" s="2127" t="s">
        <v>568</v>
      </c>
      <c r="AC8" s="1217" t="s">
        <v>594</v>
      </c>
      <c r="AD8" s="2129" t="s">
        <v>595</v>
      </c>
      <c r="AE8" s="2128" t="s">
        <v>596</v>
      </c>
    </row>
    <row r="9" spans="1:31" ht="16.5" customHeight="1">
      <c r="A9" s="539" t="s">
        <v>173</v>
      </c>
      <c r="B9" s="181" t="s">
        <v>238</v>
      </c>
      <c r="C9" s="182" t="s">
        <v>187</v>
      </c>
      <c r="D9" s="183"/>
      <c r="E9" s="183"/>
      <c r="F9" s="283"/>
      <c r="G9" s="284"/>
      <c r="H9" s="1204"/>
      <c r="I9" s="183"/>
      <c r="J9" s="562"/>
      <c r="K9" s="563"/>
      <c r="L9" s="1204"/>
      <c r="M9" s="183"/>
      <c r="N9" s="562"/>
      <c r="O9" s="563"/>
      <c r="P9" s="1204"/>
      <c r="Q9" s="283"/>
      <c r="R9" s="562"/>
      <c r="S9" s="563"/>
      <c r="T9" s="1156"/>
      <c r="U9" s="283"/>
      <c r="V9" s="283"/>
      <c r="W9" s="284"/>
      <c r="X9" s="1156"/>
      <c r="Y9" s="283"/>
      <c r="Z9" s="1156"/>
      <c r="AA9" s="284"/>
      <c r="AB9" s="1156"/>
      <c r="AC9" s="283"/>
      <c r="AD9" s="1156"/>
      <c r="AE9" s="284"/>
    </row>
    <row r="10" spans="1:31" ht="16.5" customHeight="1">
      <c r="A10" s="525" t="s">
        <v>173</v>
      </c>
      <c r="B10" s="186" t="s">
        <v>239</v>
      </c>
      <c r="C10" s="187" t="s">
        <v>187</v>
      </c>
      <c r="D10" s="188">
        <v>50000</v>
      </c>
      <c r="E10" s="188">
        <v>40000</v>
      </c>
      <c r="F10" s="367"/>
      <c r="G10" s="368"/>
      <c r="H10" s="1205"/>
      <c r="I10" s="188"/>
      <c r="J10" s="564"/>
      <c r="K10" s="565"/>
      <c r="L10" s="1205"/>
      <c r="M10" s="188"/>
      <c r="N10" s="564"/>
      <c r="O10" s="565"/>
      <c r="P10" s="1205"/>
      <c r="Q10" s="1152"/>
      <c r="R10" s="564"/>
      <c r="S10" s="565"/>
      <c r="T10" s="1157"/>
      <c r="U10" s="1152"/>
      <c r="V10" s="1152"/>
      <c r="W10" s="1153"/>
      <c r="X10" s="1157"/>
      <c r="Y10" s="1152"/>
      <c r="Z10" s="1157"/>
      <c r="AA10" s="1755"/>
      <c r="AB10" s="1157"/>
      <c r="AC10" s="1152"/>
      <c r="AD10" s="1157"/>
      <c r="AE10" s="1755"/>
    </row>
    <row r="11" spans="1:31" ht="16.5" customHeight="1" thickBot="1">
      <c r="A11" s="526" t="s">
        <v>173</v>
      </c>
      <c r="B11" s="186" t="s">
        <v>255</v>
      </c>
      <c r="C11" s="187" t="s">
        <v>187</v>
      </c>
      <c r="D11" s="192">
        <v>6500</v>
      </c>
      <c r="E11" s="192">
        <v>4700</v>
      </c>
      <c r="F11" s="369"/>
      <c r="G11" s="286"/>
      <c r="H11" s="1206"/>
      <c r="I11" s="192"/>
      <c r="J11" s="566"/>
      <c r="K11" s="567"/>
      <c r="L11" s="1206"/>
      <c r="M11" s="192"/>
      <c r="N11" s="566"/>
      <c r="O11" s="567"/>
      <c r="P11" s="1206"/>
      <c r="Q11" s="285"/>
      <c r="R11" s="566"/>
      <c r="S11" s="567"/>
      <c r="T11" s="422"/>
      <c r="U11" s="285"/>
      <c r="V11" s="285"/>
      <c r="W11" s="286"/>
      <c r="X11" s="422"/>
      <c r="Y11" s="285"/>
      <c r="Z11" s="573"/>
      <c r="AA11" s="567"/>
      <c r="AB11" s="422"/>
      <c r="AC11" s="285"/>
      <c r="AD11" s="573"/>
      <c r="AE11" s="567"/>
    </row>
    <row r="12" spans="1:31" ht="16.5" customHeight="1">
      <c r="A12" s="527" t="s">
        <v>174</v>
      </c>
      <c r="B12" s="193" t="s">
        <v>238</v>
      </c>
      <c r="C12" s="194" t="s">
        <v>187</v>
      </c>
      <c r="D12" s="195"/>
      <c r="E12" s="195"/>
      <c r="F12" s="287"/>
      <c r="G12" s="288"/>
      <c r="H12" s="1207"/>
      <c r="I12" s="195"/>
      <c r="J12" s="568"/>
      <c r="K12" s="569"/>
      <c r="L12" s="1207"/>
      <c r="M12" s="195"/>
      <c r="N12" s="568"/>
      <c r="O12" s="569"/>
      <c r="P12" s="1207"/>
      <c r="Q12" s="287"/>
      <c r="R12" s="568"/>
      <c r="S12" s="569"/>
      <c r="T12" s="1158"/>
      <c r="U12" s="287"/>
      <c r="V12" s="287"/>
      <c r="W12" s="288"/>
      <c r="X12" s="1158"/>
      <c r="Y12" s="287"/>
      <c r="Z12" s="1375"/>
      <c r="AA12" s="569"/>
      <c r="AB12" s="1158"/>
      <c r="AC12" s="287"/>
      <c r="AD12" s="1375"/>
      <c r="AE12" s="569"/>
    </row>
    <row r="13" spans="1:31" ht="16.5" customHeight="1">
      <c r="A13" s="525" t="s">
        <v>174</v>
      </c>
      <c r="B13" s="186" t="s">
        <v>239</v>
      </c>
      <c r="C13" s="199" t="s">
        <v>187</v>
      </c>
      <c r="D13" s="200">
        <v>100500</v>
      </c>
      <c r="E13" s="200">
        <v>100300</v>
      </c>
      <c r="F13" s="132"/>
      <c r="G13" s="289"/>
      <c r="H13" s="1208"/>
      <c r="I13" s="200"/>
      <c r="J13" s="360"/>
      <c r="K13" s="570"/>
      <c r="L13" s="1208"/>
      <c r="M13" s="200"/>
      <c r="N13" s="360"/>
      <c r="O13" s="570"/>
      <c r="P13" s="1208"/>
      <c r="Q13" s="132"/>
      <c r="R13" s="360"/>
      <c r="S13" s="570"/>
      <c r="T13" s="1159"/>
      <c r="U13" s="132"/>
      <c r="V13" s="132"/>
      <c r="W13" s="289"/>
      <c r="X13" s="1159"/>
      <c r="Y13" s="132"/>
      <c r="Z13" s="1376"/>
      <c r="AA13" s="1751"/>
      <c r="AB13" s="1159"/>
      <c r="AC13" s="132"/>
      <c r="AD13" s="1376"/>
      <c r="AE13" s="1751"/>
    </row>
    <row r="14" spans="1:31" ht="16.5" customHeight="1" thickBot="1">
      <c r="A14" s="526" t="s">
        <v>174</v>
      </c>
      <c r="B14" s="201" t="s">
        <v>255</v>
      </c>
      <c r="C14" s="202" t="s">
        <v>187</v>
      </c>
      <c r="D14" s="654">
        <v>66722</v>
      </c>
      <c r="E14" s="654">
        <v>18122</v>
      </c>
      <c r="F14" s="511">
        <v>13000</v>
      </c>
      <c r="G14" s="286">
        <v>16000</v>
      </c>
      <c r="H14" s="1209">
        <v>51662</v>
      </c>
      <c r="I14" s="654">
        <v>39260</v>
      </c>
      <c r="J14" s="595">
        <v>74699</v>
      </c>
      <c r="K14" s="605">
        <v>56840</v>
      </c>
      <c r="L14" s="1209">
        <v>59437</v>
      </c>
      <c r="M14" s="654">
        <v>59814</v>
      </c>
      <c r="N14" s="595">
        <v>67166</v>
      </c>
      <c r="O14" s="605">
        <v>78425</v>
      </c>
      <c r="P14" s="1278">
        <v>32590</v>
      </c>
      <c r="Q14" s="511"/>
      <c r="R14" s="511"/>
      <c r="S14" s="286"/>
      <c r="T14" s="247"/>
      <c r="U14" s="511"/>
      <c r="V14" s="511"/>
      <c r="W14" s="286"/>
      <c r="X14" s="694"/>
      <c r="Y14" s="595"/>
      <c r="Z14" s="694"/>
      <c r="AA14" s="609"/>
      <c r="AB14" s="1743"/>
      <c r="AC14" s="571"/>
      <c r="AD14" s="574"/>
      <c r="AE14" s="572"/>
    </row>
    <row r="15" spans="1:31" ht="16.5" customHeight="1">
      <c r="A15" s="527" t="s">
        <v>240</v>
      </c>
      <c r="B15" s="186" t="s">
        <v>238</v>
      </c>
      <c r="C15" s="187" t="s">
        <v>187</v>
      </c>
      <c r="D15" s="205">
        <v>481646</v>
      </c>
      <c r="E15" s="205">
        <v>560045</v>
      </c>
      <c r="F15" s="290">
        <v>440644</v>
      </c>
      <c r="G15" s="288">
        <v>295944</v>
      </c>
      <c r="H15" s="1210">
        <v>612603</v>
      </c>
      <c r="I15" s="205">
        <v>554165</v>
      </c>
      <c r="J15" s="596">
        <v>470322</v>
      </c>
      <c r="K15" s="606">
        <v>494287</v>
      </c>
      <c r="L15" s="1210">
        <v>785496</v>
      </c>
      <c r="M15" s="205">
        <v>672890</v>
      </c>
      <c r="N15" s="596">
        <v>694833</v>
      </c>
      <c r="O15" s="606">
        <v>682462</v>
      </c>
      <c r="P15" s="1279">
        <v>366588</v>
      </c>
      <c r="Q15" s="290"/>
      <c r="R15" s="290"/>
      <c r="S15" s="288"/>
      <c r="T15" s="1160"/>
      <c r="U15" s="290"/>
      <c r="V15" s="290"/>
      <c r="W15" s="288"/>
      <c r="X15" s="1402"/>
      <c r="Y15" s="596"/>
      <c r="Z15" s="1402"/>
      <c r="AA15" s="1756"/>
      <c r="AB15" s="1402"/>
      <c r="AC15" s="596"/>
      <c r="AD15" s="1402"/>
      <c r="AE15" s="1756"/>
    </row>
    <row r="16" spans="1:31" ht="16.5" customHeight="1">
      <c r="A16" s="525" t="s">
        <v>240</v>
      </c>
      <c r="B16" s="186" t="s">
        <v>239</v>
      </c>
      <c r="C16" s="187" t="s">
        <v>187</v>
      </c>
      <c r="D16" s="200">
        <v>822007</v>
      </c>
      <c r="E16" s="200">
        <v>734090</v>
      </c>
      <c r="F16" s="132">
        <v>386443</v>
      </c>
      <c r="G16" s="289">
        <v>420628</v>
      </c>
      <c r="H16" s="1208">
        <v>427820</v>
      </c>
      <c r="I16" s="200">
        <v>568434</v>
      </c>
      <c r="J16" s="594">
        <v>633909</v>
      </c>
      <c r="K16" s="607">
        <v>545208</v>
      </c>
      <c r="L16" s="1208">
        <v>698275</v>
      </c>
      <c r="M16" s="200">
        <v>706274.5</v>
      </c>
      <c r="N16" s="594">
        <v>537290</v>
      </c>
      <c r="O16" s="607">
        <v>543664</v>
      </c>
      <c r="P16" s="1280">
        <v>212868</v>
      </c>
      <c r="Q16" s="132"/>
      <c r="R16" s="132"/>
      <c r="S16" s="289"/>
      <c r="T16" s="1159"/>
      <c r="U16" s="132"/>
      <c r="V16" s="132"/>
      <c r="W16" s="289"/>
      <c r="X16" s="1327"/>
      <c r="Y16" s="594"/>
      <c r="Z16" s="1327"/>
      <c r="AA16" s="1328"/>
      <c r="AB16" s="1327"/>
      <c r="AC16" s="594"/>
      <c r="AD16" s="1327"/>
      <c r="AE16" s="1328"/>
    </row>
    <row r="17" spans="1:31" ht="16.5" customHeight="1" thickBot="1">
      <c r="A17" s="526" t="s">
        <v>240</v>
      </c>
      <c r="B17" s="186" t="s">
        <v>255</v>
      </c>
      <c r="C17" s="187" t="s">
        <v>187</v>
      </c>
      <c r="D17" s="192">
        <v>309682</v>
      </c>
      <c r="E17" s="192">
        <v>268610</v>
      </c>
      <c r="F17" s="285">
        <v>169368</v>
      </c>
      <c r="G17" s="286">
        <v>198081</v>
      </c>
      <c r="H17" s="1206">
        <v>228428</v>
      </c>
      <c r="I17" s="192">
        <v>253666</v>
      </c>
      <c r="J17" s="402">
        <v>220238</v>
      </c>
      <c r="K17" s="605">
        <v>233874</v>
      </c>
      <c r="L17" s="1206">
        <v>348824</v>
      </c>
      <c r="M17" s="192">
        <v>408996.5</v>
      </c>
      <c r="N17" s="402">
        <v>307013</v>
      </c>
      <c r="O17" s="605">
        <v>228264</v>
      </c>
      <c r="P17" s="1281">
        <v>77928</v>
      </c>
      <c r="Q17" s="285"/>
      <c r="R17" s="285"/>
      <c r="S17" s="286"/>
      <c r="T17" s="422"/>
      <c r="U17" s="285"/>
      <c r="V17" s="285"/>
      <c r="W17" s="286"/>
      <c r="X17" s="612"/>
      <c r="Y17" s="402"/>
      <c r="Z17" s="612"/>
      <c r="AA17" s="605"/>
      <c r="AB17" s="612"/>
      <c r="AC17" s="402"/>
      <c r="AD17" s="612"/>
      <c r="AE17" s="605"/>
    </row>
    <row r="18" spans="1:31" ht="16.5" customHeight="1">
      <c r="A18" s="527" t="s">
        <v>175</v>
      </c>
      <c r="B18" s="193" t="s">
        <v>238</v>
      </c>
      <c r="C18" s="194" t="s">
        <v>181</v>
      </c>
      <c r="D18" s="195"/>
      <c r="E18" s="195"/>
      <c r="F18" s="287"/>
      <c r="G18" s="288"/>
      <c r="H18" s="1207"/>
      <c r="I18" s="195"/>
      <c r="J18" s="608"/>
      <c r="K18" s="606"/>
      <c r="L18" s="1207"/>
      <c r="M18" s="195"/>
      <c r="N18" s="608"/>
      <c r="O18" s="606"/>
      <c r="P18" s="1282"/>
      <c r="Q18" s="287"/>
      <c r="R18" s="287"/>
      <c r="S18" s="288"/>
      <c r="T18" s="1158"/>
      <c r="U18" s="287"/>
      <c r="V18" s="287"/>
      <c r="W18" s="288"/>
      <c r="X18" s="1322"/>
      <c r="Y18" s="608"/>
      <c r="Z18" s="1322"/>
      <c r="AA18" s="606"/>
      <c r="AB18" s="1322"/>
      <c r="AC18" s="608"/>
      <c r="AD18" s="1322"/>
      <c r="AE18" s="606"/>
    </row>
    <row r="19" spans="1:31" ht="16.5" customHeight="1">
      <c r="A19" s="525" t="s">
        <v>175</v>
      </c>
      <c r="B19" s="186" t="s">
        <v>239</v>
      </c>
      <c r="C19" s="199" t="s">
        <v>181</v>
      </c>
      <c r="D19" s="200">
        <v>564498</v>
      </c>
      <c r="E19" s="200">
        <v>812345</v>
      </c>
      <c r="F19" s="132">
        <v>516279</v>
      </c>
      <c r="G19" s="289">
        <v>575887</v>
      </c>
      <c r="H19" s="1208">
        <v>858841</v>
      </c>
      <c r="I19" s="200">
        <v>1112455</v>
      </c>
      <c r="J19" s="594">
        <v>1928453</v>
      </c>
      <c r="K19" s="607">
        <v>2115624</v>
      </c>
      <c r="L19" s="1208">
        <v>4035811.6</v>
      </c>
      <c r="M19" s="200">
        <v>4808148.4000000004</v>
      </c>
      <c r="N19" s="594">
        <v>3933228</v>
      </c>
      <c r="O19" s="607">
        <v>3350851</v>
      </c>
      <c r="P19" s="1280">
        <v>2510107</v>
      </c>
      <c r="Q19" s="132"/>
      <c r="R19" s="132"/>
      <c r="S19" s="289"/>
      <c r="T19" s="1159"/>
      <c r="U19" s="132"/>
      <c r="V19" s="132"/>
      <c r="W19" s="289"/>
      <c r="X19" s="1327"/>
      <c r="Y19" s="594"/>
      <c r="Z19" s="1327"/>
      <c r="AA19" s="1328"/>
      <c r="AB19" s="1327"/>
      <c r="AC19" s="594"/>
      <c r="AD19" s="1327"/>
      <c r="AE19" s="1328"/>
    </row>
    <row r="20" spans="1:31" ht="16.5" customHeight="1" thickBot="1">
      <c r="A20" s="526" t="s">
        <v>175</v>
      </c>
      <c r="B20" s="201" t="s">
        <v>255</v>
      </c>
      <c r="C20" s="202" t="s">
        <v>181</v>
      </c>
      <c r="D20" s="510">
        <v>268584</v>
      </c>
      <c r="E20" s="510">
        <v>298521</v>
      </c>
      <c r="F20" s="511">
        <v>191498</v>
      </c>
      <c r="G20" s="535">
        <v>204629</v>
      </c>
      <c r="H20" s="719">
        <v>347000</v>
      </c>
      <c r="I20" s="510">
        <v>431500</v>
      </c>
      <c r="J20" s="595">
        <v>771541</v>
      </c>
      <c r="K20" s="609">
        <v>799887</v>
      </c>
      <c r="L20" s="719">
        <v>809968.4</v>
      </c>
      <c r="M20" s="510">
        <v>943941.6</v>
      </c>
      <c r="N20" s="595">
        <v>1156413</v>
      </c>
      <c r="O20" s="609">
        <v>1177131</v>
      </c>
      <c r="P20" s="1119">
        <v>718946</v>
      </c>
      <c r="Q20" s="511"/>
      <c r="R20" s="511"/>
      <c r="S20" s="535"/>
      <c r="T20" s="247"/>
      <c r="U20" s="511"/>
      <c r="V20" s="511"/>
      <c r="W20" s="535"/>
      <c r="X20" s="694"/>
      <c r="Y20" s="595"/>
      <c r="Z20" s="694"/>
      <c r="AA20" s="609"/>
      <c r="AB20" s="694"/>
      <c r="AC20" s="595"/>
      <c r="AD20" s="694"/>
      <c r="AE20" s="609"/>
    </row>
    <row r="21" spans="1:31" ht="16.5" customHeight="1">
      <c r="A21" s="527" t="s">
        <v>359</v>
      </c>
      <c r="B21" s="193" t="s">
        <v>238</v>
      </c>
      <c r="C21" s="194" t="s">
        <v>282</v>
      </c>
      <c r="D21" s="274"/>
      <c r="E21" s="274"/>
      <c r="F21" s="529"/>
      <c r="G21" s="530"/>
      <c r="H21" s="1211"/>
      <c r="I21" s="274"/>
      <c r="J21" s="610"/>
      <c r="K21" s="611"/>
      <c r="L21" s="1211"/>
      <c r="M21" s="274"/>
      <c r="N21" s="610"/>
      <c r="O21" s="611"/>
      <c r="P21" s="1283"/>
      <c r="Q21" s="400"/>
      <c r="R21" s="529"/>
      <c r="S21" s="530"/>
      <c r="T21" s="529"/>
      <c r="U21" s="400"/>
      <c r="V21" s="529"/>
      <c r="W21" s="530"/>
      <c r="X21" s="610"/>
      <c r="Y21" s="598"/>
      <c r="Z21" s="610"/>
      <c r="AA21" s="611"/>
      <c r="AB21" s="610"/>
      <c r="AC21" s="598"/>
      <c r="AD21" s="610"/>
      <c r="AE21" s="611"/>
    </row>
    <row r="22" spans="1:31" ht="16.5" customHeight="1">
      <c r="A22" s="528" t="s">
        <v>360</v>
      </c>
      <c r="B22" s="186" t="s">
        <v>238</v>
      </c>
      <c r="C22" s="199" t="s">
        <v>282</v>
      </c>
      <c r="D22" s="105"/>
      <c r="E22" s="105"/>
      <c r="F22" s="422"/>
      <c r="G22" s="286"/>
      <c r="H22" s="1212">
        <v>3076</v>
      </c>
      <c r="I22" s="105">
        <v>16023</v>
      </c>
      <c r="J22" s="612">
        <v>1573</v>
      </c>
      <c r="K22" s="605">
        <v>5664</v>
      </c>
      <c r="L22" s="1212">
        <v>77979</v>
      </c>
      <c r="M22" s="105">
        <v>159255</v>
      </c>
      <c r="N22" s="612">
        <v>104000</v>
      </c>
      <c r="O22" s="605">
        <v>172000</v>
      </c>
      <c r="P22" s="1118">
        <v>230000</v>
      </c>
      <c r="Q22" s="285"/>
      <c r="R22" s="422"/>
      <c r="S22" s="286"/>
      <c r="T22" s="422"/>
      <c r="U22" s="285"/>
      <c r="V22" s="422"/>
      <c r="W22" s="286"/>
      <c r="X22" s="612"/>
      <c r="Y22" s="402"/>
      <c r="Z22" s="612"/>
      <c r="AA22" s="605"/>
      <c r="AB22" s="612"/>
      <c r="AC22" s="402"/>
      <c r="AD22" s="612"/>
      <c r="AE22" s="605"/>
    </row>
    <row r="23" spans="1:31" ht="16.5" customHeight="1">
      <c r="A23" s="525" t="s">
        <v>344</v>
      </c>
      <c r="B23" s="186" t="s">
        <v>239</v>
      </c>
      <c r="C23" s="199" t="s">
        <v>455</v>
      </c>
      <c r="D23" s="105"/>
      <c r="E23" s="105"/>
      <c r="F23" s="422"/>
      <c r="G23" s="286"/>
      <c r="H23" s="1212">
        <v>6380</v>
      </c>
      <c r="I23" s="105">
        <v>6826</v>
      </c>
      <c r="J23" s="612">
        <v>127782</v>
      </c>
      <c r="K23" s="605">
        <v>91703</v>
      </c>
      <c r="L23" s="1212">
        <v>157551</v>
      </c>
      <c r="M23" s="105">
        <v>324802</v>
      </c>
      <c r="N23" s="612">
        <v>604079</v>
      </c>
      <c r="O23" s="605">
        <v>929104</v>
      </c>
      <c r="P23" s="1118">
        <v>1244853</v>
      </c>
      <c r="Q23" s="285"/>
      <c r="R23" s="422"/>
      <c r="S23" s="286"/>
      <c r="T23" s="422"/>
      <c r="U23" s="285"/>
      <c r="V23" s="422"/>
      <c r="W23" s="286"/>
      <c r="X23" s="612"/>
      <c r="Y23" s="402"/>
      <c r="Z23" s="612"/>
      <c r="AA23" s="605"/>
      <c r="AB23" s="612"/>
      <c r="AC23" s="402"/>
      <c r="AD23" s="612"/>
      <c r="AE23" s="605"/>
    </row>
    <row r="24" spans="1:31" ht="16.5" customHeight="1">
      <c r="A24" s="525" t="s">
        <v>344</v>
      </c>
      <c r="B24" s="186" t="s">
        <v>255</v>
      </c>
      <c r="C24" s="199" t="s">
        <v>455</v>
      </c>
      <c r="D24" s="105"/>
      <c r="E24" s="105"/>
      <c r="F24" s="422"/>
      <c r="G24" s="286"/>
      <c r="H24" s="105"/>
      <c r="I24" s="105"/>
      <c r="J24" s="422">
        <v>3001</v>
      </c>
      <c r="K24" s="286">
        <v>5014</v>
      </c>
      <c r="L24" s="105">
        <v>4385</v>
      </c>
      <c r="M24" s="105">
        <v>9160</v>
      </c>
      <c r="N24" s="422">
        <v>122622</v>
      </c>
      <c r="O24" s="286">
        <v>273688.5</v>
      </c>
      <c r="P24" s="285">
        <v>26794</v>
      </c>
      <c r="Q24" s="285"/>
      <c r="R24" s="422"/>
      <c r="S24" s="286"/>
      <c r="T24" s="422"/>
      <c r="U24" s="285"/>
      <c r="V24" s="422"/>
      <c r="W24" s="422"/>
      <c r="X24" s="612"/>
      <c r="Y24" s="402"/>
      <c r="Z24" s="612"/>
      <c r="AA24" s="605"/>
      <c r="AB24" s="612"/>
      <c r="AC24" s="402"/>
      <c r="AD24" s="612"/>
      <c r="AE24" s="605"/>
    </row>
    <row r="25" spans="1:31" ht="16.5" customHeight="1" thickBot="1">
      <c r="A25" s="1028" t="s">
        <v>344</v>
      </c>
      <c r="B25" s="181" t="s">
        <v>187</v>
      </c>
      <c r="C25" s="181" t="s">
        <v>441</v>
      </c>
      <c r="D25" s="105"/>
      <c r="E25" s="105"/>
      <c r="F25" s="285"/>
      <c r="G25" s="535"/>
      <c r="H25" s="719"/>
      <c r="I25" s="105"/>
      <c r="J25" s="285"/>
      <c r="K25" s="535"/>
      <c r="L25" s="719"/>
      <c r="M25" s="105"/>
      <c r="N25" s="285"/>
      <c r="O25" s="535"/>
      <c r="P25" s="1119">
        <v>104504</v>
      </c>
      <c r="Q25" s="285"/>
      <c r="R25" s="285"/>
      <c r="S25" s="285"/>
      <c r="T25" s="285"/>
      <c r="U25" s="285"/>
      <c r="V25" s="285"/>
      <c r="W25" s="535"/>
      <c r="X25" s="402"/>
      <c r="Y25" s="402"/>
      <c r="Z25" s="566"/>
      <c r="AA25" s="567"/>
      <c r="AB25" s="566"/>
      <c r="AC25" s="566"/>
      <c r="AD25" s="402"/>
      <c r="AE25" s="605"/>
    </row>
    <row r="26" spans="1:31" ht="16.5" customHeight="1">
      <c r="A26" s="527" t="s">
        <v>398</v>
      </c>
      <c r="B26" s="193" t="s">
        <v>399</v>
      </c>
      <c r="C26" s="194" t="s">
        <v>213</v>
      </c>
      <c r="D26" s="1029"/>
      <c r="E26" s="1029"/>
      <c r="F26" s="1030"/>
      <c r="G26" s="1031"/>
      <c r="H26" s="1213"/>
      <c r="I26" s="1029"/>
      <c r="J26" s="1032"/>
      <c r="K26" s="1033"/>
      <c r="L26" s="1213">
        <v>3822</v>
      </c>
      <c r="M26" s="1029">
        <v>5213</v>
      </c>
      <c r="N26" s="1050">
        <v>3878</v>
      </c>
      <c r="O26" s="1051">
        <v>10200</v>
      </c>
      <c r="P26" s="1284">
        <v>19546</v>
      </c>
      <c r="Q26" s="1154"/>
      <c r="R26" s="1030"/>
      <c r="S26" s="1031"/>
      <c r="T26" s="1030"/>
      <c r="U26" s="1154"/>
      <c r="V26" s="1030"/>
      <c r="W26" s="1031"/>
      <c r="X26" s="1050"/>
      <c r="Y26" s="1403"/>
      <c r="Z26" s="1050"/>
      <c r="AA26" s="1051"/>
      <c r="AB26" s="1050"/>
      <c r="AC26" s="1403"/>
      <c r="AD26" s="1050"/>
      <c r="AE26" s="1051"/>
    </row>
    <row r="27" spans="1:31" ht="16.5" customHeight="1">
      <c r="A27" s="525" t="s">
        <v>398</v>
      </c>
      <c r="B27" s="186" t="s">
        <v>400</v>
      </c>
      <c r="C27" s="199" t="s">
        <v>213</v>
      </c>
      <c r="D27" s="105"/>
      <c r="E27" s="105"/>
      <c r="F27" s="422"/>
      <c r="G27" s="286"/>
      <c r="H27" s="1212"/>
      <c r="I27" s="105"/>
      <c r="J27" s="573"/>
      <c r="K27" s="567"/>
      <c r="L27" s="1212">
        <v>30</v>
      </c>
      <c r="M27" s="105">
        <v>2088</v>
      </c>
      <c r="N27" s="612">
        <v>3209</v>
      </c>
      <c r="O27" s="605">
        <v>12454</v>
      </c>
      <c r="P27" s="1118">
        <v>26975</v>
      </c>
      <c r="Q27" s="285"/>
      <c r="R27" s="422"/>
      <c r="S27" s="286"/>
      <c r="T27" s="422"/>
      <c r="U27" s="285"/>
      <c r="V27" s="422"/>
      <c r="W27" s="286"/>
      <c r="X27" s="612"/>
      <c r="Y27" s="402"/>
      <c r="Z27" s="612"/>
      <c r="AA27" s="605"/>
      <c r="AB27" s="612"/>
      <c r="AC27" s="402"/>
      <c r="AD27" s="612"/>
      <c r="AE27" s="605"/>
    </row>
    <row r="28" spans="1:31" ht="16.5" customHeight="1" thickBot="1">
      <c r="A28" s="1034" t="s">
        <v>234</v>
      </c>
      <c r="B28" s="1035" t="s">
        <v>399</v>
      </c>
      <c r="C28" s="1036" t="s">
        <v>213</v>
      </c>
      <c r="D28" s="510"/>
      <c r="E28" s="510"/>
      <c r="F28" s="247"/>
      <c r="G28" s="535"/>
      <c r="H28" s="719"/>
      <c r="I28" s="510"/>
      <c r="J28" s="574"/>
      <c r="K28" s="572"/>
      <c r="L28" s="719">
        <v>2001</v>
      </c>
      <c r="M28" s="510">
        <v>5021</v>
      </c>
      <c r="N28" s="694">
        <v>5047</v>
      </c>
      <c r="O28" s="609">
        <v>10089</v>
      </c>
      <c r="P28" s="1119">
        <v>15012</v>
      </c>
      <c r="Q28" s="511"/>
      <c r="R28" s="247"/>
      <c r="S28" s="535"/>
      <c r="T28" s="247"/>
      <c r="U28" s="511"/>
      <c r="V28" s="247"/>
      <c r="W28" s="535"/>
      <c r="X28" s="694"/>
      <c r="Y28" s="595"/>
      <c r="Z28" s="694"/>
      <c r="AA28" s="609"/>
      <c r="AB28" s="694"/>
      <c r="AC28" s="595"/>
      <c r="AD28" s="694"/>
      <c r="AE28" s="609"/>
    </row>
    <row r="29" spans="1:31" ht="16.5" customHeight="1">
      <c r="A29" s="1294" t="s">
        <v>412</v>
      </c>
      <c r="B29" s="1295" t="s">
        <v>187</v>
      </c>
      <c r="C29" s="1296" t="s">
        <v>187</v>
      </c>
      <c r="D29" s="1321"/>
      <c r="E29" s="1321"/>
      <c r="F29" s="1158"/>
      <c r="G29" s="288"/>
      <c r="H29" s="716">
        <v>23962</v>
      </c>
      <c r="I29" s="608">
        <v>24692</v>
      </c>
      <c r="J29" s="1322">
        <v>13812</v>
      </c>
      <c r="K29" s="606">
        <v>24560</v>
      </c>
      <c r="L29" s="716">
        <v>5000</v>
      </c>
      <c r="M29" s="608">
        <v>10000</v>
      </c>
      <c r="N29" s="1322">
        <v>56773</v>
      </c>
      <c r="O29" s="606">
        <v>62705</v>
      </c>
      <c r="P29" s="1117">
        <v>47168</v>
      </c>
      <c r="Q29" s="287"/>
      <c r="R29" s="1158"/>
      <c r="S29" s="288"/>
      <c r="T29" s="1117"/>
      <c r="U29" s="287"/>
      <c r="V29" s="1158"/>
      <c r="W29" s="288"/>
      <c r="X29" s="716"/>
      <c r="Y29" s="608"/>
      <c r="Z29" s="1322"/>
      <c r="AA29" s="606"/>
      <c r="AB29" s="1322"/>
      <c r="AC29" s="608"/>
      <c r="AD29" s="1322"/>
      <c r="AE29" s="606"/>
    </row>
    <row r="30" spans="1:31" ht="16.5" customHeight="1">
      <c r="A30" s="1297" t="s">
        <v>413</v>
      </c>
      <c r="B30" s="1298" t="s">
        <v>187</v>
      </c>
      <c r="C30" s="1299" t="s">
        <v>187</v>
      </c>
      <c r="D30" s="1323"/>
      <c r="E30" s="1323"/>
      <c r="F30" s="1159"/>
      <c r="G30" s="1324"/>
      <c r="H30" s="1325"/>
      <c r="I30" s="1326"/>
      <c r="J30" s="1327"/>
      <c r="K30" s="1328"/>
      <c r="L30" s="1325">
        <v>52064</v>
      </c>
      <c r="M30" s="1326">
        <v>134815</v>
      </c>
      <c r="N30" s="1327">
        <v>162884</v>
      </c>
      <c r="O30" s="1328">
        <v>162466</v>
      </c>
      <c r="P30" s="1329">
        <v>89415</v>
      </c>
      <c r="Q30" s="1330"/>
      <c r="R30" s="1159"/>
      <c r="S30" s="1324"/>
      <c r="T30" s="1329"/>
      <c r="U30" s="1330"/>
      <c r="V30" s="1159"/>
      <c r="W30" s="1324"/>
      <c r="X30" s="1325"/>
      <c r="Y30" s="1326"/>
      <c r="Z30" s="1327"/>
      <c r="AA30" s="1328"/>
      <c r="AB30" s="1327"/>
      <c r="AC30" s="1326"/>
      <c r="AD30" s="1327"/>
      <c r="AE30" s="1328"/>
    </row>
    <row r="31" spans="1:31" ht="16.5" customHeight="1">
      <c r="A31" s="1297" t="s">
        <v>414</v>
      </c>
      <c r="B31" s="1298" t="s">
        <v>187</v>
      </c>
      <c r="C31" s="1299" t="s">
        <v>187</v>
      </c>
      <c r="D31" s="1323"/>
      <c r="E31" s="1323"/>
      <c r="F31" s="1159"/>
      <c r="G31" s="1324"/>
      <c r="H31" s="1325"/>
      <c r="I31" s="1326"/>
      <c r="J31" s="1327"/>
      <c r="K31" s="1328"/>
      <c r="L31" s="1325">
        <v>34624</v>
      </c>
      <c r="M31" s="1326">
        <v>29814</v>
      </c>
      <c r="N31" s="1327">
        <v>151610</v>
      </c>
      <c r="O31" s="1328">
        <v>257223.5</v>
      </c>
      <c r="P31" s="1329">
        <v>603997</v>
      </c>
      <c r="Q31" s="1330"/>
      <c r="R31" s="1159"/>
      <c r="S31" s="1324"/>
      <c r="T31" s="1329"/>
      <c r="U31" s="1330"/>
      <c r="V31" s="1159"/>
      <c r="W31" s="1324"/>
      <c r="X31" s="1325"/>
      <c r="Y31" s="1326"/>
      <c r="Z31" s="1327"/>
      <c r="AA31" s="1328"/>
      <c r="AB31" s="1327"/>
      <c r="AC31" s="1326"/>
      <c r="AD31" s="1327"/>
      <c r="AE31" s="1328"/>
    </row>
    <row r="32" spans="1:31" ht="16.8" customHeight="1" thickBot="1">
      <c r="A32" s="1301" t="s">
        <v>415</v>
      </c>
      <c r="B32" s="1302" t="s">
        <v>187</v>
      </c>
      <c r="C32" s="1303" t="s">
        <v>187</v>
      </c>
      <c r="D32" s="510"/>
      <c r="E32" s="510"/>
      <c r="F32" s="1331"/>
      <c r="G32" s="535"/>
      <c r="H32" s="717">
        <v>9992</v>
      </c>
      <c r="I32" s="595">
        <v>10708</v>
      </c>
      <c r="J32" s="1332">
        <v>12395</v>
      </c>
      <c r="K32" s="609">
        <v>38945</v>
      </c>
      <c r="L32" s="717">
        <v>47259</v>
      </c>
      <c r="M32" s="595">
        <v>26143</v>
      </c>
      <c r="N32" s="1332">
        <v>51962</v>
      </c>
      <c r="O32" s="609">
        <v>52922</v>
      </c>
      <c r="P32" s="1119">
        <v>18836</v>
      </c>
      <c r="Q32" s="511"/>
      <c r="R32" s="1331"/>
      <c r="S32" s="535"/>
      <c r="T32" s="1119"/>
      <c r="U32" s="511"/>
      <c r="V32" s="1331"/>
      <c r="W32" s="535"/>
      <c r="X32" s="717"/>
      <c r="Y32" s="595"/>
      <c r="Z32" s="1332"/>
      <c r="AA32" s="609"/>
      <c r="AB32" s="1332"/>
      <c r="AC32" s="595"/>
      <c r="AD32" s="595"/>
      <c r="AE32" s="609"/>
    </row>
    <row r="33" spans="1:31" ht="16.8" customHeight="1" thickBot="1">
      <c r="A33" s="2233" t="s">
        <v>216</v>
      </c>
      <c r="B33" s="2234"/>
      <c r="C33" s="2234"/>
      <c r="D33" s="540">
        <v>103500</v>
      </c>
      <c r="E33" s="540">
        <v>103600</v>
      </c>
      <c r="F33" s="541">
        <v>26500</v>
      </c>
      <c r="G33" s="542">
        <v>39026</v>
      </c>
      <c r="H33" s="1214">
        <v>12530</v>
      </c>
      <c r="I33" s="540">
        <v>10700</v>
      </c>
      <c r="J33" s="599">
        <v>107</v>
      </c>
      <c r="K33" s="600">
        <v>93</v>
      </c>
      <c r="L33" s="1214">
        <v>8358</v>
      </c>
      <c r="M33" s="540">
        <v>8116</v>
      </c>
      <c r="N33" s="599">
        <v>129382</v>
      </c>
      <c r="O33" s="600">
        <v>149740</v>
      </c>
      <c r="P33" s="1285">
        <v>93573</v>
      </c>
      <c r="Q33" s="1155"/>
      <c r="R33" s="541"/>
      <c r="S33" s="542"/>
      <c r="T33" s="1285"/>
      <c r="U33" s="1155"/>
      <c r="V33" s="541"/>
      <c r="W33" s="542"/>
      <c r="X33" s="1663"/>
      <c r="Y33" s="1664"/>
      <c r="Z33" s="599"/>
      <c r="AA33" s="600"/>
      <c r="AB33" s="599"/>
      <c r="AC33" s="1664"/>
      <c r="AD33" s="1744"/>
      <c r="AE33" s="1745"/>
    </row>
    <row r="34" spans="1:31" ht="16.8" customHeight="1" thickBot="1">
      <c r="A34" s="538" t="s">
        <v>14</v>
      </c>
      <c r="B34" s="524" t="s">
        <v>211</v>
      </c>
      <c r="C34" s="581" t="s">
        <v>211</v>
      </c>
      <c r="D34" s="655">
        <f>SUM(D9:D33)</f>
        <v>2773639</v>
      </c>
      <c r="E34" s="214">
        <f t="shared" ref="E34:Q34" si="0">SUM(E9:E33)</f>
        <v>2940333</v>
      </c>
      <c r="F34" s="214">
        <f t="shared" si="0"/>
        <v>1743732</v>
      </c>
      <c r="G34" s="235">
        <f t="shared" si="0"/>
        <v>1750195</v>
      </c>
      <c r="H34" s="1215">
        <f t="shared" si="0"/>
        <v>2582294</v>
      </c>
      <c r="I34" s="214">
        <f t="shared" si="0"/>
        <v>3028429</v>
      </c>
      <c r="J34" s="214">
        <f t="shared" si="0"/>
        <v>4257832</v>
      </c>
      <c r="K34" s="235">
        <f t="shared" si="0"/>
        <v>4411699</v>
      </c>
      <c r="L34" s="1215">
        <f>SUM(L9:L33)</f>
        <v>7130885</v>
      </c>
      <c r="M34" s="214">
        <f>SUM(M9:M33)</f>
        <v>8314492</v>
      </c>
      <c r="N34" s="214">
        <f>SUM(N9:N33)</f>
        <v>8091389</v>
      </c>
      <c r="O34" s="235">
        <f>SUM(O9:O33)</f>
        <v>8153389</v>
      </c>
      <c r="P34" s="1215">
        <f t="shared" si="0"/>
        <v>6439700</v>
      </c>
      <c r="Q34" s="214">
        <f t="shared" si="0"/>
        <v>0</v>
      </c>
      <c r="R34" s="214">
        <f t="shared" ref="R34:AA34" si="1">SUM(R9:R33)</f>
        <v>0</v>
      </c>
      <c r="S34" s="235">
        <f t="shared" si="1"/>
        <v>0</v>
      </c>
      <c r="T34" s="1215">
        <f t="shared" si="1"/>
        <v>0</v>
      </c>
      <c r="U34" s="214">
        <f t="shared" si="1"/>
        <v>0</v>
      </c>
      <c r="V34" s="214">
        <f t="shared" si="1"/>
        <v>0</v>
      </c>
      <c r="W34" s="235">
        <f t="shared" si="1"/>
        <v>0</v>
      </c>
      <c r="X34" s="1215">
        <f t="shared" si="1"/>
        <v>0</v>
      </c>
      <c r="Y34" s="214">
        <f t="shared" si="1"/>
        <v>0</v>
      </c>
      <c r="Z34" s="214">
        <f t="shared" si="1"/>
        <v>0</v>
      </c>
      <c r="AA34" s="235">
        <f t="shared" si="1"/>
        <v>0</v>
      </c>
      <c r="AB34" s="214">
        <f t="shared" ref="AB34:AC34" si="2">SUM(AB9:AB33)</f>
        <v>0</v>
      </c>
      <c r="AC34" s="214">
        <f t="shared" si="2"/>
        <v>0</v>
      </c>
      <c r="AD34" s="214">
        <f>SUM(AD9:AD32)</f>
        <v>0</v>
      </c>
      <c r="AE34" s="235">
        <f>SUM(AE9:AE32)</f>
        <v>0</v>
      </c>
    </row>
    <row r="35" spans="1:31">
      <c r="D35" s="690"/>
      <c r="E35" s="690"/>
      <c r="F35" s="690"/>
      <c r="G35" s="690"/>
      <c r="H35" s="690"/>
      <c r="I35" s="690"/>
      <c r="J35" s="690"/>
      <c r="Q35" s="690"/>
      <c r="U35" s="690"/>
      <c r="X35" t="s">
        <v>613</v>
      </c>
      <c r="Y35" s="648">
        <f>SUM(X29:Y32)</f>
        <v>0</v>
      </c>
      <c r="AA35" s="648">
        <f>SUM(Z29:AA32)</f>
        <v>0</v>
      </c>
      <c r="AC35" s="648">
        <f>SUM(AB29:AC32)</f>
        <v>0</v>
      </c>
    </row>
    <row r="36" spans="1:31" ht="16.2" thickBot="1">
      <c r="N36" s="688"/>
      <c r="P36" s="688"/>
      <c r="Q36" s="13"/>
      <c r="R36" s="688"/>
      <c r="S36" s="13"/>
      <c r="T36" s="15"/>
      <c r="U36" s="5"/>
      <c r="X36" s="15"/>
      <c r="Y36" s="15"/>
      <c r="Z36" s="15"/>
      <c r="AA36" s="15"/>
      <c r="AB36" s="15"/>
      <c r="AC36" s="15"/>
      <c r="AD36" s="15"/>
      <c r="AE36" s="15"/>
    </row>
    <row r="37" spans="1:31" ht="16.2" thickBot="1">
      <c r="A37" s="518" t="str">
        <f t="shared" ref="A37:A54" si="3">A7</f>
        <v>Optical Transceivers for wireless fronthaul &amp; midhaul networks</v>
      </c>
      <c r="C37" s="1753"/>
      <c r="D37" s="1753"/>
      <c r="E37" s="512"/>
      <c r="F37" s="512"/>
      <c r="G37" s="1753"/>
      <c r="H37" s="1754" t="s">
        <v>178</v>
      </c>
      <c r="I37" s="512"/>
      <c r="J37" s="512"/>
      <c r="K37" s="512"/>
      <c r="L37" s="512"/>
      <c r="M37" s="512"/>
      <c r="N37" s="1753"/>
      <c r="O37" s="1753"/>
      <c r="P37" s="1216" t="s">
        <v>178</v>
      </c>
      <c r="Q37" s="1753"/>
      <c r="R37" s="1753"/>
      <c r="S37" s="1753"/>
      <c r="T37" s="1753"/>
      <c r="U37" s="1753"/>
      <c r="V37" s="1753"/>
      <c r="W37" s="1753"/>
      <c r="X37" s="1216" t="str">
        <f>P37</f>
        <v>ASP: Actual Data</v>
      </c>
      <c r="AB37" s="1"/>
      <c r="AC37" s="1"/>
      <c r="AD37" s="1857" t="s">
        <v>438</v>
      </c>
      <c r="AE37" s="1710"/>
    </row>
    <row r="38" spans="1:31" ht="13.8" thickBot="1">
      <c r="A38" s="372" t="str">
        <f t="shared" si="3"/>
        <v>Data Rate</v>
      </c>
      <c r="B38" s="371" t="str">
        <f t="shared" ref="B38:C54" si="4">B8</f>
        <v>Reach</v>
      </c>
      <c r="C38" s="373" t="str">
        <f t="shared" si="4"/>
        <v>Form Factor</v>
      </c>
      <c r="D38" s="72" t="s">
        <v>100</v>
      </c>
      <c r="E38" s="73" t="s">
        <v>101</v>
      </c>
      <c r="F38" s="73" t="s">
        <v>102</v>
      </c>
      <c r="G38" s="73" t="s">
        <v>103</v>
      </c>
      <c r="H38" s="72" t="str">
        <f t="shared" ref="H38:M38" si="5">H8</f>
        <v>1Q 18</v>
      </c>
      <c r="I38" s="73" t="str">
        <f t="shared" si="5"/>
        <v>2Q 18</v>
      </c>
      <c r="J38" s="73" t="str">
        <f t="shared" si="5"/>
        <v>3Q 18</v>
      </c>
      <c r="K38" s="73" t="str">
        <f t="shared" si="5"/>
        <v>4Q 18</v>
      </c>
      <c r="L38" s="72" t="str">
        <f t="shared" si="5"/>
        <v>1Q 19</v>
      </c>
      <c r="M38" s="73" t="str">
        <f t="shared" si="5"/>
        <v>2Q 19</v>
      </c>
      <c r="N38" s="73" t="s">
        <v>110</v>
      </c>
      <c r="O38" s="73" t="s">
        <v>111</v>
      </c>
      <c r="P38" s="72" t="s">
        <v>112</v>
      </c>
      <c r="Q38" s="73" t="s">
        <v>113</v>
      </c>
      <c r="R38" s="73" t="s">
        <v>114</v>
      </c>
      <c r="S38" s="73" t="s">
        <v>115</v>
      </c>
      <c r="T38" s="72" t="s">
        <v>463</v>
      </c>
      <c r="U38" s="73" t="s">
        <v>464</v>
      </c>
      <c r="V38" s="697" t="s">
        <v>465</v>
      </c>
      <c r="W38" s="76" t="s">
        <v>466</v>
      </c>
      <c r="X38" s="1203" t="s">
        <v>467</v>
      </c>
      <c r="Y38" s="73" t="s">
        <v>468</v>
      </c>
      <c r="Z38" s="73" t="str">
        <f t="shared" ref="Z38:AA38" si="6">Z8</f>
        <v>3Q 22</v>
      </c>
      <c r="AA38" s="76" t="str">
        <f t="shared" si="6"/>
        <v>4Q 22</v>
      </c>
      <c r="AB38" s="1858" t="s">
        <v>568</v>
      </c>
      <c r="AC38" s="76" t="s">
        <v>594</v>
      </c>
      <c r="AD38" s="1372" t="s">
        <v>595</v>
      </c>
      <c r="AE38" s="462" t="s">
        <v>596</v>
      </c>
    </row>
    <row r="39" spans="1:31">
      <c r="A39" s="539" t="str">
        <f t="shared" si="3"/>
        <v>1 Gbps</v>
      </c>
      <c r="B39" s="181" t="str">
        <f t="shared" si="4"/>
        <v>≤ 0.5 km</v>
      </c>
      <c r="C39" s="182" t="str">
        <f t="shared" si="4"/>
        <v>all</v>
      </c>
      <c r="D39" s="184"/>
      <c r="E39" s="184"/>
      <c r="F39" s="184"/>
      <c r="G39" s="197"/>
      <c r="H39" s="184"/>
      <c r="I39" s="184"/>
      <c r="J39" s="575"/>
      <c r="K39" s="550"/>
      <c r="L39" s="184"/>
      <c r="M39" s="184"/>
      <c r="N39" s="575"/>
      <c r="O39" s="550"/>
      <c r="P39" s="1163"/>
      <c r="Q39" s="1163"/>
      <c r="R39" s="1194"/>
      <c r="S39" s="1195"/>
      <c r="T39" s="1156"/>
      <c r="U39" s="283"/>
      <c r="V39" s="283"/>
      <c r="W39" s="284"/>
      <c r="X39" s="1156"/>
      <c r="Y39" s="283"/>
      <c r="Z39" s="1156"/>
      <c r="AA39" s="1780"/>
      <c r="AB39" s="1761"/>
      <c r="AC39" s="283"/>
      <c r="AD39" s="1156"/>
      <c r="AE39" s="284"/>
    </row>
    <row r="40" spans="1:31">
      <c r="A40" s="525" t="str">
        <f t="shared" si="3"/>
        <v>1 Gbps</v>
      </c>
      <c r="B40" s="186" t="str">
        <f t="shared" si="4"/>
        <v>0.5-7 km</v>
      </c>
      <c r="C40" s="187" t="str">
        <f t="shared" si="4"/>
        <v>all</v>
      </c>
      <c r="D40" s="189">
        <v>8</v>
      </c>
      <c r="E40" s="189">
        <v>8</v>
      </c>
      <c r="F40" s="189"/>
      <c r="G40" s="190"/>
      <c r="H40" s="189"/>
      <c r="I40" s="189"/>
      <c r="J40" s="547"/>
      <c r="K40" s="548"/>
      <c r="L40" s="189"/>
      <c r="M40" s="189"/>
      <c r="N40" s="547"/>
      <c r="O40" s="548"/>
      <c r="P40" s="1164"/>
      <c r="Q40" s="1164"/>
      <c r="R40" s="1196"/>
      <c r="S40" s="1197"/>
      <c r="T40" s="1157"/>
      <c r="U40" s="1152"/>
      <c r="V40" s="1152"/>
      <c r="W40" s="1153"/>
      <c r="X40" s="1157"/>
      <c r="Y40" s="1152"/>
      <c r="Z40" s="1157"/>
      <c r="AA40" s="1781"/>
      <c r="AB40" s="1762"/>
      <c r="AC40" s="1763"/>
      <c r="AD40" s="1157"/>
      <c r="AE40" s="1755"/>
    </row>
    <row r="41" spans="1:31" ht="13.8" thickBot="1">
      <c r="A41" s="526" t="str">
        <f t="shared" si="3"/>
        <v>1 Gbps</v>
      </c>
      <c r="B41" s="186" t="str">
        <f t="shared" si="4"/>
        <v>7-20 km</v>
      </c>
      <c r="C41" s="187" t="str">
        <f t="shared" si="4"/>
        <v>all</v>
      </c>
      <c r="D41" s="536">
        <v>9</v>
      </c>
      <c r="E41" s="536">
        <v>9</v>
      </c>
      <c r="F41" s="536"/>
      <c r="G41" s="537"/>
      <c r="H41" s="536"/>
      <c r="I41" s="536"/>
      <c r="J41" s="551"/>
      <c r="K41" s="552"/>
      <c r="L41" s="536"/>
      <c r="M41" s="536"/>
      <c r="N41" s="551"/>
      <c r="O41" s="552"/>
      <c r="P41" s="1165"/>
      <c r="Q41" s="1165"/>
      <c r="R41" s="1198"/>
      <c r="S41" s="1199"/>
      <c r="T41" s="422"/>
      <c r="U41" s="285"/>
      <c r="V41" s="285"/>
      <c r="W41" s="286"/>
      <c r="X41" s="422"/>
      <c r="Y41" s="285"/>
      <c r="Z41" s="422"/>
      <c r="AA41" s="1782"/>
      <c r="AB41" s="1118"/>
      <c r="AC41" s="285"/>
      <c r="AD41" s="422"/>
      <c r="AE41" s="286"/>
    </row>
    <row r="42" spans="1:31">
      <c r="A42" s="527" t="str">
        <f t="shared" si="3"/>
        <v>3 Gbps</v>
      </c>
      <c r="B42" s="193" t="str">
        <f t="shared" si="4"/>
        <v>≤ 0.5 km</v>
      </c>
      <c r="C42" s="194" t="str">
        <f t="shared" si="4"/>
        <v>all</v>
      </c>
      <c r="D42" s="196">
        <v>10</v>
      </c>
      <c r="E42" s="196">
        <v>10</v>
      </c>
      <c r="F42" s="196"/>
      <c r="G42" s="197"/>
      <c r="H42" s="196"/>
      <c r="I42" s="196"/>
      <c r="J42" s="549"/>
      <c r="K42" s="550"/>
      <c r="L42" s="196"/>
      <c r="M42" s="196"/>
      <c r="N42" s="549"/>
      <c r="O42" s="550"/>
      <c r="P42" s="1166"/>
      <c r="Q42" s="1166"/>
      <c r="R42" s="1200"/>
      <c r="S42" s="1195"/>
      <c r="T42" s="1158"/>
      <c r="U42" s="287"/>
      <c r="V42" s="287"/>
      <c r="W42" s="288"/>
      <c r="X42" s="1158"/>
      <c r="Y42" s="287"/>
      <c r="Z42" s="1158"/>
      <c r="AA42" s="1783"/>
      <c r="AB42" s="1117"/>
      <c r="AC42" s="287"/>
      <c r="AD42" s="1158"/>
      <c r="AE42" s="288"/>
    </row>
    <row r="43" spans="1:31">
      <c r="A43" s="525" t="str">
        <f t="shared" si="3"/>
        <v>3 Gbps</v>
      </c>
      <c r="B43" s="186" t="str">
        <f t="shared" si="4"/>
        <v>0.5-7 km</v>
      </c>
      <c r="C43" s="199" t="str">
        <f t="shared" si="4"/>
        <v>all</v>
      </c>
      <c r="D43" s="189">
        <v>15</v>
      </c>
      <c r="E43" s="189">
        <v>15</v>
      </c>
      <c r="F43" s="189"/>
      <c r="G43" s="190"/>
      <c r="H43" s="189"/>
      <c r="I43" s="189"/>
      <c r="J43" s="547"/>
      <c r="K43" s="548"/>
      <c r="L43" s="189"/>
      <c r="M43" s="189"/>
      <c r="N43" s="547"/>
      <c r="O43" s="548"/>
      <c r="P43" s="1164"/>
      <c r="Q43" s="1164"/>
      <c r="R43" s="1196"/>
      <c r="S43" s="1197"/>
      <c r="T43" s="1340"/>
      <c r="U43" s="1341"/>
      <c r="V43" s="1341"/>
      <c r="W43" s="1342"/>
      <c r="X43" s="1340"/>
      <c r="Y43" s="1341"/>
      <c r="Z43" s="1340"/>
      <c r="AA43" s="1784"/>
      <c r="AB43" s="1797"/>
      <c r="AC43" s="1776"/>
      <c r="AD43" s="1340"/>
      <c r="AE43" s="1798"/>
    </row>
    <row r="44" spans="1:31" ht="13.8" thickBot="1">
      <c r="A44" s="526" t="str">
        <f t="shared" si="3"/>
        <v>3 Gbps</v>
      </c>
      <c r="B44" s="201" t="str">
        <f t="shared" si="4"/>
        <v>7-20 km</v>
      </c>
      <c r="C44" s="202" t="str">
        <f t="shared" si="4"/>
        <v>all</v>
      </c>
      <c r="D44" s="536">
        <v>24</v>
      </c>
      <c r="E44" s="536">
        <v>23</v>
      </c>
      <c r="F44" s="536">
        <v>29.384615384615383</v>
      </c>
      <c r="G44" s="537">
        <v>28</v>
      </c>
      <c r="H44" s="536">
        <v>29.678680655026906</v>
      </c>
      <c r="I44" s="536">
        <v>28.796230259806418</v>
      </c>
      <c r="J44" s="617">
        <v>26.196776395935689</v>
      </c>
      <c r="K44" s="618">
        <v>25.401829697396199</v>
      </c>
      <c r="L44" s="536">
        <v>17.571966956609518</v>
      </c>
      <c r="M44" s="536">
        <v>16.585347911860101</v>
      </c>
      <c r="N44" s="617">
        <v>15.508545990530923</v>
      </c>
      <c r="O44" s="618">
        <v>15.200816066305388</v>
      </c>
      <c r="P44" s="1165">
        <v>14.31788892298251</v>
      </c>
      <c r="Q44" s="1165"/>
      <c r="R44" s="1165"/>
      <c r="S44" s="1286"/>
      <c r="T44" s="1343"/>
      <c r="U44" s="1344"/>
      <c r="V44" s="1344"/>
      <c r="W44" s="1345"/>
      <c r="X44" s="1404"/>
      <c r="Y44" s="1405"/>
      <c r="Z44" s="1404"/>
      <c r="AA44" s="1785"/>
      <c r="AB44" s="1842"/>
      <c r="AC44" s="1843"/>
      <c r="AD44" s="2078"/>
      <c r="AE44" s="2079"/>
    </row>
    <row r="45" spans="1:31">
      <c r="A45" s="527" t="str">
        <f t="shared" si="3"/>
        <v>6 Gbps</v>
      </c>
      <c r="B45" s="186" t="str">
        <f t="shared" si="4"/>
        <v>≤ 0.5 km</v>
      </c>
      <c r="C45" s="187" t="str">
        <f t="shared" si="4"/>
        <v>all</v>
      </c>
      <c r="D45" s="184">
        <v>11</v>
      </c>
      <c r="E45" s="196">
        <v>11</v>
      </c>
      <c r="F45" s="196">
        <v>10.743731901489658</v>
      </c>
      <c r="G45" s="197">
        <v>10.307399372854361</v>
      </c>
      <c r="H45" s="206">
        <v>13.856891004451505</v>
      </c>
      <c r="I45" s="196">
        <v>12.362216578094978</v>
      </c>
      <c r="J45" s="613">
        <v>9.9153664935937549</v>
      </c>
      <c r="K45" s="614">
        <v>9.7013556901152551</v>
      </c>
      <c r="L45" s="206">
        <v>8.6753739038772952</v>
      </c>
      <c r="M45" s="196">
        <v>8.6998558456805686</v>
      </c>
      <c r="N45" s="613">
        <v>8.1727033690109714</v>
      </c>
      <c r="O45" s="614">
        <v>7.9413886780509388</v>
      </c>
      <c r="P45" s="1167">
        <v>6.4137212939159429</v>
      </c>
      <c r="Q45" s="1166"/>
      <c r="R45" s="1166"/>
      <c r="S45" s="1287"/>
      <c r="T45" s="1346"/>
      <c r="U45" s="1347"/>
      <c r="V45" s="1347"/>
      <c r="W45" s="1348"/>
      <c r="X45" s="1406"/>
      <c r="Y45" s="1407"/>
      <c r="Z45" s="1406"/>
      <c r="AA45" s="1786"/>
      <c r="AB45" s="1867"/>
      <c r="AC45" s="1868"/>
      <c r="AD45" s="2080"/>
      <c r="AE45" s="2081"/>
    </row>
    <row r="46" spans="1:31">
      <c r="A46" s="525" t="str">
        <f t="shared" si="3"/>
        <v>6 Gbps</v>
      </c>
      <c r="B46" s="186" t="str">
        <f t="shared" si="4"/>
        <v>0.5-7 km</v>
      </c>
      <c r="C46" s="187" t="str">
        <f t="shared" si="4"/>
        <v>all</v>
      </c>
      <c r="D46" s="189">
        <v>15</v>
      </c>
      <c r="E46" s="189">
        <v>15</v>
      </c>
      <c r="F46" s="189">
        <v>15.56405472475889</v>
      </c>
      <c r="G46" s="190">
        <v>14.452739713000561</v>
      </c>
      <c r="H46" s="209">
        <v>14.733874059183769</v>
      </c>
      <c r="I46" s="189">
        <v>13.80790909762611</v>
      </c>
      <c r="J46" s="615">
        <v>13.431115645291738</v>
      </c>
      <c r="K46" s="616">
        <v>13.117399699700762</v>
      </c>
      <c r="L46" s="209">
        <v>11.976877304786807</v>
      </c>
      <c r="M46" s="189">
        <v>11.277360997742383</v>
      </c>
      <c r="N46" s="615">
        <v>10.367939101788606</v>
      </c>
      <c r="O46" s="616">
        <v>10.567747726536979</v>
      </c>
      <c r="P46" s="1168">
        <v>8.7892107516663582</v>
      </c>
      <c r="Q46" s="1164"/>
      <c r="R46" s="1164"/>
      <c r="S46" s="1288"/>
      <c r="T46" s="1340"/>
      <c r="U46" s="1341"/>
      <c r="V46" s="1341"/>
      <c r="W46" s="1342"/>
      <c r="X46" s="1408"/>
      <c r="Y46" s="1409"/>
      <c r="Z46" s="1408"/>
      <c r="AA46" s="1787"/>
      <c r="AB46" s="1869"/>
      <c r="AC46" s="1870"/>
      <c r="AD46" s="2082"/>
      <c r="AE46" s="2083"/>
    </row>
    <row r="47" spans="1:31" ht="13.8" thickBot="1">
      <c r="A47" s="526" t="str">
        <f t="shared" si="3"/>
        <v>6 Gbps</v>
      </c>
      <c r="B47" s="186" t="str">
        <f t="shared" si="4"/>
        <v>7-20 km</v>
      </c>
      <c r="C47" s="187" t="str">
        <f t="shared" si="4"/>
        <v>all</v>
      </c>
      <c r="D47" s="536">
        <v>28</v>
      </c>
      <c r="E47" s="536">
        <v>27</v>
      </c>
      <c r="F47" s="536">
        <v>26.463133531717922</v>
      </c>
      <c r="G47" s="537">
        <v>28.160641353789622</v>
      </c>
      <c r="H47" s="210">
        <v>23.60791146444393</v>
      </c>
      <c r="I47" s="536">
        <v>16.763586763697145</v>
      </c>
      <c r="J47" s="617">
        <v>20.852656379763811</v>
      </c>
      <c r="K47" s="618">
        <v>21.638446967107939</v>
      </c>
      <c r="L47" s="210">
        <v>17.656281841681928</v>
      </c>
      <c r="M47" s="536">
        <v>18.320970088636813</v>
      </c>
      <c r="N47" s="617">
        <v>6.7366854172298893</v>
      </c>
      <c r="O47" s="618">
        <v>7.036979111905513</v>
      </c>
      <c r="P47" s="1169">
        <v>15.502145729254963</v>
      </c>
      <c r="Q47" s="1165"/>
      <c r="R47" s="1165"/>
      <c r="S47" s="1286"/>
      <c r="T47" s="1349"/>
      <c r="U47" s="1350"/>
      <c r="V47" s="1350"/>
      <c r="W47" s="1345"/>
      <c r="X47" s="1410"/>
      <c r="Y47" s="1411"/>
      <c r="Z47" s="1410"/>
      <c r="AA47" s="1788"/>
      <c r="AB47" s="1871"/>
      <c r="AC47" s="1872"/>
      <c r="AD47" s="2084"/>
      <c r="AE47" s="2085"/>
    </row>
    <row r="48" spans="1:31">
      <c r="A48" s="527" t="str">
        <f t="shared" si="3"/>
        <v>10 Gbps</v>
      </c>
      <c r="B48" s="193" t="str">
        <f t="shared" si="4"/>
        <v>≤ 0.5 km</v>
      </c>
      <c r="C48" s="194" t="str">
        <f t="shared" si="4"/>
        <v>SFP+</v>
      </c>
      <c r="D48" s="196"/>
      <c r="E48" s="196"/>
      <c r="F48" s="196"/>
      <c r="G48" s="197"/>
      <c r="H48" s="206"/>
      <c r="I48" s="196"/>
      <c r="J48" s="613">
        <v>0</v>
      </c>
      <c r="K48" s="614">
        <v>0</v>
      </c>
      <c r="L48" s="206">
        <v>0</v>
      </c>
      <c r="M48" s="196">
        <v>0</v>
      </c>
      <c r="N48" s="613">
        <v>0</v>
      </c>
      <c r="O48" s="614">
        <v>0</v>
      </c>
      <c r="P48" s="1167">
        <v>0</v>
      </c>
      <c r="Q48" s="1166"/>
      <c r="R48" s="1166"/>
      <c r="S48" s="1287"/>
      <c r="T48" s="1351"/>
      <c r="U48" s="1352"/>
      <c r="V48" s="1352"/>
      <c r="W48" s="1348"/>
      <c r="X48" s="1412"/>
      <c r="Y48" s="1413"/>
      <c r="Z48" s="1412"/>
      <c r="AA48" s="1789"/>
      <c r="AB48" s="1873"/>
      <c r="AC48" s="1874"/>
      <c r="AD48" s="2086"/>
      <c r="AE48" s="2087"/>
    </row>
    <row r="49" spans="1:31">
      <c r="A49" s="525" t="str">
        <f t="shared" si="3"/>
        <v>10 Gbps</v>
      </c>
      <c r="B49" s="186" t="str">
        <f t="shared" si="4"/>
        <v>0.5-7 km</v>
      </c>
      <c r="C49" s="199" t="str">
        <f t="shared" si="4"/>
        <v>SFP+</v>
      </c>
      <c r="D49" s="189">
        <v>18</v>
      </c>
      <c r="E49" s="189">
        <v>17</v>
      </c>
      <c r="F49" s="189">
        <v>17.381659916440523</v>
      </c>
      <c r="G49" s="190">
        <v>16.344999973953225</v>
      </c>
      <c r="H49" s="209">
        <v>14.352687501856876</v>
      </c>
      <c r="I49" s="189">
        <v>13.743096314032352</v>
      </c>
      <c r="J49" s="615">
        <v>14.28987826060043</v>
      </c>
      <c r="K49" s="616">
        <v>13.43694693431711</v>
      </c>
      <c r="L49" s="209">
        <v>11.17741622515244</v>
      </c>
      <c r="M49" s="189">
        <v>10.788449458852744</v>
      </c>
      <c r="N49" s="615">
        <v>10.164482638687613</v>
      </c>
      <c r="O49" s="616">
        <v>9.7245595820285651</v>
      </c>
      <c r="P49" s="1168">
        <v>8.4657650359596524</v>
      </c>
      <c r="Q49" s="1164"/>
      <c r="R49" s="1164"/>
      <c r="S49" s="1288"/>
      <c r="T49" s="1340"/>
      <c r="U49" s="1341"/>
      <c r="V49" s="1341"/>
      <c r="W49" s="1342"/>
      <c r="X49" s="1408"/>
      <c r="Y49" s="1409"/>
      <c r="Z49" s="1408"/>
      <c r="AA49" s="1787"/>
      <c r="AB49" s="1869"/>
      <c r="AC49" s="1870"/>
      <c r="AD49" s="2082"/>
      <c r="AE49" s="2083"/>
    </row>
    <row r="50" spans="1:31" ht="13.8" thickBot="1">
      <c r="A50" s="526" t="str">
        <f t="shared" si="3"/>
        <v>10 Gbps</v>
      </c>
      <c r="B50" s="201" t="str">
        <f t="shared" si="4"/>
        <v>7-20 km</v>
      </c>
      <c r="C50" s="202" t="str">
        <f t="shared" si="4"/>
        <v>SFP+</v>
      </c>
      <c r="D50" s="536">
        <v>30</v>
      </c>
      <c r="E50" s="536">
        <v>28</v>
      </c>
      <c r="F50" s="536">
        <v>25.177614270178378</v>
      </c>
      <c r="G50" s="537">
        <v>24.209937966976948</v>
      </c>
      <c r="H50" s="210">
        <v>20.057636887608069</v>
      </c>
      <c r="I50" s="536">
        <v>18.679026651216684</v>
      </c>
      <c r="J50" s="617">
        <v>18.984700038694967</v>
      </c>
      <c r="K50" s="618">
        <v>17.295618188550893</v>
      </c>
      <c r="L50" s="210">
        <v>17.301800843212977</v>
      </c>
      <c r="M50" s="536">
        <v>16.047742556360923</v>
      </c>
      <c r="N50" s="617">
        <v>14.247728579668337</v>
      </c>
      <c r="O50" s="618">
        <v>13.320004655386699</v>
      </c>
      <c r="P50" s="1169">
        <v>12.595020787963913</v>
      </c>
      <c r="Q50" s="1165"/>
      <c r="R50" s="1165"/>
      <c r="S50" s="1286"/>
      <c r="T50" s="1343"/>
      <c r="U50" s="1344"/>
      <c r="V50" s="1344"/>
      <c r="W50" s="1353"/>
      <c r="X50" s="1404"/>
      <c r="Y50" s="1405"/>
      <c r="Z50" s="1404"/>
      <c r="AA50" s="1785"/>
      <c r="AB50" s="1875"/>
      <c r="AC50" s="1876"/>
      <c r="AD50" s="2078"/>
      <c r="AE50" s="2079"/>
    </row>
    <row r="51" spans="1:31">
      <c r="A51" s="527" t="str">
        <f t="shared" si="3"/>
        <v>25 Gbps (MMF)</v>
      </c>
      <c r="B51" s="193" t="str">
        <f t="shared" si="4"/>
        <v>≤ 0.5 km</v>
      </c>
      <c r="C51" s="194" t="str">
        <f t="shared" si="4"/>
        <v>SFP28</v>
      </c>
      <c r="D51" s="532"/>
      <c r="E51" s="532"/>
      <c r="F51" s="532"/>
      <c r="G51" s="533"/>
      <c r="H51" s="531"/>
      <c r="I51" s="532"/>
      <c r="J51" s="619"/>
      <c r="K51" s="620"/>
      <c r="L51" s="531"/>
      <c r="M51" s="532"/>
      <c r="N51" s="619"/>
      <c r="O51" s="620"/>
      <c r="P51" s="1170"/>
      <c r="Q51" s="1171"/>
      <c r="R51" s="1171"/>
      <c r="S51" s="1289"/>
      <c r="T51" s="1354"/>
      <c r="U51" s="1355"/>
      <c r="V51" s="1354"/>
      <c r="W51" s="1356"/>
      <c r="X51" s="1414"/>
      <c r="Y51" s="1415"/>
      <c r="Z51" s="1414"/>
      <c r="AA51" s="1790"/>
      <c r="AB51" s="1877"/>
      <c r="AC51" s="1878"/>
      <c r="AD51" s="2057"/>
      <c r="AE51" s="2088"/>
    </row>
    <row r="52" spans="1:31">
      <c r="A52" s="528" t="str">
        <f t="shared" si="3"/>
        <v>25 Gbps (SMF)</v>
      </c>
      <c r="B52" s="186" t="str">
        <f t="shared" si="4"/>
        <v>≤ 0.5 km</v>
      </c>
      <c r="C52" s="199" t="str">
        <f t="shared" si="4"/>
        <v>SFP28</v>
      </c>
      <c r="D52" s="424"/>
      <c r="E52" s="424"/>
      <c r="F52" s="424"/>
      <c r="G52" s="425"/>
      <c r="H52" s="423">
        <v>90.550065019505851</v>
      </c>
      <c r="I52" s="424">
        <v>90.641078449728511</v>
      </c>
      <c r="J52" s="621">
        <v>91.565162110616598</v>
      </c>
      <c r="K52" s="622">
        <v>91.706567796610173</v>
      </c>
      <c r="L52" s="423">
        <v>66.828437326532978</v>
      </c>
      <c r="M52" s="424">
        <v>58.800038572460174</v>
      </c>
      <c r="N52" s="621">
        <v>52.692307692307693</v>
      </c>
      <c r="O52" s="622">
        <v>47.569767441860463</v>
      </c>
      <c r="P52" s="1172">
        <v>30.869565217391305</v>
      </c>
      <c r="Q52" s="1173"/>
      <c r="R52" s="1173"/>
      <c r="S52" s="1290"/>
      <c r="T52" s="1349"/>
      <c r="U52" s="1350"/>
      <c r="V52" s="1349"/>
      <c r="W52" s="1345"/>
      <c r="X52" s="1410"/>
      <c r="Y52" s="1411"/>
      <c r="Z52" s="1410"/>
      <c r="AA52" s="1788"/>
      <c r="AB52" s="1871"/>
      <c r="AC52" s="1872"/>
      <c r="AD52" s="2084"/>
      <c r="AE52" s="2085"/>
    </row>
    <row r="53" spans="1:31">
      <c r="A53" s="525" t="str">
        <f t="shared" si="3"/>
        <v>25 Gbps</v>
      </c>
      <c r="B53" s="186" t="str">
        <f t="shared" si="4"/>
        <v>0.5-7 km</v>
      </c>
      <c r="C53" s="199" t="str">
        <f t="shared" si="4"/>
        <v>Duplex</v>
      </c>
      <c r="D53" s="424"/>
      <c r="E53" s="424"/>
      <c r="F53" s="424"/>
      <c r="G53" s="425"/>
      <c r="H53" s="423">
        <v>129.2289278772875</v>
      </c>
      <c r="I53" s="424">
        <v>131.97171244765471</v>
      </c>
      <c r="J53" s="621">
        <v>39.810204842354921</v>
      </c>
      <c r="K53" s="622">
        <v>93.259905018294248</v>
      </c>
      <c r="L53" s="423">
        <v>87.249745511652634</v>
      </c>
      <c r="M53" s="424">
        <v>68.014075913769076</v>
      </c>
      <c r="N53" s="621">
        <v>59.99091943650258</v>
      </c>
      <c r="O53" s="622">
        <v>53.124116802991431</v>
      </c>
      <c r="P53" s="1172">
        <v>38.001817761312616</v>
      </c>
      <c r="Q53" s="1173"/>
      <c r="R53" s="1173"/>
      <c r="S53" s="1290"/>
      <c r="T53" s="1349"/>
      <c r="U53" s="1350"/>
      <c r="V53" s="1349"/>
      <c r="W53" s="1345"/>
      <c r="X53" s="1410"/>
      <c r="Y53" s="1411"/>
      <c r="Z53" s="1410"/>
      <c r="AA53" s="1788"/>
      <c r="AB53" s="1871"/>
      <c r="AC53" s="1872"/>
      <c r="AD53" s="2084"/>
      <c r="AE53" s="2085"/>
    </row>
    <row r="54" spans="1:31">
      <c r="A54" s="525" t="str">
        <f t="shared" si="3"/>
        <v>25 Gbps</v>
      </c>
      <c r="B54" s="186" t="str">
        <f t="shared" si="4"/>
        <v>7-20 km</v>
      </c>
      <c r="C54" s="199" t="str">
        <f t="shared" si="4"/>
        <v>Duplex</v>
      </c>
      <c r="D54" s="424"/>
      <c r="E54" s="424"/>
      <c r="F54" s="424"/>
      <c r="G54" s="425"/>
      <c r="H54" s="423"/>
      <c r="I54" s="424"/>
      <c r="J54" s="1037">
        <v>126.95768077307564</v>
      </c>
      <c r="K54" s="1038">
        <v>145.79178300757877</v>
      </c>
      <c r="L54" s="423">
        <v>114.76624857468643</v>
      </c>
      <c r="M54" s="424">
        <v>107.30287590001402</v>
      </c>
      <c r="N54" s="621">
        <v>67.286292447948796</v>
      </c>
      <c r="O54" s="622">
        <v>53.950438880705143</v>
      </c>
      <c r="P54" s="1172">
        <v>50.23475404941405</v>
      </c>
      <c r="Q54" s="1173"/>
      <c r="R54" s="1173"/>
      <c r="S54" s="1290"/>
      <c r="T54" s="1349"/>
      <c r="U54" s="1350"/>
      <c r="V54" s="1349"/>
      <c r="W54" s="1345"/>
      <c r="X54" s="1410"/>
      <c r="Y54" s="1411"/>
      <c r="Z54" s="1410"/>
      <c r="AA54" s="1788"/>
      <c r="AB54" s="1871"/>
      <c r="AC54" s="1872"/>
      <c r="AD54" s="2084"/>
      <c r="AE54" s="2085"/>
    </row>
    <row r="55" spans="1:31" ht="13.8" thickBot="1">
      <c r="A55" s="526" t="s">
        <v>344</v>
      </c>
      <c r="B55" s="201" t="s">
        <v>187</v>
      </c>
      <c r="C55" s="202" t="s">
        <v>441</v>
      </c>
      <c r="D55" s="536"/>
      <c r="E55" s="536"/>
      <c r="F55" s="536"/>
      <c r="G55" s="537"/>
      <c r="H55" s="210"/>
      <c r="I55" s="536"/>
      <c r="J55" s="617"/>
      <c r="K55" s="618"/>
      <c r="L55" s="210"/>
      <c r="M55" s="536"/>
      <c r="N55" s="617"/>
      <c r="O55" s="618"/>
      <c r="P55" s="1169">
        <v>56.275339069643344</v>
      </c>
      <c r="Q55" s="1165"/>
      <c r="R55" s="1165"/>
      <c r="S55" s="1286"/>
      <c r="T55" s="1350"/>
      <c r="U55" s="1350"/>
      <c r="V55" s="1350"/>
      <c r="W55" s="1353"/>
      <c r="X55" s="1411"/>
      <c r="Y55" s="1411"/>
      <c r="Z55" s="1411"/>
      <c r="AA55" s="1788"/>
      <c r="AB55" s="1871"/>
      <c r="AC55" s="1872"/>
      <c r="AD55" s="1872"/>
      <c r="AE55" s="2085"/>
    </row>
    <row r="56" spans="1:31">
      <c r="A56" s="527" t="str">
        <f t="shared" ref="A56:C58" si="7">A26</f>
        <v>50 Gbps</v>
      </c>
      <c r="B56" s="193" t="str">
        <f t="shared" si="7"/>
        <v>≤ 10 km</v>
      </c>
      <c r="C56" s="194" t="str">
        <f t="shared" si="7"/>
        <v>QSFP28</v>
      </c>
      <c r="D56" s="1039"/>
      <c r="E56" s="1039"/>
      <c r="F56" s="1039"/>
      <c r="G56" s="1040"/>
      <c r="H56" s="1041"/>
      <c r="I56" s="1039"/>
      <c r="J56" s="1042"/>
      <c r="K56" s="1043"/>
      <c r="L56" s="1041">
        <v>688.41295928771603</v>
      </c>
      <c r="M56" s="1039">
        <v>617.35279710053896</v>
      </c>
      <c r="N56" s="1052">
        <v>315.30101751766119</v>
      </c>
      <c r="O56" s="1053">
        <v>180.78431372549019</v>
      </c>
      <c r="P56" s="1174">
        <v>134.64954713862474</v>
      </c>
      <c r="Q56" s="1175"/>
      <c r="R56" s="1175"/>
      <c r="S56" s="1291"/>
      <c r="T56" s="1174"/>
      <c r="U56" s="1175"/>
      <c r="V56" s="1175"/>
      <c r="W56" s="1291"/>
      <c r="X56" s="1665"/>
      <c r="Y56" s="1666"/>
      <c r="Z56" s="1666"/>
      <c r="AA56" s="1791"/>
      <c r="AB56" s="1879"/>
      <c r="AC56" s="1666"/>
      <c r="AD56" s="1666"/>
      <c r="AE56" s="1667"/>
    </row>
    <row r="57" spans="1:31">
      <c r="A57" s="525" t="str">
        <f t="shared" si="7"/>
        <v>50 Gbps</v>
      </c>
      <c r="B57" s="186" t="str">
        <f t="shared" si="7"/>
        <v>10-20 km</v>
      </c>
      <c r="C57" s="199" t="str">
        <f t="shared" si="7"/>
        <v>QSFP28</v>
      </c>
      <c r="D57" s="424"/>
      <c r="E57" s="424"/>
      <c r="F57" s="424"/>
      <c r="G57" s="425"/>
      <c r="H57" s="423"/>
      <c r="I57" s="424"/>
      <c r="J57" s="553"/>
      <c r="K57" s="554"/>
      <c r="L57" s="423">
        <v>1653.0568836525397</v>
      </c>
      <c r="M57" s="424">
        <v>1449.5424680004101</v>
      </c>
      <c r="N57" s="621">
        <v>474.81254509840397</v>
      </c>
      <c r="O57" s="622">
        <v>618.56851546347286</v>
      </c>
      <c r="P57" s="1172">
        <v>445.91481169761056</v>
      </c>
      <c r="Q57" s="1173"/>
      <c r="R57" s="1173"/>
      <c r="S57" s="1290"/>
      <c r="T57" s="1172"/>
      <c r="U57" s="1173"/>
      <c r="V57" s="1173"/>
      <c r="W57" s="1290"/>
      <c r="X57" s="1674"/>
      <c r="Y57" s="1675"/>
      <c r="Z57" s="1675"/>
      <c r="AA57" s="1792"/>
      <c r="AB57" s="1880"/>
      <c r="AC57" s="1675"/>
      <c r="AD57" s="1675"/>
      <c r="AE57" s="1676"/>
    </row>
    <row r="58" spans="1:31" ht="13.8" thickBot="1">
      <c r="A58" s="1034" t="str">
        <f t="shared" si="7"/>
        <v>100 Gbps</v>
      </c>
      <c r="B58" s="1035" t="str">
        <f t="shared" si="7"/>
        <v>≤ 10 km</v>
      </c>
      <c r="C58" s="1036" t="str">
        <f t="shared" si="7"/>
        <v>QSFP28</v>
      </c>
      <c r="D58" s="536"/>
      <c r="E58" s="536"/>
      <c r="F58" s="536"/>
      <c r="G58" s="537"/>
      <c r="H58" s="210"/>
      <c r="I58" s="536"/>
      <c r="J58" s="551"/>
      <c r="K58" s="552"/>
      <c r="L58" s="210">
        <v>241.24559904456478</v>
      </c>
      <c r="M58" s="536">
        <v>241.45713074074499</v>
      </c>
      <c r="N58" s="617">
        <v>245.37118155572989</v>
      </c>
      <c r="O58" s="618">
        <v>234.01326452078914</v>
      </c>
      <c r="P58" s="1169">
        <v>207.19163100996244</v>
      </c>
      <c r="Q58" s="1165"/>
      <c r="R58" s="1165"/>
      <c r="S58" s="1286"/>
      <c r="T58" s="1169"/>
      <c r="U58" s="1165"/>
      <c r="V58" s="1165"/>
      <c r="W58" s="1286"/>
      <c r="X58" s="1668"/>
      <c r="Y58" s="1669"/>
      <c r="Z58" s="1669"/>
      <c r="AA58" s="1793"/>
      <c r="AB58" s="1881"/>
      <c r="AC58" s="1669"/>
      <c r="AD58" s="1669"/>
      <c r="AE58" s="1670"/>
    </row>
    <row r="59" spans="1:31">
      <c r="A59" s="1294" t="s">
        <v>412</v>
      </c>
      <c r="B59" s="1295" t="str">
        <f>B29</f>
        <v>all</v>
      </c>
      <c r="C59" s="1296" t="str">
        <f>C29</f>
        <v>all</v>
      </c>
      <c r="D59" s="184"/>
      <c r="E59" s="184"/>
      <c r="F59" s="184"/>
      <c r="G59" s="1306"/>
      <c r="H59" s="1307">
        <v>135.59621258208745</v>
      </c>
      <c r="I59" s="1308">
        <v>128.86183033694368</v>
      </c>
      <c r="J59" s="1308">
        <v>213.67414867452877</v>
      </c>
      <c r="K59" s="1309">
        <v>261.53050236023614</v>
      </c>
      <c r="L59" s="1307">
        <v>200</v>
      </c>
      <c r="M59" s="1308">
        <v>190</v>
      </c>
      <c r="N59" s="1308">
        <v>201.19299667095274</v>
      </c>
      <c r="O59" s="1309">
        <v>180.43138505701299</v>
      </c>
      <c r="P59" s="1310">
        <v>82.954969470827677</v>
      </c>
      <c r="Q59" s="1163"/>
      <c r="R59" s="1163"/>
      <c r="S59" s="1311"/>
      <c r="T59" s="1310"/>
      <c r="U59" s="1163"/>
      <c r="V59" s="1163"/>
      <c r="W59" s="1311"/>
      <c r="X59" s="1671"/>
      <c r="Y59" s="1672"/>
      <c r="Z59" s="1672"/>
      <c r="AA59" s="1794"/>
      <c r="AB59" s="722"/>
      <c r="AC59" s="1672"/>
      <c r="AD59" s="1672"/>
      <c r="AE59" s="1673"/>
    </row>
    <row r="60" spans="1:31">
      <c r="A60" s="1297" t="s">
        <v>413</v>
      </c>
      <c r="B60" s="1298" t="s">
        <v>187</v>
      </c>
      <c r="C60" s="1299" t="s">
        <v>187</v>
      </c>
      <c r="D60" s="1312"/>
      <c r="E60" s="1312"/>
      <c r="F60" s="1312"/>
      <c r="G60" s="1313"/>
      <c r="H60" s="1314"/>
      <c r="I60" s="1315"/>
      <c r="J60" s="1315"/>
      <c r="K60" s="1316"/>
      <c r="L60" s="1314">
        <v>330.81610115067514</v>
      </c>
      <c r="M60" s="1315">
        <v>318.06071478031208</v>
      </c>
      <c r="N60" s="1315">
        <v>276.92485832553399</v>
      </c>
      <c r="O60" s="1316">
        <v>244.63386193842459</v>
      </c>
      <c r="P60" s="1168">
        <v>188.27273160086497</v>
      </c>
      <c r="Q60" s="1317"/>
      <c r="R60" s="1317"/>
      <c r="S60" s="1318"/>
      <c r="T60" s="1168"/>
      <c r="U60" s="1317"/>
      <c r="V60" s="1317"/>
      <c r="W60" s="1318"/>
      <c r="X60" s="1674"/>
      <c r="Y60" s="1675"/>
      <c r="Z60" s="1675"/>
      <c r="AA60" s="1792"/>
      <c r="AB60" s="1880"/>
      <c r="AC60" s="1675"/>
      <c r="AD60" s="1675"/>
      <c r="AE60" s="1676"/>
    </row>
    <row r="61" spans="1:31">
      <c r="A61" s="1297" t="s">
        <v>414</v>
      </c>
      <c r="B61" s="1298" t="s">
        <v>187</v>
      </c>
      <c r="C61" s="1299" t="s">
        <v>187</v>
      </c>
      <c r="D61" s="1312"/>
      <c r="E61" s="1312"/>
      <c r="F61" s="1312"/>
      <c r="G61" s="1313"/>
      <c r="H61" s="1314"/>
      <c r="I61" s="1315"/>
      <c r="J61" s="1315"/>
      <c r="K61" s="1316"/>
      <c r="L61" s="1314">
        <v>437.74711135683373</v>
      </c>
      <c r="M61" s="1315">
        <v>355.13261023595771</v>
      </c>
      <c r="N61" s="1315">
        <v>145.91577428196848</v>
      </c>
      <c r="O61" s="1316">
        <v>104.46796986983114</v>
      </c>
      <c r="P61" s="1168">
        <v>44.437977585300231</v>
      </c>
      <c r="Q61" s="1317"/>
      <c r="R61" s="1317"/>
      <c r="S61" s="1318"/>
      <c r="T61" s="1168"/>
      <c r="U61" s="1317"/>
      <c r="V61" s="1317"/>
      <c r="W61" s="1318"/>
      <c r="X61" s="1674"/>
      <c r="Y61" s="1675"/>
      <c r="Z61" s="1675"/>
      <c r="AA61" s="1792"/>
      <c r="AB61" s="1880"/>
      <c r="AC61" s="1675"/>
      <c r="AD61" s="1675"/>
      <c r="AE61" s="1676"/>
    </row>
    <row r="62" spans="1:31" ht="13.8" thickBot="1">
      <c r="A62" s="1301" t="s">
        <v>415</v>
      </c>
      <c r="B62" s="1302" t="str">
        <f>B32</f>
        <v>all</v>
      </c>
      <c r="C62" s="1303" t="str">
        <f>C32</f>
        <v>all</v>
      </c>
      <c r="D62" s="536"/>
      <c r="E62" s="536"/>
      <c r="F62" s="536"/>
      <c r="G62" s="537"/>
      <c r="H62" s="1319">
        <v>206.7714171337071</v>
      </c>
      <c r="I62" s="617">
        <v>244.4004482629806</v>
      </c>
      <c r="J62" s="617">
        <v>587.49310850304971</v>
      </c>
      <c r="K62" s="618">
        <v>496.69677146646353</v>
      </c>
      <c r="L62" s="1319">
        <v>450.36745454445247</v>
      </c>
      <c r="M62" s="617">
        <v>450</v>
      </c>
      <c r="N62" s="617">
        <v>361.51033447519342</v>
      </c>
      <c r="O62" s="618">
        <v>326.30663996069688</v>
      </c>
      <c r="P62" s="1320">
        <v>318.90010864584275</v>
      </c>
      <c r="Q62" s="1165"/>
      <c r="R62" s="1165"/>
      <c r="S62" s="1286"/>
      <c r="T62" s="1320"/>
      <c r="U62" s="1165"/>
      <c r="V62" s="1165"/>
      <c r="W62" s="1286"/>
      <c r="X62" s="1677"/>
      <c r="Y62" s="1669"/>
      <c r="Z62" s="1669"/>
      <c r="AA62" s="1793"/>
      <c r="AB62" s="1012"/>
      <c r="AC62" s="1669"/>
      <c r="AD62" s="1669"/>
      <c r="AE62" s="1670"/>
    </row>
    <row r="63" spans="1:31" ht="13.8" thickBot="1">
      <c r="A63" s="2233" t="str">
        <f>A33</f>
        <v>Miscellaneous</v>
      </c>
      <c r="B63" s="2234"/>
      <c r="C63" s="2234"/>
      <c r="D63" s="544">
        <v>17</v>
      </c>
      <c r="E63" s="544">
        <v>17</v>
      </c>
      <c r="F63" s="544">
        <v>35.169811320754718</v>
      </c>
      <c r="G63" s="545">
        <v>38.384666632501407</v>
      </c>
      <c r="H63" s="543">
        <v>25</v>
      </c>
      <c r="I63" s="544">
        <v>24</v>
      </c>
      <c r="J63" s="601">
        <v>1000.9481676928099</v>
      </c>
      <c r="K63" s="602">
        <v>904.00495435558503</v>
      </c>
      <c r="L63" s="543">
        <v>13.986599664991624</v>
      </c>
      <c r="M63" s="544">
        <v>13.998028585510104</v>
      </c>
      <c r="N63" s="601">
        <v>12.9536256975468</v>
      </c>
      <c r="O63" s="602">
        <v>11.959930546280219</v>
      </c>
      <c r="P63" s="1176">
        <v>5.6530453052041603</v>
      </c>
      <c r="Q63" s="1177"/>
      <c r="R63" s="1177"/>
      <c r="S63" s="1292"/>
      <c r="T63" s="1176"/>
      <c r="U63" s="1177"/>
      <c r="V63" s="1177"/>
      <c r="W63" s="1292"/>
      <c r="X63" s="1678"/>
      <c r="Y63" s="1679"/>
      <c r="Z63" s="1679"/>
      <c r="AA63" s="1795"/>
      <c r="AB63" s="1799"/>
      <c r="AC63" s="1800"/>
      <c r="AD63" s="1800"/>
      <c r="AE63" s="1680"/>
    </row>
    <row r="64" spans="1:31" ht="13.8" thickBot="1">
      <c r="A64" s="538" t="str">
        <f>A34</f>
        <v>Total</v>
      </c>
      <c r="B64" s="524" t="str">
        <f>B34</f>
        <v>All</v>
      </c>
      <c r="C64" s="213" t="str">
        <f>C34</f>
        <v>All</v>
      </c>
      <c r="D64" s="217">
        <f t="shared" ref="D64:O64" si="8">D94/D34</f>
        <v>17.970838670785923</v>
      </c>
      <c r="E64" s="215">
        <f t="shared" si="8"/>
        <v>17.22171400314182</v>
      </c>
      <c r="F64" s="215">
        <f t="shared" si="8"/>
        <v>17.399484426225261</v>
      </c>
      <c r="G64" s="216">
        <f t="shared" si="8"/>
        <v>17.724114396535551</v>
      </c>
      <c r="H64" s="217">
        <f t="shared" si="8"/>
        <v>18.378159300424869</v>
      </c>
      <c r="I64" s="215">
        <f t="shared" si="8"/>
        <v>16.63819630041661</v>
      </c>
      <c r="J64" s="215">
        <f t="shared" si="8"/>
        <v>18.291980272518721</v>
      </c>
      <c r="K64" s="216">
        <f t="shared" si="8"/>
        <v>21.843579854788253</v>
      </c>
      <c r="L64" s="217">
        <f t="shared" si="8"/>
        <v>22.284753185750255</v>
      </c>
      <c r="M64" s="215">
        <f t="shared" si="8"/>
        <v>23.629285501219726</v>
      </c>
      <c r="N64" s="603">
        <f t="shared" si="8"/>
        <v>27.669104274147113</v>
      </c>
      <c r="O64" s="604">
        <f t="shared" si="8"/>
        <v>29.856583770081535</v>
      </c>
      <c r="P64" s="1293">
        <v>26.35678154537953</v>
      </c>
      <c r="Q64" s="1161">
        <v>26.265635388473555</v>
      </c>
      <c r="R64" s="1161">
        <v>26.265635388473555</v>
      </c>
      <c r="S64" s="1162">
        <v>26.265635388473555</v>
      </c>
      <c r="T64" s="1293">
        <v>26.35678154537953</v>
      </c>
      <c r="U64" s="1161">
        <v>26.265635388473555</v>
      </c>
      <c r="V64" s="1161">
        <v>26.265635388473555</v>
      </c>
      <c r="W64" s="1162">
        <v>26.265635388473555</v>
      </c>
      <c r="X64" s="1293">
        <v>26.35678154537953</v>
      </c>
      <c r="Y64" s="1161">
        <v>26.265635388473555</v>
      </c>
      <c r="Z64" s="1161">
        <v>26.35678154537953</v>
      </c>
      <c r="AA64" s="1796">
        <v>26.265635388473555</v>
      </c>
      <c r="AB64" s="1801"/>
      <c r="AC64" s="1161"/>
      <c r="AD64" s="1161"/>
      <c r="AE64" s="1162"/>
    </row>
    <row r="66" spans="1:31" ht="16.2" thickBot="1">
      <c r="N66" s="688"/>
      <c r="P66" s="688"/>
      <c r="Q66" s="13"/>
      <c r="R66" s="688"/>
      <c r="S66" s="13"/>
    </row>
    <row r="67" spans="1:31" ht="16.2" thickBot="1">
      <c r="A67" s="518" t="str">
        <f t="shared" ref="A67:A84" si="9">A7</f>
        <v>Optical Transceivers for wireless fronthaul &amp; midhaul networks</v>
      </c>
      <c r="C67" s="1753"/>
      <c r="D67" s="1753"/>
      <c r="E67" s="512"/>
      <c r="F67" s="512"/>
      <c r="G67" s="1753"/>
      <c r="H67" s="1754" t="s">
        <v>165</v>
      </c>
      <c r="I67" s="512"/>
      <c r="J67" s="512"/>
      <c r="K67" s="512"/>
      <c r="L67" s="512"/>
      <c r="M67" s="512"/>
      <c r="N67" s="1753"/>
      <c r="O67" s="1753"/>
      <c r="P67" s="1216" t="s">
        <v>165</v>
      </c>
      <c r="Q67" s="1753"/>
      <c r="R67" s="1753"/>
      <c r="S67" s="1753"/>
      <c r="T67" s="1753"/>
      <c r="U67" s="1753"/>
      <c r="V67" s="1753"/>
      <c r="W67" s="1753"/>
      <c r="X67" s="1216" t="str">
        <f>$P$67</f>
        <v>Sales: Actual Data</v>
      </c>
      <c r="AB67" s="1"/>
      <c r="AC67" s="1"/>
      <c r="AD67" s="1857" t="s">
        <v>612</v>
      </c>
      <c r="AE67" s="1710"/>
    </row>
    <row r="68" spans="1:31" ht="13.8" thickBot="1">
      <c r="A68" s="372" t="str">
        <f t="shared" si="9"/>
        <v>Data Rate</v>
      </c>
      <c r="B68" s="371" t="str">
        <f t="shared" ref="B68:C84" si="10">B8</f>
        <v>Reach</v>
      </c>
      <c r="C68" s="373" t="str">
        <f t="shared" si="10"/>
        <v>Form Factor</v>
      </c>
      <c r="D68" s="72" t="s">
        <v>100</v>
      </c>
      <c r="E68" s="73" t="s">
        <v>101</v>
      </c>
      <c r="F68" s="73" t="s">
        <v>102</v>
      </c>
      <c r="G68" s="73" t="s">
        <v>103</v>
      </c>
      <c r="H68" s="72" t="str">
        <f t="shared" ref="H68:M68" si="11">H8</f>
        <v>1Q 18</v>
      </c>
      <c r="I68" s="73" t="str">
        <f t="shared" si="11"/>
        <v>2Q 18</v>
      </c>
      <c r="J68" s="72" t="str">
        <f t="shared" si="11"/>
        <v>3Q 18</v>
      </c>
      <c r="K68" s="73" t="str">
        <f t="shared" si="11"/>
        <v>4Q 18</v>
      </c>
      <c r="L68" s="72" t="str">
        <f t="shared" si="11"/>
        <v>1Q 19</v>
      </c>
      <c r="M68" s="73" t="str">
        <f t="shared" si="11"/>
        <v>2Q 19</v>
      </c>
      <c r="N68" s="72" t="s">
        <v>110</v>
      </c>
      <c r="O68" s="73" t="s">
        <v>111</v>
      </c>
      <c r="P68" s="72" t="s">
        <v>112</v>
      </c>
      <c r="Q68" s="73" t="s">
        <v>113</v>
      </c>
      <c r="R68" s="73" t="s">
        <v>114</v>
      </c>
      <c r="S68" s="73" t="s">
        <v>115</v>
      </c>
      <c r="T68" s="72" t="s">
        <v>463</v>
      </c>
      <c r="U68" s="73" t="s">
        <v>464</v>
      </c>
      <c r="V68" s="697" t="s">
        <v>465</v>
      </c>
      <c r="W68" s="76" t="s">
        <v>466</v>
      </c>
      <c r="X68" s="1203" t="s">
        <v>467</v>
      </c>
      <c r="Y68" s="73" t="s">
        <v>468</v>
      </c>
      <c r="Z68" s="73" t="str">
        <f t="shared" ref="Z68:AA68" si="12">Z8</f>
        <v>3Q 22</v>
      </c>
      <c r="AA68" s="76" t="str">
        <f t="shared" si="12"/>
        <v>4Q 22</v>
      </c>
      <c r="AB68" s="1858" t="s">
        <v>568</v>
      </c>
      <c r="AC68" s="76" t="s">
        <v>594</v>
      </c>
      <c r="AD68" s="1372" t="s">
        <v>595</v>
      </c>
      <c r="AE68" s="462" t="s">
        <v>596</v>
      </c>
    </row>
    <row r="69" spans="1:31">
      <c r="A69" s="539" t="str">
        <f t="shared" si="9"/>
        <v>1 Gbps</v>
      </c>
      <c r="B69" s="181" t="str">
        <f t="shared" si="10"/>
        <v>≤ 0.5 km</v>
      </c>
      <c r="C69" s="182" t="str">
        <f t="shared" si="10"/>
        <v>all</v>
      </c>
      <c r="D69" s="656">
        <f t="shared" ref="D69:H80" si="13">D9*D39</f>
        <v>0</v>
      </c>
      <c r="E69" s="169">
        <f t="shared" si="13"/>
        <v>0</v>
      </c>
      <c r="F69" s="156">
        <f t="shared" si="13"/>
        <v>0</v>
      </c>
      <c r="G69" s="156">
        <f t="shared" si="13"/>
        <v>0</v>
      </c>
      <c r="H69" s="185">
        <f t="shared" si="13"/>
        <v>0</v>
      </c>
      <c r="I69" s="169"/>
      <c r="J69" s="156"/>
      <c r="K69" s="156"/>
      <c r="L69" s="185"/>
      <c r="M69" s="169"/>
      <c r="N69" s="156"/>
      <c r="O69" s="156"/>
      <c r="P69" s="998"/>
      <c r="Q69" s="999"/>
      <c r="R69" s="555"/>
      <c r="S69" s="1000"/>
      <c r="T69" s="1157"/>
      <c r="U69" s="283"/>
      <c r="V69" s="283"/>
      <c r="W69" s="284"/>
      <c r="X69" s="1156"/>
      <c r="Y69" s="283"/>
      <c r="Z69" s="1156"/>
      <c r="AA69" s="283"/>
      <c r="AB69" s="1156"/>
      <c r="AC69" s="283"/>
      <c r="AD69" s="1156"/>
      <c r="AE69" s="283"/>
    </row>
    <row r="70" spans="1:31">
      <c r="A70" s="525" t="str">
        <f t="shared" si="9"/>
        <v>1 Gbps</v>
      </c>
      <c r="B70" s="186" t="str">
        <f t="shared" si="10"/>
        <v>0.5-7 km</v>
      </c>
      <c r="C70" s="187" t="str">
        <f t="shared" si="10"/>
        <v>all</v>
      </c>
      <c r="D70" s="157">
        <f t="shared" si="13"/>
        <v>400000</v>
      </c>
      <c r="E70" s="169">
        <f t="shared" si="13"/>
        <v>320000</v>
      </c>
      <c r="F70" s="156">
        <f t="shared" si="13"/>
        <v>0</v>
      </c>
      <c r="G70" s="191">
        <f t="shared" si="13"/>
        <v>0</v>
      </c>
      <c r="H70" s="156">
        <f t="shared" si="13"/>
        <v>0</v>
      </c>
      <c r="I70" s="169"/>
      <c r="J70" s="156"/>
      <c r="K70" s="191"/>
      <c r="L70" s="156"/>
      <c r="M70" s="169"/>
      <c r="N70" s="156"/>
      <c r="O70" s="191"/>
      <c r="P70" s="555"/>
      <c r="Q70" s="999"/>
      <c r="R70" s="555"/>
      <c r="S70" s="1000"/>
      <c r="T70" s="1157"/>
      <c r="U70" s="1152"/>
      <c r="V70" s="1152"/>
      <c r="W70" s="1153"/>
      <c r="X70" s="1157"/>
      <c r="Y70" s="1152"/>
      <c r="Z70" s="1157"/>
      <c r="AA70" s="1152"/>
      <c r="AB70" s="1157"/>
      <c r="AC70" s="1152"/>
      <c r="AD70" s="1157"/>
      <c r="AE70" s="1755"/>
    </row>
    <row r="71" spans="1:31" ht="13.8" thickBot="1">
      <c r="A71" s="526" t="str">
        <f t="shared" si="9"/>
        <v>1 Gbps</v>
      </c>
      <c r="B71" s="186" t="str">
        <f t="shared" si="10"/>
        <v>7-20 km</v>
      </c>
      <c r="C71" s="187" t="str">
        <f t="shared" si="10"/>
        <v>all</v>
      </c>
      <c r="D71" s="157">
        <f t="shared" si="13"/>
        <v>58500</v>
      </c>
      <c r="E71" s="156">
        <f t="shared" si="13"/>
        <v>42300</v>
      </c>
      <c r="F71" s="156">
        <f t="shared" si="13"/>
        <v>0</v>
      </c>
      <c r="G71" s="191">
        <f t="shared" si="13"/>
        <v>0</v>
      </c>
      <c r="H71" s="156">
        <f t="shared" si="13"/>
        <v>0</v>
      </c>
      <c r="I71" s="156"/>
      <c r="J71" s="156"/>
      <c r="K71" s="191"/>
      <c r="L71" s="156"/>
      <c r="M71" s="156"/>
      <c r="N71" s="156"/>
      <c r="O71" s="191"/>
      <c r="P71" s="555"/>
      <c r="Q71" s="555"/>
      <c r="R71" s="555"/>
      <c r="S71" s="1000"/>
      <c r="T71" s="422"/>
      <c r="U71" s="285"/>
      <c r="V71" s="285"/>
      <c r="W71" s="286"/>
      <c r="X71" s="422"/>
      <c r="Y71" s="285"/>
      <c r="Z71" s="422"/>
      <c r="AA71" s="285"/>
      <c r="AB71" s="422"/>
      <c r="AC71" s="285"/>
      <c r="AD71" s="422"/>
      <c r="AE71" s="286"/>
    </row>
    <row r="72" spans="1:31">
      <c r="A72" s="527" t="str">
        <f t="shared" si="9"/>
        <v>3 Gbps</v>
      </c>
      <c r="B72" s="193" t="str">
        <f t="shared" si="10"/>
        <v>≤ 0.5 km</v>
      </c>
      <c r="C72" s="194" t="str">
        <f t="shared" si="10"/>
        <v>all</v>
      </c>
      <c r="D72" s="151">
        <f t="shared" si="13"/>
        <v>0</v>
      </c>
      <c r="E72" s="150">
        <f t="shared" si="13"/>
        <v>0</v>
      </c>
      <c r="F72" s="150">
        <f t="shared" si="13"/>
        <v>0</v>
      </c>
      <c r="G72" s="198">
        <f t="shared" si="13"/>
        <v>0</v>
      </c>
      <c r="H72" s="150">
        <f t="shared" si="13"/>
        <v>0</v>
      </c>
      <c r="I72" s="150"/>
      <c r="J72" s="150"/>
      <c r="K72" s="198"/>
      <c r="L72" s="150">
        <f t="shared" ref="L72:M84" si="14">L12*L42</f>
        <v>0</v>
      </c>
      <c r="M72" s="150">
        <f t="shared" si="14"/>
        <v>0</v>
      </c>
      <c r="N72" s="150">
        <f t="shared" ref="N72:Q74" si="15">N42*N12</f>
        <v>0</v>
      </c>
      <c r="O72" s="198">
        <f t="shared" si="15"/>
        <v>0</v>
      </c>
      <c r="P72" s="556"/>
      <c r="Q72" s="556"/>
      <c r="R72" s="556"/>
      <c r="S72" s="1001"/>
      <c r="T72" s="556">
        <f t="shared" ref="T72:AA74" si="16">T42*T12</f>
        <v>0</v>
      </c>
      <c r="U72" s="556">
        <f t="shared" si="16"/>
        <v>0</v>
      </c>
      <c r="V72" s="556">
        <f t="shared" si="16"/>
        <v>0</v>
      </c>
      <c r="W72" s="1001">
        <f t="shared" si="16"/>
        <v>0</v>
      </c>
      <c r="X72" s="556">
        <f t="shared" si="16"/>
        <v>0</v>
      </c>
      <c r="Y72" s="556">
        <f t="shared" si="16"/>
        <v>0</v>
      </c>
      <c r="Z72" s="556">
        <f t="shared" si="16"/>
        <v>0</v>
      </c>
      <c r="AA72" s="556">
        <f t="shared" si="16"/>
        <v>0</v>
      </c>
      <c r="AB72" s="556">
        <f t="shared" ref="AB72:AE72" si="17">AB42*AB12</f>
        <v>0</v>
      </c>
      <c r="AC72" s="556">
        <f t="shared" si="17"/>
        <v>0</v>
      </c>
      <c r="AD72" s="556">
        <f t="shared" si="17"/>
        <v>0</v>
      </c>
      <c r="AE72" s="1769">
        <f t="shared" si="17"/>
        <v>0</v>
      </c>
    </row>
    <row r="73" spans="1:31">
      <c r="A73" s="525" t="str">
        <f t="shared" si="9"/>
        <v>3 Gbps</v>
      </c>
      <c r="B73" s="186" t="str">
        <f t="shared" si="10"/>
        <v>0.5-7 km</v>
      </c>
      <c r="C73" s="199" t="str">
        <f t="shared" si="10"/>
        <v>all</v>
      </c>
      <c r="D73" s="157">
        <f t="shared" si="13"/>
        <v>1507500</v>
      </c>
      <c r="E73" s="156">
        <f t="shared" si="13"/>
        <v>1504500</v>
      </c>
      <c r="F73" s="156">
        <f t="shared" si="13"/>
        <v>0</v>
      </c>
      <c r="G73" s="191">
        <f t="shared" si="13"/>
        <v>0</v>
      </c>
      <c r="H73" s="156">
        <f t="shared" si="13"/>
        <v>0</v>
      </c>
      <c r="I73" s="156"/>
      <c r="J73" s="156"/>
      <c r="K73" s="191"/>
      <c r="L73" s="156">
        <f t="shared" si="14"/>
        <v>0</v>
      </c>
      <c r="M73" s="156">
        <f t="shared" si="14"/>
        <v>0</v>
      </c>
      <c r="N73" s="156">
        <f t="shared" si="15"/>
        <v>0</v>
      </c>
      <c r="O73" s="191">
        <f t="shared" si="15"/>
        <v>0</v>
      </c>
      <c r="P73" s="555"/>
      <c r="Q73" s="555"/>
      <c r="R73" s="555"/>
      <c r="S73" s="1000"/>
      <c r="T73" s="555">
        <f t="shared" si="16"/>
        <v>0</v>
      </c>
      <c r="U73" s="555">
        <f t="shared" si="16"/>
        <v>0</v>
      </c>
      <c r="V73" s="555">
        <f t="shared" si="16"/>
        <v>0</v>
      </c>
      <c r="W73" s="1000">
        <f t="shared" si="16"/>
        <v>0</v>
      </c>
      <c r="X73" s="555">
        <f t="shared" si="16"/>
        <v>0</v>
      </c>
      <c r="Y73" s="555">
        <f t="shared" si="16"/>
        <v>0</v>
      </c>
      <c r="Z73" s="555">
        <f t="shared" si="16"/>
        <v>0</v>
      </c>
      <c r="AA73" s="555">
        <f t="shared" si="16"/>
        <v>0</v>
      </c>
      <c r="AB73" s="555">
        <f t="shared" ref="AB73:AE73" si="18">AB43*AB13</f>
        <v>0</v>
      </c>
      <c r="AC73" s="555">
        <f t="shared" si="18"/>
        <v>0</v>
      </c>
      <c r="AD73" s="555">
        <f t="shared" si="18"/>
        <v>0</v>
      </c>
      <c r="AE73" s="1770">
        <f t="shared" si="18"/>
        <v>0</v>
      </c>
    </row>
    <row r="74" spans="1:31" ht="13.8" thickBot="1">
      <c r="A74" s="526" t="str">
        <f t="shared" si="9"/>
        <v>3 Gbps</v>
      </c>
      <c r="B74" s="201" t="str">
        <f t="shared" si="10"/>
        <v>7-20 km</v>
      </c>
      <c r="C74" s="202" t="str">
        <f t="shared" si="10"/>
        <v>all</v>
      </c>
      <c r="D74" s="653">
        <f t="shared" si="13"/>
        <v>1601328</v>
      </c>
      <c r="E74" s="203">
        <f t="shared" si="13"/>
        <v>416806</v>
      </c>
      <c r="F74" s="203">
        <f t="shared" si="13"/>
        <v>382000</v>
      </c>
      <c r="G74" s="204">
        <f t="shared" si="13"/>
        <v>448000</v>
      </c>
      <c r="H74" s="203">
        <f t="shared" si="13"/>
        <v>1533260</v>
      </c>
      <c r="I74" s="203">
        <f t="shared" ref="I74:K81" si="19">I14*I44</f>
        <v>1130540</v>
      </c>
      <c r="J74" s="203">
        <f t="shared" si="19"/>
        <v>1956873</v>
      </c>
      <c r="K74" s="204">
        <f t="shared" si="19"/>
        <v>1443840</v>
      </c>
      <c r="L74" s="203">
        <f t="shared" si="14"/>
        <v>1044425</v>
      </c>
      <c r="M74" s="203">
        <f t="shared" si="14"/>
        <v>992036.00000000012</v>
      </c>
      <c r="N74" s="203">
        <f t="shared" si="15"/>
        <v>1041647</v>
      </c>
      <c r="O74" s="204">
        <f t="shared" si="15"/>
        <v>1192124</v>
      </c>
      <c r="P74" s="558">
        <f t="shared" si="15"/>
        <v>466620</v>
      </c>
      <c r="Q74" s="558">
        <f t="shared" si="15"/>
        <v>0</v>
      </c>
      <c r="R74" s="558">
        <f>R44*R14</f>
        <v>0</v>
      </c>
      <c r="S74" s="1002">
        <f>S44*S14</f>
        <v>0</v>
      </c>
      <c r="T74" s="558">
        <f t="shared" si="16"/>
        <v>0</v>
      </c>
      <c r="U74" s="558">
        <f t="shared" si="16"/>
        <v>0</v>
      </c>
      <c r="V74" s="558">
        <f t="shared" si="16"/>
        <v>0</v>
      </c>
      <c r="W74" s="1002">
        <f t="shared" si="16"/>
        <v>0</v>
      </c>
      <c r="X74" s="558">
        <f t="shared" si="16"/>
        <v>0</v>
      </c>
      <c r="Y74" s="558">
        <f t="shared" si="16"/>
        <v>0</v>
      </c>
      <c r="Z74" s="558">
        <f t="shared" si="16"/>
        <v>0</v>
      </c>
      <c r="AA74" s="558">
        <f t="shared" si="16"/>
        <v>0</v>
      </c>
      <c r="AB74" s="558">
        <f t="shared" ref="AB74:AE74" si="20">AB44*AB14</f>
        <v>0</v>
      </c>
      <c r="AC74" s="558">
        <f t="shared" si="20"/>
        <v>0</v>
      </c>
      <c r="AD74" s="558">
        <f t="shared" si="20"/>
        <v>0</v>
      </c>
      <c r="AE74" s="1771">
        <f t="shared" si="20"/>
        <v>0</v>
      </c>
    </row>
    <row r="75" spans="1:31">
      <c r="A75" s="527" t="str">
        <f t="shared" si="9"/>
        <v>6 Gbps</v>
      </c>
      <c r="B75" s="186" t="str">
        <f t="shared" si="10"/>
        <v>≤ 0.5 km</v>
      </c>
      <c r="C75" s="187" t="str">
        <f t="shared" si="10"/>
        <v>all</v>
      </c>
      <c r="D75" s="657">
        <f t="shared" si="13"/>
        <v>5298106</v>
      </c>
      <c r="E75" s="207">
        <f t="shared" si="13"/>
        <v>6160495</v>
      </c>
      <c r="F75" s="207">
        <f t="shared" si="13"/>
        <v>4734161.0000000093</v>
      </c>
      <c r="G75" s="208">
        <f t="shared" si="13"/>
        <v>3050413.0000000112</v>
      </c>
      <c r="H75" s="207">
        <f t="shared" si="13"/>
        <v>8488773.0000000056</v>
      </c>
      <c r="I75" s="207">
        <f t="shared" si="19"/>
        <v>6850707.7500000037</v>
      </c>
      <c r="J75" s="207">
        <f t="shared" si="19"/>
        <v>4663415.0000000019</v>
      </c>
      <c r="K75" s="208">
        <f t="shared" si="19"/>
        <v>4795253.9999999991</v>
      </c>
      <c r="L75" s="207">
        <f t="shared" si="14"/>
        <v>6814471.5</v>
      </c>
      <c r="M75" s="207">
        <f t="shared" si="14"/>
        <v>5854045.9999999981</v>
      </c>
      <c r="N75" s="207">
        <f t="shared" ref="N75:Q84" si="21">N15*N45</f>
        <v>5678664</v>
      </c>
      <c r="O75" s="208">
        <f t="shared" si="21"/>
        <v>5419696</v>
      </c>
      <c r="P75" s="1003">
        <f t="shared" si="21"/>
        <v>2351193.2616940578</v>
      </c>
      <c r="Q75" s="1003">
        <f t="shared" si="21"/>
        <v>0</v>
      </c>
      <c r="R75" s="1003">
        <f t="shared" ref="R75:AA75" si="22">R15*R45</f>
        <v>0</v>
      </c>
      <c r="S75" s="1004">
        <f t="shared" si="22"/>
        <v>0</v>
      </c>
      <c r="T75" s="1003">
        <f t="shared" si="22"/>
        <v>0</v>
      </c>
      <c r="U75" s="1003">
        <f t="shared" si="22"/>
        <v>0</v>
      </c>
      <c r="V75" s="1003">
        <f t="shared" si="22"/>
        <v>0</v>
      </c>
      <c r="W75" s="1004">
        <f t="shared" si="22"/>
        <v>0</v>
      </c>
      <c r="X75" s="1003">
        <f t="shared" si="22"/>
        <v>0</v>
      </c>
      <c r="Y75" s="1003">
        <f t="shared" si="22"/>
        <v>0</v>
      </c>
      <c r="Z75" s="1003">
        <f t="shared" si="22"/>
        <v>0</v>
      </c>
      <c r="AA75" s="1003">
        <f t="shared" si="22"/>
        <v>0</v>
      </c>
      <c r="AB75" s="1003">
        <f t="shared" ref="AB75:AE75" si="23">AB15*AB45</f>
        <v>0</v>
      </c>
      <c r="AC75" s="1003">
        <f t="shared" si="23"/>
        <v>0</v>
      </c>
      <c r="AD75" s="1003">
        <f t="shared" si="23"/>
        <v>0</v>
      </c>
      <c r="AE75" s="1769">
        <f t="shared" si="23"/>
        <v>0</v>
      </c>
    </row>
    <row r="76" spans="1:31">
      <c r="A76" s="525" t="str">
        <f t="shared" si="9"/>
        <v>6 Gbps</v>
      </c>
      <c r="B76" s="186" t="str">
        <f t="shared" si="10"/>
        <v>0.5-7 km</v>
      </c>
      <c r="C76" s="187" t="str">
        <f t="shared" si="10"/>
        <v>all</v>
      </c>
      <c r="D76" s="157">
        <f t="shared" si="13"/>
        <v>12330105</v>
      </c>
      <c r="E76" s="156">
        <f t="shared" si="13"/>
        <v>11011350</v>
      </c>
      <c r="F76" s="156">
        <f t="shared" si="13"/>
        <v>6014620</v>
      </c>
      <c r="G76" s="191">
        <f t="shared" si="13"/>
        <v>6079227</v>
      </c>
      <c r="H76" s="156">
        <f t="shared" si="13"/>
        <v>6303446</v>
      </c>
      <c r="I76" s="156">
        <f t="shared" si="19"/>
        <v>7848885</v>
      </c>
      <c r="J76" s="555">
        <f t="shared" si="19"/>
        <v>8514105.0875912402</v>
      </c>
      <c r="K76" s="191">
        <f t="shared" si="19"/>
        <v>7151711.2554744529</v>
      </c>
      <c r="L76" s="156">
        <f t="shared" si="14"/>
        <v>8363154.0000000075</v>
      </c>
      <c r="M76" s="156">
        <f t="shared" si="14"/>
        <v>7964912.5000000028</v>
      </c>
      <c r="N76" s="555">
        <f t="shared" si="21"/>
        <v>5570590</v>
      </c>
      <c r="O76" s="191">
        <f t="shared" si="21"/>
        <v>5745304</v>
      </c>
      <c r="P76" s="555">
        <f t="shared" si="21"/>
        <v>1870941.7142857143</v>
      </c>
      <c r="Q76" s="555">
        <f t="shared" si="21"/>
        <v>0</v>
      </c>
      <c r="R76" s="555">
        <f t="shared" ref="R76:AA76" si="24">R16*R46</f>
        <v>0</v>
      </c>
      <c r="S76" s="1000">
        <f t="shared" si="24"/>
        <v>0</v>
      </c>
      <c r="T76" s="555">
        <f t="shared" si="24"/>
        <v>0</v>
      </c>
      <c r="U76" s="555">
        <f t="shared" si="24"/>
        <v>0</v>
      </c>
      <c r="V76" s="555">
        <f t="shared" si="24"/>
        <v>0</v>
      </c>
      <c r="W76" s="1000">
        <f t="shared" si="24"/>
        <v>0</v>
      </c>
      <c r="X76" s="555">
        <f t="shared" si="24"/>
        <v>0</v>
      </c>
      <c r="Y76" s="555">
        <f t="shared" si="24"/>
        <v>0</v>
      </c>
      <c r="Z76" s="555">
        <f t="shared" si="24"/>
        <v>0</v>
      </c>
      <c r="AA76" s="555">
        <f t="shared" si="24"/>
        <v>0</v>
      </c>
      <c r="AB76" s="555">
        <f t="shared" ref="AB76:AE76" si="25">AB16*AB46</f>
        <v>0</v>
      </c>
      <c r="AC76" s="555">
        <f t="shared" si="25"/>
        <v>0</v>
      </c>
      <c r="AD76" s="555">
        <f t="shared" si="25"/>
        <v>0</v>
      </c>
      <c r="AE76" s="1770">
        <f t="shared" si="25"/>
        <v>0</v>
      </c>
    </row>
    <row r="77" spans="1:31" ht="13.8" thickBot="1">
      <c r="A77" s="526" t="str">
        <f t="shared" si="9"/>
        <v>6 Gbps</v>
      </c>
      <c r="B77" s="186" t="str">
        <f t="shared" si="10"/>
        <v>7-20 km</v>
      </c>
      <c r="C77" s="187" t="str">
        <f t="shared" si="10"/>
        <v>all</v>
      </c>
      <c r="D77" s="157">
        <f t="shared" si="13"/>
        <v>8671096</v>
      </c>
      <c r="E77" s="156">
        <f t="shared" si="13"/>
        <v>7252470</v>
      </c>
      <c r="F77" s="156">
        <f t="shared" si="13"/>
        <v>4482008.0000000009</v>
      </c>
      <c r="G77" s="191">
        <f t="shared" si="13"/>
        <v>5578088.0000000019</v>
      </c>
      <c r="H77" s="156">
        <f t="shared" si="13"/>
        <v>5392707.9999999981</v>
      </c>
      <c r="I77" s="156">
        <f t="shared" si="19"/>
        <v>4252352</v>
      </c>
      <c r="J77" s="555">
        <f t="shared" si="19"/>
        <v>4592547.3357664226</v>
      </c>
      <c r="K77" s="191">
        <f t="shared" si="19"/>
        <v>5060670.1459854022</v>
      </c>
      <c r="L77" s="156">
        <f t="shared" si="14"/>
        <v>6158934.8571428563</v>
      </c>
      <c r="M77" s="156">
        <f t="shared" si="14"/>
        <v>7493212.6428571464</v>
      </c>
      <c r="N77" s="555">
        <f t="shared" si="21"/>
        <v>2068250</v>
      </c>
      <c r="O77" s="191">
        <f t="shared" si="21"/>
        <v>1606289</v>
      </c>
      <c r="P77" s="555">
        <f t="shared" si="21"/>
        <v>1208051.2123893807</v>
      </c>
      <c r="Q77" s="555">
        <f t="shared" si="21"/>
        <v>0</v>
      </c>
      <c r="R77" s="555">
        <f t="shared" ref="R77:AA77" si="26">R17*R47</f>
        <v>0</v>
      </c>
      <c r="S77" s="1000">
        <f t="shared" si="26"/>
        <v>0</v>
      </c>
      <c r="T77" s="555">
        <f t="shared" si="26"/>
        <v>0</v>
      </c>
      <c r="U77" s="555">
        <f t="shared" si="26"/>
        <v>0</v>
      </c>
      <c r="V77" s="555">
        <f t="shared" si="26"/>
        <v>0</v>
      </c>
      <c r="W77" s="1000">
        <f t="shared" si="26"/>
        <v>0</v>
      </c>
      <c r="X77" s="555">
        <f t="shared" si="26"/>
        <v>0</v>
      </c>
      <c r="Y77" s="555">
        <f t="shared" si="26"/>
        <v>0</v>
      </c>
      <c r="Z77" s="555">
        <f t="shared" si="26"/>
        <v>0</v>
      </c>
      <c r="AA77" s="555">
        <f t="shared" si="26"/>
        <v>0</v>
      </c>
      <c r="AB77" s="555">
        <f t="shared" ref="AB77:AE77" si="27">AB17*AB47</f>
        <v>0</v>
      </c>
      <c r="AC77" s="555">
        <f t="shared" si="27"/>
        <v>0</v>
      </c>
      <c r="AD77" s="555">
        <f t="shared" si="27"/>
        <v>0</v>
      </c>
      <c r="AE77" s="1771">
        <f t="shared" si="27"/>
        <v>0</v>
      </c>
    </row>
    <row r="78" spans="1:31">
      <c r="A78" s="527" t="str">
        <f t="shared" si="9"/>
        <v>10 Gbps</v>
      </c>
      <c r="B78" s="193" t="str">
        <f t="shared" si="10"/>
        <v>≤ 0.5 km</v>
      </c>
      <c r="C78" s="194" t="str">
        <f t="shared" si="10"/>
        <v>SFP+</v>
      </c>
      <c r="D78" s="151">
        <f t="shared" si="13"/>
        <v>0</v>
      </c>
      <c r="E78" s="150">
        <f t="shared" si="13"/>
        <v>0</v>
      </c>
      <c r="F78" s="150">
        <f t="shared" si="13"/>
        <v>0</v>
      </c>
      <c r="G78" s="198">
        <f t="shared" si="13"/>
        <v>0</v>
      </c>
      <c r="H78" s="150">
        <f t="shared" si="13"/>
        <v>0</v>
      </c>
      <c r="I78" s="150">
        <f t="shared" si="19"/>
        <v>0</v>
      </c>
      <c r="J78" s="556">
        <f t="shared" si="19"/>
        <v>0</v>
      </c>
      <c r="K78" s="198">
        <f t="shared" si="19"/>
        <v>0</v>
      </c>
      <c r="L78" s="150">
        <f t="shared" si="14"/>
        <v>0</v>
      </c>
      <c r="M78" s="150">
        <f t="shared" si="14"/>
        <v>0</v>
      </c>
      <c r="N78" s="556">
        <f t="shared" si="21"/>
        <v>0</v>
      </c>
      <c r="O78" s="198">
        <f t="shared" si="21"/>
        <v>0</v>
      </c>
      <c r="P78" s="556">
        <f t="shared" si="21"/>
        <v>0</v>
      </c>
      <c r="Q78" s="556">
        <f t="shared" si="21"/>
        <v>0</v>
      </c>
      <c r="R78" s="556">
        <f t="shared" ref="R78:AA78" si="28">R18*R48</f>
        <v>0</v>
      </c>
      <c r="S78" s="1001">
        <f t="shared" si="28"/>
        <v>0</v>
      </c>
      <c r="T78" s="556">
        <f t="shared" si="28"/>
        <v>0</v>
      </c>
      <c r="U78" s="556">
        <f t="shared" si="28"/>
        <v>0</v>
      </c>
      <c r="V78" s="556">
        <f t="shared" si="28"/>
        <v>0</v>
      </c>
      <c r="W78" s="1001">
        <f t="shared" si="28"/>
        <v>0</v>
      </c>
      <c r="X78" s="556">
        <f t="shared" si="28"/>
        <v>0</v>
      </c>
      <c r="Y78" s="556">
        <f t="shared" si="28"/>
        <v>0</v>
      </c>
      <c r="Z78" s="556">
        <f t="shared" si="28"/>
        <v>0</v>
      </c>
      <c r="AA78" s="556">
        <f t="shared" si="28"/>
        <v>0</v>
      </c>
      <c r="AB78" s="556">
        <f t="shared" ref="AB78:AE78" si="29">AB18*AB48</f>
        <v>0</v>
      </c>
      <c r="AC78" s="556">
        <f t="shared" si="29"/>
        <v>0</v>
      </c>
      <c r="AD78" s="556">
        <f t="shared" si="29"/>
        <v>0</v>
      </c>
      <c r="AE78" s="1769">
        <f t="shared" si="29"/>
        <v>0</v>
      </c>
    </row>
    <row r="79" spans="1:31">
      <c r="A79" s="525" t="str">
        <f t="shared" si="9"/>
        <v>10 Gbps</v>
      </c>
      <c r="B79" s="186" t="str">
        <f t="shared" si="10"/>
        <v>0.5-7 km</v>
      </c>
      <c r="C79" s="199" t="str">
        <f t="shared" si="10"/>
        <v>SFP+</v>
      </c>
      <c r="D79" s="169">
        <f t="shared" si="13"/>
        <v>10160964</v>
      </c>
      <c r="E79" s="156">
        <f t="shared" si="13"/>
        <v>13809865</v>
      </c>
      <c r="F79" s="156">
        <f t="shared" si="13"/>
        <v>8973785.9999999963</v>
      </c>
      <c r="G79" s="212">
        <f t="shared" si="13"/>
        <v>9412873.0000000019</v>
      </c>
      <c r="H79" s="211">
        <f t="shared" si="13"/>
        <v>12326676.48678226</v>
      </c>
      <c r="I79" s="156">
        <f t="shared" si="19"/>
        <v>15288576.21002686</v>
      </c>
      <c r="J79" s="557">
        <f t="shared" si="19"/>
        <v>27557358.601289682</v>
      </c>
      <c r="K79" s="212">
        <f t="shared" si="19"/>
        <v>28427527.420967702</v>
      </c>
      <c r="L79" s="211">
        <f t="shared" si="14"/>
        <v>45109946.059498429</v>
      </c>
      <c r="M79" s="156">
        <f t="shared" si="14"/>
        <v>51872466.004063688</v>
      </c>
      <c r="N79" s="557">
        <f t="shared" si="21"/>
        <v>39979227.719999999</v>
      </c>
      <c r="O79" s="212">
        <f t="shared" si="21"/>
        <v>32585550.199999999</v>
      </c>
      <c r="P79" s="557">
        <f t="shared" si="21"/>
        <v>21249976.077117573</v>
      </c>
      <c r="Q79" s="555">
        <f t="shared" si="21"/>
        <v>0</v>
      </c>
      <c r="R79" s="557">
        <f t="shared" ref="R79:AA79" si="30">R19*R49</f>
        <v>0</v>
      </c>
      <c r="S79" s="1005">
        <f t="shared" si="30"/>
        <v>0</v>
      </c>
      <c r="T79" s="557">
        <f t="shared" si="30"/>
        <v>0</v>
      </c>
      <c r="U79" s="555">
        <f t="shared" si="30"/>
        <v>0</v>
      </c>
      <c r="V79" s="557">
        <f t="shared" si="30"/>
        <v>0</v>
      </c>
      <c r="W79" s="1005">
        <f t="shared" si="30"/>
        <v>0</v>
      </c>
      <c r="X79" s="557">
        <f t="shared" si="30"/>
        <v>0</v>
      </c>
      <c r="Y79" s="555">
        <f t="shared" si="30"/>
        <v>0</v>
      </c>
      <c r="Z79" s="557">
        <f t="shared" si="30"/>
        <v>0</v>
      </c>
      <c r="AA79" s="555">
        <f t="shared" si="30"/>
        <v>0</v>
      </c>
      <c r="AB79" s="557">
        <f t="shared" ref="AB79:AE79" si="31">AB19*AB49</f>
        <v>0</v>
      </c>
      <c r="AC79" s="555">
        <f t="shared" si="31"/>
        <v>0</v>
      </c>
      <c r="AD79" s="557">
        <f t="shared" si="31"/>
        <v>0</v>
      </c>
      <c r="AE79" s="1770">
        <f t="shared" si="31"/>
        <v>0</v>
      </c>
    </row>
    <row r="80" spans="1:31" ht="13.8" thickBot="1">
      <c r="A80" s="526" t="str">
        <f t="shared" si="9"/>
        <v>10 Gbps</v>
      </c>
      <c r="B80" s="201" t="str">
        <f t="shared" si="10"/>
        <v>7-20 km</v>
      </c>
      <c r="C80" s="202" t="str">
        <f t="shared" si="10"/>
        <v>SFP+</v>
      </c>
      <c r="D80" s="653">
        <f t="shared" si="13"/>
        <v>8057520</v>
      </c>
      <c r="E80" s="203">
        <f t="shared" si="13"/>
        <v>8358588</v>
      </c>
      <c r="F80" s="203">
        <f t="shared" si="13"/>
        <v>4821462.7775106188</v>
      </c>
      <c r="G80" s="204">
        <f t="shared" si="13"/>
        <v>4954055.3962445259</v>
      </c>
      <c r="H80" s="203">
        <f t="shared" si="13"/>
        <v>6960000</v>
      </c>
      <c r="I80" s="203">
        <f t="shared" si="19"/>
        <v>8059999.9999999991</v>
      </c>
      <c r="J80" s="558">
        <f t="shared" si="19"/>
        <v>14647474.452554753</v>
      </c>
      <c r="K80" s="204">
        <f t="shared" si="19"/>
        <v>13834540.145985408</v>
      </c>
      <c r="L80" s="203">
        <f t="shared" si="14"/>
        <v>14013911.946095865</v>
      </c>
      <c r="M80" s="203">
        <f t="shared" si="14"/>
        <v>15148131.785039419</v>
      </c>
      <c r="N80" s="558">
        <f t="shared" si="21"/>
        <v>16476258.550000001</v>
      </c>
      <c r="O80" s="204">
        <f t="shared" si="21"/>
        <v>15679390.4</v>
      </c>
      <c r="P80" s="558">
        <f t="shared" si="21"/>
        <v>9055139.8154235035</v>
      </c>
      <c r="Q80" s="558">
        <f t="shared" si="21"/>
        <v>0</v>
      </c>
      <c r="R80" s="558">
        <f t="shared" ref="R80:AA80" si="32">R20*R50</f>
        <v>0</v>
      </c>
      <c r="S80" s="1002">
        <f t="shared" si="32"/>
        <v>0</v>
      </c>
      <c r="T80" s="558">
        <f t="shared" si="32"/>
        <v>0</v>
      </c>
      <c r="U80" s="558">
        <f t="shared" si="32"/>
        <v>0</v>
      </c>
      <c r="V80" s="558">
        <f t="shared" si="32"/>
        <v>0</v>
      </c>
      <c r="W80" s="1002">
        <f t="shared" si="32"/>
        <v>0</v>
      </c>
      <c r="X80" s="558">
        <f t="shared" si="32"/>
        <v>0</v>
      </c>
      <c r="Y80" s="558">
        <f t="shared" si="32"/>
        <v>0</v>
      </c>
      <c r="Z80" s="558">
        <f t="shared" si="32"/>
        <v>0</v>
      </c>
      <c r="AA80" s="558">
        <f t="shared" si="32"/>
        <v>0</v>
      </c>
      <c r="AB80" s="558">
        <f t="shared" ref="AB80:AE80" si="33">AB20*AB50</f>
        <v>0</v>
      </c>
      <c r="AC80" s="558">
        <f t="shared" si="33"/>
        <v>0</v>
      </c>
      <c r="AD80" s="558">
        <f t="shared" si="33"/>
        <v>0</v>
      </c>
      <c r="AE80" s="1771">
        <f t="shared" si="33"/>
        <v>0</v>
      </c>
    </row>
    <row r="81" spans="1:31">
      <c r="A81" s="527" t="str">
        <f t="shared" si="9"/>
        <v>25 Gbps (MMF)</v>
      </c>
      <c r="B81" s="193" t="str">
        <f t="shared" si="10"/>
        <v>≤ 0.5 km</v>
      </c>
      <c r="C81" s="194" t="str">
        <f t="shared" si="10"/>
        <v>SFP28</v>
      </c>
      <c r="D81" s="167"/>
      <c r="E81" s="236"/>
      <c r="F81" s="236"/>
      <c r="G81" s="534"/>
      <c r="H81" s="236">
        <f>H21*H51</f>
        <v>0</v>
      </c>
      <c r="I81" s="236">
        <f t="shared" si="19"/>
        <v>0</v>
      </c>
      <c r="J81" s="559">
        <f t="shared" si="19"/>
        <v>0</v>
      </c>
      <c r="K81" s="534">
        <f t="shared" si="19"/>
        <v>0</v>
      </c>
      <c r="L81" s="236">
        <f t="shared" si="14"/>
        <v>0</v>
      </c>
      <c r="M81" s="236">
        <f t="shared" si="14"/>
        <v>0</v>
      </c>
      <c r="N81" s="559">
        <f t="shared" si="21"/>
        <v>0</v>
      </c>
      <c r="O81" s="534">
        <f t="shared" si="21"/>
        <v>0</v>
      </c>
      <c r="P81" s="559">
        <f t="shared" si="21"/>
        <v>0</v>
      </c>
      <c r="Q81" s="559">
        <f t="shared" si="21"/>
        <v>0</v>
      </c>
      <c r="R81" s="559">
        <f t="shared" ref="R81:AA81" si="34">R21*R51</f>
        <v>0</v>
      </c>
      <c r="S81" s="561">
        <f t="shared" si="34"/>
        <v>0</v>
      </c>
      <c r="T81" s="559">
        <f t="shared" si="34"/>
        <v>0</v>
      </c>
      <c r="U81" s="559">
        <f t="shared" si="34"/>
        <v>0</v>
      </c>
      <c r="V81" s="559">
        <f t="shared" si="34"/>
        <v>0</v>
      </c>
      <c r="W81" s="561">
        <f t="shared" si="34"/>
        <v>0</v>
      </c>
      <c r="X81" s="559">
        <f t="shared" si="34"/>
        <v>0</v>
      </c>
      <c r="Y81" s="559">
        <f t="shared" si="34"/>
        <v>0</v>
      </c>
      <c r="Z81" s="559">
        <f t="shared" si="34"/>
        <v>0</v>
      </c>
      <c r="AA81" s="559">
        <f t="shared" si="34"/>
        <v>0</v>
      </c>
      <c r="AB81" s="559">
        <f t="shared" ref="AB81:AE81" si="35">AB21*AB51</f>
        <v>0</v>
      </c>
      <c r="AC81" s="559">
        <f t="shared" si="35"/>
        <v>0</v>
      </c>
      <c r="AD81" s="559">
        <f t="shared" si="35"/>
        <v>0</v>
      </c>
      <c r="AE81" s="1772">
        <f t="shared" si="35"/>
        <v>0</v>
      </c>
    </row>
    <row r="82" spans="1:31">
      <c r="A82" s="528" t="str">
        <f t="shared" si="9"/>
        <v>25 Gbps (SMF)</v>
      </c>
      <c r="B82" s="186" t="str">
        <f t="shared" si="10"/>
        <v>≤ 0.5 km</v>
      </c>
      <c r="C82" s="199" t="str">
        <f t="shared" si="10"/>
        <v>SFP28</v>
      </c>
      <c r="D82" s="169"/>
      <c r="E82" s="211"/>
      <c r="F82" s="211"/>
      <c r="G82" s="212"/>
      <c r="H82" s="211"/>
      <c r="I82" s="211"/>
      <c r="J82" s="559">
        <f t="shared" ref="J82:K84" si="36">J22*J52</f>
        <v>144031.99999999991</v>
      </c>
      <c r="K82" s="212">
        <f t="shared" si="36"/>
        <v>519426</v>
      </c>
      <c r="L82" s="211">
        <f t="shared" si="14"/>
        <v>5211214.7142857155</v>
      </c>
      <c r="M82" s="211">
        <f t="shared" si="14"/>
        <v>9364200.1428571455</v>
      </c>
      <c r="N82" s="559">
        <f t="shared" si="21"/>
        <v>5480000</v>
      </c>
      <c r="O82" s="212">
        <f t="shared" si="21"/>
        <v>8182000</v>
      </c>
      <c r="P82" s="557">
        <f t="shared" si="21"/>
        <v>7100000</v>
      </c>
      <c r="Q82" s="557">
        <f t="shared" si="21"/>
        <v>0</v>
      </c>
      <c r="R82" s="559">
        <f t="shared" ref="R82:AA82" si="37">R22*R52</f>
        <v>0</v>
      </c>
      <c r="S82" s="1005">
        <f t="shared" si="37"/>
        <v>0</v>
      </c>
      <c r="T82" s="557">
        <f t="shared" si="37"/>
        <v>0</v>
      </c>
      <c r="U82" s="557">
        <f t="shared" si="37"/>
        <v>0</v>
      </c>
      <c r="V82" s="559">
        <f t="shared" si="37"/>
        <v>0</v>
      </c>
      <c r="W82" s="1005">
        <f t="shared" si="37"/>
        <v>0</v>
      </c>
      <c r="X82" s="557">
        <f t="shared" si="37"/>
        <v>0</v>
      </c>
      <c r="Y82" s="557">
        <f t="shared" si="37"/>
        <v>0</v>
      </c>
      <c r="Z82" s="557">
        <f t="shared" si="37"/>
        <v>0</v>
      </c>
      <c r="AA82" s="557">
        <f t="shared" si="37"/>
        <v>0</v>
      </c>
      <c r="AB82" s="557">
        <f t="shared" ref="AB82:AE82" si="38">AB22*AB52</f>
        <v>0</v>
      </c>
      <c r="AC82" s="557">
        <f t="shared" si="38"/>
        <v>0</v>
      </c>
      <c r="AD82" s="557">
        <f t="shared" si="38"/>
        <v>0</v>
      </c>
      <c r="AE82" s="1773">
        <f t="shared" si="38"/>
        <v>0</v>
      </c>
    </row>
    <row r="83" spans="1:31">
      <c r="A83" s="525" t="str">
        <f t="shared" si="9"/>
        <v>25 Gbps</v>
      </c>
      <c r="B83" s="186" t="str">
        <f t="shared" si="10"/>
        <v>0.5-7 km</v>
      </c>
      <c r="C83" s="199" t="str">
        <f t="shared" si="10"/>
        <v>Duplex</v>
      </c>
      <c r="D83" s="169"/>
      <c r="E83" s="211"/>
      <c r="F83" s="211"/>
      <c r="G83" s="212"/>
      <c r="H83" s="211">
        <f>H23*H53</f>
        <v>824480.55985709431</v>
      </c>
      <c r="I83" s="211">
        <f>I23*I53</f>
        <v>900838.90916769102</v>
      </c>
      <c r="J83" s="557">
        <f t="shared" si="36"/>
        <v>5087027.5951657966</v>
      </c>
      <c r="K83" s="212">
        <f t="shared" si="36"/>
        <v>8552213.0698926374</v>
      </c>
      <c r="L83" s="211">
        <f t="shared" si="14"/>
        <v>13746284.655106384</v>
      </c>
      <c r="M83" s="211">
        <f t="shared" si="14"/>
        <v>22091107.884944025</v>
      </c>
      <c r="N83" s="557">
        <f t="shared" si="21"/>
        <v>36239254.622283041</v>
      </c>
      <c r="O83" s="212">
        <f t="shared" si="21"/>
        <v>49357829.418126553</v>
      </c>
      <c r="P83" s="557">
        <f t="shared" si="21"/>
        <v>47306676.845623292</v>
      </c>
      <c r="Q83" s="557">
        <f t="shared" si="21"/>
        <v>0</v>
      </c>
      <c r="R83" s="557">
        <f t="shared" ref="R83:AA83" si="39">R23*R53</f>
        <v>0</v>
      </c>
      <c r="S83" s="1005">
        <f t="shared" si="39"/>
        <v>0</v>
      </c>
      <c r="T83" s="557">
        <f t="shared" si="39"/>
        <v>0</v>
      </c>
      <c r="U83" s="557">
        <f t="shared" si="39"/>
        <v>0</v>
      </c>
      <c r="V83" s="557">
        <f t="shared" si="39"/>
        <v>0</v>
      </c>
      <c r="W83" s="1005">
        <f t="shared" si="39"/>
        <v>0</v>
      </c>
      <c r="X83" s="557">
        <f t="shared" si="39"/>
        <v>0</v>
      </c>
      <c r="Y83" s="557">
        <f t="shared" si="39"/>
        <v>0</v>
      </c>
      <c r="Z83" s="557">
        <f t="shared" si="39"/>
        <v>0</v>
      </c>
      <c r="AA83" s="557">
        <f t="shared" si="39"/>
        <v>0</v>
      </c>
      <c r="AB83" s="557">
        <f t="shared" ref="AB83:AE83" si="40">AB23*AB53</f>
        <v>0</v>
      </c>
      <c r="AC83" s="557">
        <f t="shared" si="40"/>
        <v>0</v>
      </c>
      <c r="AD83" s="557">
        <f t="shared" si="40"/>
        <v>0</v>
      </c>
      <c r="AE83" s="1773">
        <f t="shared" si="40"/>
        <v>0</v>
      </c>
    </row>
    <row r="84" spans="1:31">
      <c r="A84" s="525" t="str">
        <f t="shared" si="9"/>
        <v>25 Gbps</v>
      </c>
      <c r="B84" s="186" t="str">
        <f t="shared" si="10"/>
        <v>7-20 km</v>
      </c>
      <c r="C84" s="199" t="str">
        <f t="shared" si="10"/>
        <v>Duplex</v>
      </c>
      <c r="D84" s="157"/>
      <c r="E84" s="156"/>
      <c r="F84" s="156"/>
      <c r="G84" s="191"/>
      <c r="H84" s="156">
        <f>H24*H54</f>
        <v>0</v>
      </c>
      <c r="I84" s="156">
        <f>I24*I54</f>
        <v>0</v>
      </c>
      <c r="J84" s="555">
        <f t="shared" si="36"/>
        <v>381000</v>
      </c>
      <c r="K84" s="191">
        <f t="shared" si="36"/>
        <v>731000</v>
      </c>
      <c r="L84" s="156">
        <f t="shared" si="14"/>
        <v>503250</v>
      </c>
      <c r="M84" s="156">
        <f t="shared" si="14"/>
        <v>982894.34324412839</v>
      </c>
      <c r="N84" s="555">
        <f t="shared" si="21"/>
        <v>8250779.7525523771</v>
      </c>
      <c r="O84" s="191">
        <f t="shared" si="21"/>
        <v>14765614.691601869</v>
      </c>
      <c r="P84" s="555">
        <f t="shared" si="21"/>
        <v>1345990</v>
      </c>
      <c r="Q84" s="555">
        <f t="shared" si="21"/>
        <v>0</v>
      </c>
      <c r="R84" s="555">
        <f t="shared" ref="R84:U85" si="41">R24*R54</f>
        <v>0</v>
      </c>
      <c r="S84" s="1000">
        <f t="shared" si="41"/>
        <v>0</v>
      </c>
      <c r="T84" s="555">
        <f t="shared" si="41"/>
        <v>0</v>
      </c>
      <c r="U84" s="555">
        <f t="shared" si="41"/>
        <v>0</v>
      </c>
      <c r="V84" s="555">
        <f t="shared" ref="V84:AA93" si="42">V24*V54</f>
        <v>0</v>
      </c>
      <c r="W84" s="1000">
        <f t="shared" si="42"/>
        <v>0</v>
      </c>
      <c r="X84" s="555">
        <f t="shared" si="42"/>
        <v>0</v>
      </c>
      <c r="Y84" s="555">
        <f t="shared" si="42"/>
        <v>0</v>
      </c>
      <c r="Z84" s="555">
        <f t="shared" si="42"/>
        <v>0</v>
      </c>
      <c r="AA84" s="555">
        <f t="shared" si="42"/>
        <v>0</v>
      </c>
      <c r="AB84" s="555">
        <f t="shared" ref="AB84:AE84" si="43">AB24*AB54</f>
        <v>0</v>
      </c>
      <c r="AC84" s="555">
        <f t="shared" si="43"/>
        <v>0</v>
      </c>
      <c r="AD84" s="555">
        <f t="shared" si="43"/>
        <v>0</v>
      </c>
      <c r="AE84" s="1770">
        <f t="shared" si="43"/>
        <v>0</v>
      </c>
    </row>
    <row r="85" spans="1:31" ht="13.8" thickBot="1">
      <c r="A85" s="1028" t="s">
        <v>344</v>
      </c>
      <c r="B85" s="181" t="s">
        <v>187</v>
      </c>
      <c r="C85" s="181" t="s">
        <v>441</v>
      </c>
      <c r="D85" s="157"/>
      <c r="E85" s="157"/>
      <c r="F85" s="157"/>
      <c r="G85" s="157"/>
      <c r="H85" s="157"/>
      <c r="I85" s="157"/>
      <c r="J85" s="1044"/>
      <c r="K85" s="157"/>
      <c r="L85" s="157"/>
      <c r="M85" s="157"/>
      <c r="N85" s="1044"/>
      <c r="O85" s="157"/>
      <c r="P85" s="555">
        <f t="shared" ref="P85:Q93" si="44">P25*P55</f>
        <v>5880998.034134008</v>
      </c>
      <c r="Q85" s="555">
        <f t="shared" si="44"/>
        <v>0</v>
      </c>
      <c r="R85" s="555">
        <f t="shared" si="41"/>
        <v>0</v>
      </c>
      <c r="S85" s="1000">
        <f t="shared" si="41"/>
        <v>0</v>
      </c>
      <c r="T85" s="555">
        <f t="shared" si="41"/>
        <v>0</v>
      </c>
      <c r="U85" s="555">
        <f t="shared" si="41"/>
        <v>0</v>
      </c>
      <c r="V85" s="555">
        <f t="shared" si="42"/>
        <v>0</v>
      </c>
      <c r="W85" s="1000">
        <f t="shared" si="42"/>
        <v>0</v>
      </c>
      <c r="X85" s="555">
        <f t="shared" si="42"/>
        <v>0</v>
      </c>
      <c r="Y85" s="555">
        <f t="shared" si="42"/>
        <v>0</v>
      </c>
      <c r="Z85" s="555">
        <f t="shared" si="42"/>
        <v>0</v>
      </c>
      <c r="AA85" s="555">
        <f t="shared" si="42"/>
        <v>0</v>
      </c>
      <c r="AB85" s="555">
        <f t="shared" ref="AB85:AE85" si="45">AB25*AB55</f>
        <v>0</v>
      </c>
      <c r="AC85" s="555">
        <f t="shared" si="45"/>
        <v>0</v>
      </c>
      <c r="AD85" s="555">
        <f t="shared" si="45"/>
        <v>0</v>
      </c>
      <c r="AE85" s="1770">
        <f t="shared" si="45"/>
        <v>0</v>
      </c>
    </row>
    <row r="86" spans="1:31">
      <c r="A86" s="527" t="str">
        <f t="shared" ref="A86:C88" si="46">A26</f>
        <v>50 Gbps</v>
      </c>
      <c r="B86" s="193" t="str">
        <f t="shared" si="46"/>
        <v>≤ 10 km</v>
      </c>
      <c r="C86" s="194" t="str">
        <f t="shared" si="46"/>
        <v>QSFP28</v>
      </c>
      <c r="D86" s="656"/>
      <c r="E86" s="1046"/>
      <c r="F86" s="1046"/>
      <c r="G86" s="1047"/>
      <c r="H86" s="1046"/>
      <c r="I86" s="1046"/>
      <c r="J86" s="1048"/>
      <c r="K86" s="1047"/>
      <c r="L86" s="1046">
        <f t="shared" ref="L86:O93" si="47">L26*L56</f>
        <v>2631114.3303976506</v>
      </c>
      <c r="M86" s="1046">
        <f t="shared" si="47"/>
        <v>3218260.1312851096</v>
      </c>
      <c r="N86" s="1048">
        <f t="shared" si="47"/>
        <v>1222737.3459334902</v>
      </c>
      <c r="O86" s="1047">
        <f t="shared" si="47"/>
        <v>1844000</v>
      </c>
      <c r="P86" s="1048">
        <f t="shared" si="44"/>
        <v>2631860.048371559</v>
      </c>
      <c r="Q86" s="1048">
        <f t="shared" si="44"/>
        <v>0</v>
      </c>
      <c r="R86" s="1048">
        <f t="shared" ref="R86:U93" si="48">R26*R56</f>
        <v>0</v>
      </c>
      <c r="S86" s="1049">
        <f t="shared" si="48"/>
        <v>0</v>
      </c>
      <c r="T86" s="1048">
        <f t="shared" si="48"/>
        <v>0</v>
      </c>
      <c r="U86" s="1048">
        <f t="shared" si="48"/>
        <v>0</v>
      </c>
      <c r="V86" s="1048">
        <f t="shared" si="42"/>
        <v>0</v>
      </c>
      <c r="W86" s="1049">
        <f t="shared" si="42"/>
        <v>0</v>
      </c>
      <c r="X86" s="1048">
        <f t="shared" si="42"/>
        <v>0</v>
      </c>
      <c r="Y86" s="1048">
        <f t="shared" si="42"/>
        <v>0</v>
      </c>
      <c r="Z86" s="1048">
        <f t="shared" si="42"/>
        <v>0</v>
      </c>
      <c r="AA86" s="1048">
        <f t="shared" si="42"/>
        <v>0</v>
      </c>
      <c r="AB86" s="1048">
        <f t="shared" ref="AB86:AE86" si="49">AB26*AB56</f>
        <v>0</v>
      </c>
      <c r="AC86" s="1048">
        <f t="shared" si="49"/>
        <v>0</v>
      </c>
      <c r="AD86" s="1048">
        <f t="shared" si="49"/>
        <v>0</v>
      </c>
      <c r="AE86" s="1774">
        <f t="shared" si="49"/>
        <v>0</v>
      </c>
    </row>
    <row r="87" spans="1:31">
      <c r="A87" s="525" t="str">
        <f t="shared" si="46"/>
        <v>50 Gbps</v>
      </c>
      <c r="B87" s="186" t="str">
        <f t="shared" si="46"/>
        <v>10-20 km</v>
      </c>
      <c r="C87" s="199" t="str">
        <f t="shared" si="46"/>
        <v>QSFP28</v>
      </c>
      <c r="D87" s="169"/>
      <c r="E87" s="211"/>
      <c r="F87" s="211"/>
      <c r="G87" s="212"/>
      <c r="H87" s="211"/>
      <c r="I87" s="211"/>
      <c r="J87" s="557"/>
      <c r="K87" s="212"/>
      <c r="L87" s="211">
        <f t="shared" si="47"/>
        <v>49591.706509576194</v>
      </c>
      <c r="M87" s="211">
        <f t="shared" si="47"/>
        <v>3026644.6731848563</v>
      </c>
      <c r="N87" s="557">
        <f t="shared" si="47"/>
        <v>1523673.4572207783</v>
      </c>
      <c r="O87" s="212">
        <f t="shared" si="47"/>
        <v>7703652.2915820908</v>
      </c>
      <c r="P87" s="557">
        <f t="shared" si="44"/>
        <v>12028552.045543045</v>
      </c>
      <c r="Q87" s="557">
        <f t="shared" si="44"/>
        <v>0</v>
      </c>
      <c r="R87" s="557">
        <f t="shared" si="48"/>
        <v>0</v>
      </c>
      <c r="S87" s="1005">
        <f t="shared" si="48"/>
        <v>0</v>
      </c>
      <c r="T87" s="557">
        <f t="shared" si="48"/>
        <v>0</v>
      </c>
      <c r="U87" s="557">
        <f t="shared" si="48"/>
        <v>0</v>
      </c>
      <c r="V87" s="557">
        <f t="shared" si="42"/>
        <v>0</v>
      </c>
      <c r="W87" s="1005">
        <f t="shared" si="42"/>
        <v>0</v>
      </c>
      <c r="X87" s="557">
        <f t="shared" si="42"/>
        <v>0</v>
      </c>
      <c r="Y87" s="557">
        <f t="shared" si="42"/>
        <v>0</v>
      </c>
      <c r="Z87" s="557">
        <f t="shared" si="42"/>
        <v>0</v>
      </c>
      <c r="AA87" s="557">
        <f t="shared" si="42"/>
        <v>0</v>
      </c>
      <c r="AB87" s="557">
        <f t="shared" ref="AB87:AE87" si="50">AB27*AB57</f>
        <v>0</v>
      </c>
      <c r="AC87" s="557">
        <f t="shared" si="50"/>
        <v>0</v>
      </c>
      <c r="AD87" s="557">
        <f>AD27*AD57</f>
        <v>0</v>
      </c>
      <c r="AE87" s="1773">
        <f t="shared" si="50"/>
        <v>0</v>
      </c>
    </row>
    <row r="88" spans="1:31" ht="13.8" thickBot="1">
      <c r="A88" s="1034" t="str">
        <f t="shared" si="46"/>
        <v>100 Gbps</v>
      </c>
      <c r="B88" s="1035" t="str">
        <f t="shared" si="46"/>
        <v>≤ 10 km</v>
      </c>
      <c r="C88" s="1036" t="str">
        <f t="shared" si="46"/>
        <v>QSFP28</v>
      </c>
      <c r="D88" s="653"/>
      <c r="E88" s="203"/>
      <c r="F88" s="203"/>
      <c r="G88" s="204"/>
      <c r="H88" s="203"/>
      <c r="I88" s="203"/>
      <c r="J88" s="558"/>
      <c r="K88" s="204"/>
      <c r="L88" s="203">
        <f t="shared" si="47"/>
        <v>482732.44368817413</v>
      </c>
      <c r="M88" s="203">
        <f t="shared" si="47"/>
        <v>1212356.2534492805</v>
      </c>
      <c r="N88" s="558">
        <f t="shared" si="47"/>
        <v>1238388.3533117687</v>
      </c>
      <c r="O88" s="204">
        <f t="shared" si="47"/>
        <v>2360959.8257502415</v>
      </c>
      <c r="P88" s="558">
        <f t="shared" si="44"/>
        <v>3110360.7647215561</v>
      </c>
      <c r="Q88" s="558">
        <f t="shared" si="44"/>
        <v>0</v>
      </c>
      <c r="R88" s="558">
        <f t="shared" si="48"/>
        <v>0</v>
      </c>
      <c r="S88" s="1002">
        <f t="shared" si="48"/>
        <v>0</v>
      </c>
      <c r="T88" s="558">
        <f t="shared" si="48"/>
        <v>0</v>
      </c>
      <c r="U88" s="558">
        <f t="shared" si="48"/>
        <v>0</v>
      </c>
      <c r="V88" s="558">
        <f t="shared" si="42"/>
        <v>0</v>
      </c>
      <c r="W88" s="1002">
        <f t="shared" si="42"/>
        <v>0</v>
      </c>
      <c r="X88" s="558">
        <f t="shared" si="42"/>
        <v>0</v>
      </c>
      <c r="Y88" s="558">
        <f t="shared" si="42"/>
        <v>0</v>
      </c>
      <c r="Z88" s="558">
        <f t="shared" si="42"/>
        <v>0</v>
      </c>
      <c r="AA88" s="558">
        <f t="shared" si="42"/>
        <v>0</v>
      </c>
      <c r="AB88" s="558">
        <f t="shared" ref="AB88:AE88" si="51">AB28*AB58</f>
        <v>0</v>
      </c>
      <c r="AC88" s="558">
        <f t="shared" si="51"/>
        <v>0</v>
      </c>
      <c r="AD88" s="558">
        <f t="shared" si="51"/>
        <v>0</v>
      </c>
      <c r="AE88" s="1771">
        <f t="shared" si="51"/>
        <v>0</v>
      </c>
    </row>
    <row r="89" spans="1:31">
      <c r="A89" s="1294" t="s">
        <v>412</v>
      </c>
      <c r="B89" s="1295" t="str">
        <f>B29</f>
        <v>all</v>
      </c>
      <c r="C89" s="1296" t="str">
        <f>C29</f>
        <v>all</v>
      </c>
      <c r="D89" s="656"/>
      <c r="E89" s="1046"/>
      <c r="F89" s="1046"/>
      <c r="G89" s="1047"/>
      <c r="H89" s="1046">
        <f>H29*H59</f>
        <v>3249156.4458919796</v>
      </c>
      <c r="I89" s="1046">
        <f>I29*I59</f>
        <v>3181856.3146798136</v>
      </c>
      <c r="J89" s="1046">
        <f>J29*J59</f>
        <v>2951267.3414925914</v>
      </c>
      <c r="K89" s="1047">
        <f>K29*K59</f>
        <v>6423189.1379673993</v>
      </c>
      <c r="L89" s="1046">
        <f t="shared" si="47"/>
        <v>1000000</v>
      </c>
      <c r="M89" s="1046">
        <f t="shared" si="47"/>
        <v>1900000</v>
      </c>
      <c r="N89" s="1046">
        <f t="shared" si="47"/>
        <v>11422330</v>
      </c>
      <c r="O89" s="1047">
        <f t="shared" si="47"/>
        <v>11313950</v>
      </c>
      <c r="P89" s="1048">
        <f t="shared" si="44"/>
        <v>3912820</v>
      </c>
      <c r="Q89" s="1048">
        <f t="shared" si="44"/>
        <v>0</v>
      </c>
      <c r="R89" s="1048">
        <f t="shared" si="48"/>
        <v>0</v>
      </c>
      <c r="S89" s="1049">
        <f t="shared" si="48"/>
        <v>0</v>
      </c>
      <c r="T89" s="1764">
        <f t="shared" si="48"/>
        <v>0</v>
      </c>
      <c r="U89" s="1048">
        <f t="shared" si="48"/>
        <v>0</v>
      </c>
      <c r="V89" s="1048">
        <f t="shared" si="42"/>
        <v>0</v>
      </c>
      <c r="W89" s="1049">
        <f t="shared" si="42"/>
        <v>0</v>
      </c>
      <c r="X89" s="1048">
        <f t="shared" si="42"/>
        <v>0</v>
      </c>
      <c r="Y89" s="1048">
        <f t="shared" si="42"/>
        <v>0</v>
      </c>
      <c r="Z89" s="1048">
        <f t="shared" si="42"/>
        <v>0</v>
      </c>
      <c r="AA89" s="1048">
        <f t="shared" si="42"/>
        <v>0</v>
      </c>
      <c r="AB89" s="1048">
        <f t="shared" ref="AB89:AE89" si="52">AB29*AB59</f>
        <v>0</v>
      </c>
      <c r="AC89" s="1048">
        <f t="shared" si="52"/>
        <v>0</v>
      </c>
      <c r="AD89" s="1048">
        <f t="shared" si="52"/>
        <v>0</v>
      </c>
      <c r="AE89" s="1774">
        <f t="shared" si="52"/>
        <v>0</v>
      </c>
    </row>
    <row r="90" spans="1:31">
      <c r="A90" s="1297" t="s">
        <v>413</v>
      </c>
      <c r="B90" s="1298" t="s">
        <v>187</v>
      </c>
      <c r="C90" s="1299" t="s">
        <v>187</v>
      </c>
      <c r="D90" s="1300"/>
      <c r="E90" s="211"/>
      <c r="F90" s="211"/>
      <c r="G90" s="212"/>
      <c r="H90" s="211"/>
      <c r="I90" s="211"/>
      <c r="J90" s="211"/>
      <c r="K90" s="212"/>
      <c r="L90" s="211">
        <f t="shared" si="47"/>
        <v>17223609.49030875</v>
      </c>
      <c r="M90" s="211">
        <f t="shared" si="47"/>
        <v>42879355.263107777</v>
      </c>
      <c r="N90" s="211">
        <f t="shared" si="47"/>
        <v>45106628.623496279</v>
      </c>
      <c r="O90" s="212">
        <f t="shared" si="47"/>
        <v>39744685.013688087</v>
      </c>
      <c r="P90" s="557">
        <f t="shared" si="44"/>
        <v>16834406.29609134</v>
      </c>
      <c r="Q90" s="557">
        <f t="shared" si="44"/>
        <v>0</v>
      </c>
      <c r="R90" s="557">
        <f t="shared" si="48"/>
        <v>0</v>
      </c>
      <c r="S90" s="1005">
        <f t="shared" si="48"/>
        <v>0</v>
      </c>
      <c r="T90" s="1765">
        <f t="shared" si="48"/>
        <v>0</v>
      </c>
      <c r="U90" s="557">
        <f t="shared" si="48"/>
        <v>0</v>
      </c>
      <c r="V90" s="557">
        <f t="shared" si="42"/>
        <v>0</v>
      </c>
      <c r="W90" s="1005">
        <f t="shared" si="42"/>
        <v>0</v>
      </c>
      <c r="X90" s="557">
        <f t="shared" si="42"/>
        <v>0</v>
      </c>
      <c r="Y90" s="557">
        <f t="shared" si="42"/>
        <v>0</v>
      </c>
      <c r="Z90" s="557">
        <f t="shared" si="42"/>
        <v>0</v>
      </c>
      <c r="AA90" s="557">
        <f t="shared" si="42"/>
        <v>0</v>
      </c>
      <c r="AB90" s="557">
        <f t="shared" ref="AB90:AE90" si="53">AB30*AB60</f>
        <v>0</v>
      </c>
      <c r="AC90" s="557">
        <f t="shared" si="53"/>
        <v>0</v>
      </c>
      <c r="AD90" s="557">
        <f t="shared" si="53"/>
        <v>0</v>
      </c>
      <c r="AE90" s="1773">
        <f t="shared" si="53"/>
        <v>0</v>
      </c>
    </row>
    <row r="91" spans="1:31">
      <c r="A91" s="1297" t="s">
        <v>414</v>
      </c>
      <c r="B91" s="1298" t="s">
        <v>187</v>
      </c>
      <c r="C91" s="1299" t="s">
        <v>187</v>
      </c>
      <c r="D91" s="1300"/>
      <c r="E91" s="211"/>
      <c r="F91" s="211"/>
      <c r="G91" s="212"/>
      <c r="H91" s="211"/>
      <c r="I91" s="211"/>
      <c r="J91" s="211"/>
      <c r="K91" s="212"/>
      <c r="L91" s="211">
        <f t="shared" si="47"/>
        <v>15156555.98361901</v>
      </c>
      <c r="M91" s="211">
        <f t="shared" si="47"/>
        <v>10587923.641574843</v>
      </c>
      <c r="N91" s="211">
        <f t="shared" si="47"/>
        <v>22122290.53888924</v>
      </c>
      <c r="O91" s="212">
        <f t="shared" si="47"/>
        <v>26871616.847812511</v>
      </c>
      <c r="P91" s="557">
        <f t="shared" si="44"/>
        <v>26840405.147588585</v>
      </c>
      <c r="Q91" s="557">
        <f t="shared" si="44"/>
        <v>0</v>
      </c>
      <c r="R91" s="557">
        <f t="shared" si="48"/>
        <v>0</v>
      </c>
      <c r="S91" s="1005">
        <f t="shared" si="48"/>
        <v>0</v>
      </c>
      <c r="T91" s="1765">
        <f t="shared" si="48"/>
        <v>0</v>
      </c>
      <c r="U91" s="557">
        <f t="shared" si="48"/>
        <v>0</v>
      </c>
      <c r="V91" s="557">
        <f t="shared" si="42"/>
        <v>0</v>
      </c>
      <c r="W91" s="1005">
        <f t="shared" si="42"/>
        <v>0</v>
      </c>
      <c r="X91" s="557">
        <f t="shared" si="42"/>
        <v>0</v>
      </c>
      <c r="Y91" s="557">
        <f t="shared" si="42"/>
        <v>0</v>
      </c>
      <c r="Z91" s="557">
        <f t="shared" si="42"/>
        <v>0</v>
      </c>
      <c r="AA91" s="557">
        <f t="shared" si="42"/>
        <v>0</v>
      </c>
      <c r="AB91" s="557">
        <f t="shared" ref="AB91:AE91" si="54">AB31*AB61</f>
        <v>0</v>
      </c>
      <c r="AC91" s="557">
        <f t="shared" si="54"/>
        <v>0</v>
      </c>
      <c r="AD91" s="557">
        <f t="shared" si="54"/>
        <v>0</v>
      </c>
      <c r="AE91" s="1773">
        <f t="shared" si="54"/>
        <v>0</v>
      </c>
    </row>
    <row r="92" spans="1:31" ht="13.8" thickBot="1">
      <c r="A92" s="1301" t="s">
        <v>415</v>
      </c>
      <c r="B92" s="1302" t="str">
        <f>B32</f>
        <v>all</v>
      </c>
      <c r="C92" s="1303" t="str">
        <f>C32</f>
        <v>all</v>
      </c>
      <c r="D92" s="653"/>
      <c r="E92" s="1304"/>
      <c r="F92" s="1304"/>
      <c r="G92" s="204"/>
      <c r="H92" s="1304">
        <f t="shared" ref="H92:K93" si="55">H32*H62</f>
        <v>2066060.0000000014</v>
      </c>
      <c r="I92" s="1304">
        <f t="shared" si="55"/>
        <v>2617039.9999999963</v>
      </c>
      <c r="J92" s="1305">
        <f t="shared" si="55"/>
        <v>7281977.0798953008</v>
      </c>
      <c r="K92" s="204">
        <f t="shared" si="55"/>
        <v>19343855.764761422</v>
      </c>
      <c r="L92" s="1304">
        <f t="shared" si="47"/>
        <v>21283915.534316279</v>
      </c>
      <c r="M92" s="1304">
        <f t="shared" si="47"/>
        <v>11764350</v>
      </c>
      <c r="N92" s="1305">
        <f t="shared" si="47"/>
        <v>18784800</v>
      </c>
      <c r="O92" s="204">
        <f t="shared" si="47"/>
        <v>17268800</v>
      </c>
      <c r="P92" s="1305">
        <f t="shared" si="44"/>
        <v>6006802.4464530945</v>
      </c>
      <c r="Q92" s="1305">
        <f t="shared" si="44"/>
        <v>0</v>
      </c>
      <c r="R92" s="1305">
        <f t="shared" si="48"/>
        <v>0</v>
      </c>
      <c r="S92" s="1002">
        <f t="shared" si="48"/>
        <v>0</v>
      </c>
      <c r="T92" s="1766">
        <f t="shared" si="48"/>
        <v>0</v>
      </c>
      <c r="U92" s="1305">
        <f t="shared" si="48"/>
        <v>0</v>
      </c>
      <c r="V92" s="1305">
        <f t="shared" si="42"/>
        <v>0</v>
      </c>
      <c r="W92" s="1767">
        <f t="shared" si="42"/>
        <v>0</v>
      </c>
      <c r="X92" s="1305">
        <f t="shared" si="42"/>
        <v>0</v>
      </c>
      <c r="Y92" s="1305">
        <f t="shared" si="42"/>
        <v>0</v>
      </c>
      <c r="Z92" s="1305">
        <f t="shared" si="42"/>
        <v>0</v>
      </c>
      <c r="AA92" s="1305">
        <f t="shared" si="42"/>
        <v>0</v>
      </c>
      <c r="AB92" s="1305">
        <f t="shared" ref="AB92:AE92" si="56">AB32*AB62</f>
        <v>0</v>
      </c>
      <c r="AC92" s="1305">
        <f t="shared" si="56"/>
        <v>0</v>
      </c>
      <c r="AD92" s="1305">
        <f t="shared" si="56"/>
        <v>0</v>
      </c>
      <c r="AE92" s="1771">
        <f t="shared" si="56"/>
        <v>0</v>
      </c>
    </row>
    <row r="93" spans="1:31" ht="13.8" thickBot="1">
      <c r="A93" s="2233" t="str">
        <f>A33</f>
        <v>Miscellaneous</v>
      </c>
      <c r="B93" s="2234"/>
      <c r="C93" s="2234"/>
      <c r="D93" s="236">
        <f>D33*D63</f>
        <v>1759500</v>
      </c>
      <c r="E93" s="236">
        <f>E33*E63</f>
        <v>1761200</v>
      </c>
      <c r="F93" s="236">
        <f>F33*F63</f>
        <v>932000</v>
      </c>
      <c r="G93" s="534">
        <f>G33*G63</f>
        <v>1498000</v>
      </c>
      <c r="H93" s="237">
        <f t="shared" si="55"/>
        <v>313250</v>
      </c>
      <c r="I93" s="237">
        <f t="shared" si="55"/>
        <v>256800</v>
      </c>
      <c r="J93" s="560">
        <f t="shared" si="55"/>
        <v>107101.45394313066</v>
      </c>
      <c r="K93" s="546">
        <f t="shared" si="55"/>
        <v>84072.460755069405</v>
      </c>
      <c r="L93" s="237">
        <f t="shared" si="47"/>
        <v>116900</v>
      </c>
      <c r="M93" s="237">
        <f t="shared" si="47"/>
        <v>113608</v>
      </c>
      <c r="N93" s="560">
        <f t="shared" si="47"/>
        <v>1675966</v>
      </c>
      <c r="O93" s="546">
        <f t="shared" si="47"/>
        <v>1790880</v>
      </c>
      <c r="P93" s="560">
        <f t="shared" si="44"/>
        <v>528972.40834386891</v>
      </c>
      <c r="Q93" s="560">
        <f t="shared" si="44"/>
        <v>0</v>
      </c>
      <c r="R93" s="560">
        <f t="shared" si="48"/>
        <v>0</v>
      </c>
      <c r="S93" s="1007">
        <f t="shared" si="48"/>
        <v>0</v>
      </c>
      <c r="T93" s="1768">
        <f t="shared" si="48"/>
        <v>0</v>
      </c>
      <c r="U93" s="1045">
        <f t="shared" si="48"/>
        <v>0</v>
      </c>
      <c r="V93" s="1045">
        <f t="shared" si="42"/>
        <v>0</v>
      </c>
      <c r="W93" s="1006">
        <f t="shared" si="42"/>
        <v>0</v>
      </c>
      <c r="X93" s="1045">
        <f t="shared" si="42"/>
        <v>0</v>
      </c>
      <c r="Y93" s="1045">
        <f t="shared" si="42"/>
        <v>0</v>
      </c>
      <c r="Z93" s="1045">
        <f t="shared" si="42"/>
        <v>0</v>
      </c>
      <c r="AA93" s="1045">
        <f t="shared" si="42"/>
        <v>0</v>
      </c>
      <c r="AB93" s="1045">
        <f t="shared" ref="AB93:AE93" si="57">AB33*AB63</f>
        <v>0</v>
      </c>
      <c r="AC93" s="1045">
        <f t="shared" si="57"/>
        <v>0</v>
      </c>
      <c r="AD93" s="1045">
        <f>AD33*AD63</f>
        <v>0</v>
      </c>
      <c r="AE93" s="1775">
        <f t="shared" si="57"/>
        <v>0</v>
      </c>
    </row>
    <row r="94" spans="1:31" ht="13.8" thickBot="1">
      <c r="A94" s="538" t="str">
        <f>A34</f>
        <v>Total</v>
      </c>
      <c r="B94" s="524" t="str">
        <f>B34</f>
        <v>All</v>
      </c>
      <c r="C94" s="213" t="str">
        <f>C34</f>
        <v>All</v>
      </c>
      <c r="D94" s="102">
        <f t="shared" ref="D94:K94" si="58">SUM(D69:D93)</f>
        <v>49844619</v>
      </c>
      <c r="E94" s="101">
        <f t="shared" si="58"/>
        <v>50637574</v>
      </c>
      <c r="F94" s="100">
        <f t="shared" si="58"/>
        <v>30340037.777510628</v>
      </c>
      <c r="G94" s="102">
        <f t="shared" si="58"/>
        <v>31020656.396244541</v>
      </c>
      <c r="H94" s="237">
        <f t="shared" si="58"/>
        <v>47457810.492531337</v>
      </c>
      <c r="I94" s="237">
        <f t="shared" si="58"/>
        <v>50387596.183874369</v>
      </c>
      <c r="J94" s="560">
        <f t="shared" si="58"/>
        <v>77884178.947698936</v>
      </c>
      <c r="K94" s="546">
        <f t="shared" si="58"/>
        <v>96367299.401789486</v>
      </c>
      <c r="L94" s="237">
        <f t="shared" ref="L94:S94" si="59">SUM(L69:L93)</f>
        <v>158910012.22096869</v>
      </c>
      <c r="M94" s="237">
        <f t="shared" si="59"/>
        <v>196465505.26560742</v>
      </c>
      <c r="N94" s="560">
        <f t="shared" si="59"/>
        <v>223881485.96368694</v>
      </c>
      <c r="O94" s="546">
        <f t="shared" si="59"/>
        <v>243432341.68856132</v>
      </c>
      <c r="P94" s="237">
        <f t="shared" si="59"/>
        <v>169729766.11778057</v>
      </c>
      <c r="Q94" s="237">
        <f t="shared" si="59"/>
        <v>0</v>
      </c>
      <c r="R94" s="560">
        <f t="shared" si="59"/>
        <v>0</v>
      </c>
      <c r="S94" s="546">
        <f t="shared" si="59"/>
        <v>0</v>
      </c>
      <c r="T94" s="237">
        <f t="shared" ref="T94:AA94" si="60">SUM(T69:T93)</f>
        <v>0</v>
      </c>
      <c r="U94" s="237">
        <f t="shared" si="60"/>
        <v>0</v>
      </c>
      <c r="V94" s="560">
        <f t="shared" si="60"/>
        <v>0</v>
      </c>
      <c r="W94" s="546">
        <f t="shared" si="60"/>
        <v>0</v>
      </c>
      <c r="X94" s="237">
        <f t="shared" si="60"/>
        <v>0</v>
      </c>
      <c r="Y94" s="237">
        <f t="shared" si="60"/>
        <v>0</v>
      </c>
      <c r="Z94" s="237">
        <f t="shared" si="60"/>
        <v>0</v>
      </c>
      <c r="AA94" s="237">
        <f t="shared" si="60"/>
        <v>0</v>
      </c>
      <c r="AB94" s="237">
        <f t="shared" ref="AB94:AE94" si="61">SUM(AB69:AB93)</f>
        <v>0</v>
      </c>
      <c r="AC94" s="237">
        <f t="shared" si="61"/>
        <v>0</v>
      </c>
      <c r="AD94" s="237">
        <f t="shared" si="61"/>
        <v>0</v>
      </c>
      <c r="AE94" s="239">
        <f t="shared" si="61"/>
        <v>0</v>
      </c>
    </row>
    <row r="95" spans="1:31">
      <c r="L95" s="45"/>
      <c r="M95" s="45"/>
      <c r="N95" s="45"/>
      <c r="O95" s="45"/>
      <c r="P95" s="45"/>
      <c r="Q95" s="45"/>
      <c r="R95" s="45"/>
      <c r="S95" s="45"/>
      <c r="T95" s="45"/>
      <c r="U95" s="45"/>
      <c r="V95" s="45"/>
      <c r="W95" s="45"/>
      <c r="X95" s="45"/>
      <c r="Y95" s="45"/>
      <c r="Z95" s="45"/>
      <c r="AA95" s="45"/>
      <c r="AB95" s="45"/>
      <c r="AC95" s="45"/>
      <c r="AD95" s="45"/>
      <c r="AE95" s="45"/>
    </row>
    <row r="96" spans="1:31" ht="15">
      <c r="N96" s="947"/>
      <c r="O96" s="948"/>
      <c r="P96" s="948"/>
      <c r="Q96" s="4"/>
      <c r="R96" s="1362"/>
      <c r="S96" s="1362"/>
      <c r="T96" s="4"/>
      <c r="U96" s="4"/>
      <c r="W96" s="15"/>
      <c r="AA96" s="15"/>
      <c r="AB96" s="15"/>
      <c r="AC96" s="15"/>
      <c r="AD96" s="15"/>
      <c r="AE96" s="15"/>
    </row>
    <row r="97" spans="7:31">
      <c r="G97" s="15"/>
      <c r="K97" s="15"/>
      <c r="O97" s="15"/>
      <c r="Q97" s="4"/>
      <c r="R97" s="4"/>
      <c r="S97" s="4"/>
      <c r="T97" s="4"/>
      <c r="U97" s="5"/>
      <c r="AA97" s="5"/>
      <c r="AB97" s="5"/>
      <c r="AC97" s="5"/>
      <c r="AD97" s="5"/>
      <c r="AE97" s="5"/>
    </row>
    <row r="98" spans="7:31">
      <c r="G98" s="67"/>
      <c r="K98" s="67"/>
      <c r="O98" s="67"/>
      <c r="U98" s="5"/>
    </row>
    <row r="99" spans="7:31">
      <c r="P99" s="67"/>
      <c r="Q99" s="67"/>
      <c r="R99" s="67"/>
      <c r="S99" s="67"/>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G61"/>
  <sheetViews>
    <sheetView showGridLines="0" zoomScale="80" zoomScaleNormal="80" zoomScalePageLayoutView="80" workbookViewId="0">
      <pane xSplit="2" ySplit="8" topLeftCell="O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22.44140625" customWidth="1"/>
    <col min="2" max="2" width="16.44140625" style="23" customWidth="1"/>
    <col min="3" max="10" width="12.109375" hidden="1" customWidth="1" outlineLevel="1"/>
    <col min="11" max="11" width="12.44140625" hidden="1" customWidth="1" outlineLevel="1" collapsed="1"/>
    <col min="12" max="13" width="13.77734375" hidden="1" customWidth="1" outlineLevel="1"/>
    <col min="14" max="14" width="13.44140625" hidden="1" customWidth="1" outlineLevel="1"/>
    <col min="15" max="15" width="12" customWidth="1" collapsed="1"/>
    <col min="16" max="16" width="13.33203125" customWidth="1"/>
    <col min="17" max="21" width="12" customWidth="1"/>
    <col min="22" max="22" width="13.88671875" customWidth="1"/>
    <col min="23" max="26" width="13.109375" customWidth="1"/>
    <col min="27" max="30" width="13" customWidth="1"/>
  </cols>
  <sheetData>
    <row r="1" spans="1:30" ht="25.05" customHeight="1">
      <c r="A1" s="69" t="str">
        <f>Introduction!$B$1</f>
        <v>Vendor Survey Results through H1 2023</v>
      </c>
    </row>
    <row r="2" spans="1:30" ht="15">
      <c r="A2" s="249" t="str">
        <f>Introduction!$B$2</f>
        <v>December 2023 QMU - Sample template for illustrative purposes only</v>
      </c>
    </row>
    <row r="3" spans="1:30" ht="17.399999999999999">
      <c r="A3" s="503" t="s">
        <v>16</v>
      </c>
      <c r="AA3" s="503"/>
    </row>
    <row r="4" spans="1:30" ht="17.399999999999999">
      <c r="AA4" s="503"/>
    </row>
    <row r="5" spans="1:30" ht="15.6">
      <c r="M5" s="688"/>
    </row>
    <row r="6" spans="1:30" ht="16.2" thickBot="1">
      <c r="M6" s="688"/>
      <c r="O6" s="688"/>
      <c r="P6" s="13"/>
      <c r="Q6" s="688"/>
      <c r="R6" s="13"/>
      <c r="S6" s="688"/>
      <c r="T6" s="13"/>
      <c r="W6" s="1748"/>
    </row>
    <row r="7" spans="1:30" s="576" customFormat="1" ht="16.2" thickBot="1">
      <c r="A7" s="518" t="str">
        <f>A3</f>
        <v>Optical Interconnects</v>
      </c>
      <c r="B7" s="577"/>
      <c r="D7" s="1089"/>
      <c r="E7" s="1089"/>
      <c r="F7" s="1229"/>
      <c r="G7" s="1230" t="s">
        <v>164</v>
      </c>
      <c r="H7" s="1089"/>
      <c r="I7" s="1089"/>
      <c r="J7" s="1089"/>
      <c r="K7" s="1089"/>
      <c r="L7" s="1089"/>
      <c r="N7"/>
      <c r="O7" s="1748" t="s">
        <v>164</v>
      </c>
      <c r="P7"/>
      <c r="Q7"/>
      <c r="R7"/>
      <c r="S7"/>
      <c r="T7"/>
      <c r="U7"/>
      <c r="V7"/>
      <c r="W7" s="1748" t="str">
        <f>O7</f>
        <v>Shipments: Actual Data</v>
      </c>
      <c r="X7"/>
      <c r="Y7"/>
      <c r="Z7"/>
      <c r="AA7" s="1"/>
      <c r="AB7" s="1"/>
      <c r="AC7" s="2113" t="s">
        <v>280</v>
      </c>
      <c r="AD7" s="1710"/>
    </row>
    <row r="8" spans="1:30" ht="13.8" thickBot="1">
      <c r="A8" s="1185" t="s">
        <v>236</v>
      </c>
      <c r="B8" s="1185" t="s">
        <v>166</v>
      </c>
      <c r="C8" s="459" t="s">
        <v>100</v>
      </c>
      <c r="D8" s="460" t="s">
        <v>101</v>
      </c>
      <c r="E8" s="460" t="s">
        <v>102</v>
      </c>
      <c r="F8" s="1186" t="s">
        <v>103</v>
      </c>
      <c r="G8" s="1066" t="s">
        <v>104</v>
      </c>
      <c r="H8" s="460" t="s">
        <v>105</v>
      </c>
      <c r="I8" s="460" t="s">
        <v>106</v>
      </c>
      <c r="J8" s="1187" t="s">
        <v>107</v>
      </c>
      <c r="K8" s="459" t="s">
        <v>108</v>
      </c>
      <c r="L8" s="460" t="s">
        <v>109</v>
      </c>
      <c r="M8" s="460" t="s">
        <v>110</v>
      </c>
      <c r="N8" s="1186" t="s">
        <v>111</v>
      </c>
      <c r="O8" s="2124" t="s">
        <v>112</v>
      </c>
      <c r="P8" s="2125" t="s">
        <v>113</v>
      </c>
      <c r="Q8" s="2125" t="s">
        <v>114</v>
      </c>
      <c r="R8" s="2126" t="s">
        <v>115</v>
      </c>
      <c r="S8" s="2124" t="s">
        <v>463</v>
      </c>
      <c r="T8" s="2125" t="s">
        <v>464</v>
      </c>
      <c r="U8" s="697" t="s">
        <v>465</v>
      </c>
      <c r="V8" s="2126" t="s">
        <v>466</v>
      </c>
      <c r="W8" s="2124" t="s">
        <v>467</v>
      </c>
      <c r="X8" s="2125" t="s">
        <v>468</v>
      </c>
      <c r="Y8" s="2125" t="s">
        <v>469</v>
      </c>
      <c r="Z8" s="2126" t="s">
        <v>470</v>
      </c>
      <c r="AA8" s="2127" t="s">
        <v>568</v>
      </c>
      <c r="AB8" s="2126" t="s">
        <v>594</v>
      </c>
      <c r="AC8" s="1372" t="s">
        <v>595</v>
      </c>
      <c r="AD8" s="462" t="s">
        <v>596</v>
      </c>
    </row>
    <row r="9" spans="1:30" ht="38.25" customHeight="1">
      <c r="A9" s="578" t="s">
        <v>237</v>
      </c>
      <c r="B9" s="1059" t="s">
        <v>386</v>
      </c>
      <c r="C9" s="232">
        <v>47963</v>
      </c>
      <c r="D9" s="229">
        <v>47387</v>
      </c>
      <c r="E9" s="229">
        <v>39043</v>
      </c>
      <c r="F9" s="291">
        <v>26100</v>
      </c>
      <c r="G9" s="1061">
        <v>8000</v>
      </c>
      <c r="H9" s="229">
        <v>8470</v>
      </c>
      <c r="I9" s="229">
        <v>27179</v>
      </c>
      <c r="J9" s="1064">
        <v>30130</v>
      </c>
      <c r="K9" s="232">
        <v>29776</v>
      </c>
      <c r="L9" s="229">
        <v>36043</v>
      </c>
      <c r="M9" s="229">
        <v>37500</v>
      </c>
      <c r="N9" s="291">
        <v>40000</v>
      </c>
      <c r="O9" s="1178" t="s">
        <v>444</v>
      </c>
      <c r="P9" s="229"/>
      <c r="Q9" s="292"/>
      <c r="R9" s="291"/>
      <c r="S9" s="1061"/>
      <c r="T9" s="229"/>
      <c r="U9" s="292"/>
      <c r="V9" s="291"/>
      <c r="W9" s="1178"/>
      <c r="X9" s="229"/>
      <c r="Y9" s="1374"/>
      <c r="Z9" s="291"/>
      <c r="AA9" s="1737"/>
      <c r="AB9" s="1738"/>
      <c r="AC9" s="1778"/>
      <c r="AD9" s="2108"/>
    </row>
    <row r="10" spans="1:30" ht="15.75" customHeight="1">
      <c r="A10" s="579" t="s">
        <v>454</v>
      </c>
      <c r="B10" s="1060" t="s">
        <v>387</v>
      </c>
      <c r="C10" s="1062">
        <v>11244</v>
      </c>
      <c r="D10" s="1058">
        <v>10866</v>
      </c>
      <c r="E10" s="292">
        <v>13416</v>
      </c>
      <c r="F10" s="291">
        <v>20365</v>
      </c>
      <c r="G10" s="292">
        <v>33738</v>
      </c>
      <c r="H10" s="230">
        <v>25062</v>
      </c>
      <c r="I10" s="292">
        <v>35328</v>
      </c>
      <c r="J10" s="1064">
        <v>48332</v>
      </c>
      <c r="K10" s="1062">
        <v>34200</v>
      </c>
      <c r="L10" s="1058">
        <v>38641</v>
      </c>
      <c r="M10" s="292">
        <v>35000</v>
      </c>
      <c r="N10" s="291">
        <v>40000</v>
      </c>
      <c r="O10" s="292">
        <v>12100</v>
      </c>
      <c r="P10" s="230"/>
      <c r="Q10" s="292"/>
      <c r="R10" s="291"/>
      <c r="S10" s="292"/>
      <c r="T10" s="230"/>
      <c r="U10" s="292"/>
      <c r="V10" s="291"/>
      <c r="W10" s="1681"/>
      <c r="X10" s="1682"/>
      <c r="Y10" s="1681"/>
      <c r="Z10" s="291"/>
      <c r="AA10" s="1739"/>
      <c r="AB10" s="1740"/>
      <c r="AC10" s="2104"/>
      <c r="AD10" s="2109"/>
    </row>
    <row r="11" spans="1:30" ht="15.75" customHeight="1">
      <c r="A11" s="1056" t="s">
        <v>452</v>
      </c>
      <c r="B11" s="258" t="s">
        <v>456</v>
      </c>
      <c r="C11" s="1062">
        <v>575603</v>
      </c>
      <c r="D11" s="1058">
        <v>822493</v>
      </c>
      <c r="E11" s="1058">
        <v>925325</v>
      </c>
      <c r="F11" s="1063">
        <v>908284</v>
      </c>
      <c r="G11" s="292">
        <v>1043828</v>
      </c>
      <c r="H11" s="1058">
        <v>1123624</v>
      </c>
      <c r="I11" s="1058">
        <v>1106052</v>
      </c>
      <c r="J11" s="1065">
        <v>982847</v>
      </c>
      <c r="K11" s="1062">
        <v>745535</v>
      </c>
      <c r="L11" s="1058">
        <v>795473</v>
      </c>
      <c r="M11" s="1058">
        <v>575000</v>
      </c>
      <c r="N11" s="1063">
        <v>485000</v>
      </c>
      <c r="O11" s="292">
        <v>280000</v>
      </c>
      <c r="P11" s="1058"/>
      <c r="Q11" s="1179"/>
      <c r="R11" s="1180"/>
      <c r="S11" s="292"/>
      <c r="T11" s="1058"/>
      <c r="U11" s="1179"/>
      <c r="V11" s="1180"/>
      <c r="W11" s="1681"/>
      <c r="X11" s="1683"/>
      <c r="Y11" s="1681"/>
      <c r="Z11" s="1180"/>
      <c r="AA11" s="1812"/>
      <c r="AB11" s="1811"/>
      <c r="AC11" s="2105"/>
      <c r="AD11" s="2110"/>
    </row>
    <row r="12" spans="1:30" ht="15.75" customHeight="1">
      <c r="A12" s="1056" t="s">
        <v>452</v>
      </c>
      <c r="B12" s="258" t="s">
        <v>457</v>
      </c>
      <c r="C12" s="1062">
        <v>4004</v>
      </c>
      <c r="D12" s="1058">
        <v>29905</v>
      </c>
      <c r="E12" s="1058">
        <v>60839</v>
      </c>
      <c r="F12" s="1063">
        <v>75904</v>
      </c>
      <c r="G12" s="292">
        <v>128869</v>
      </c>
      <c r="H12" s="1058">
        <v>273431</v>
      </c>
      <c r="I12" s="1058">
        <v>380316</v>
      </c>
      <c r="J12" s="1065">
        <v>242784</v>
      </c>
      <c r="K12" s="1062">
        <v>183722</v>
      </c>
      <c r="L12" s="1058">
        <v>197307</v>
      </c>
      <c r="M12" s="1058">
        <v>398000</v>
      </c>
      <c r="N12" s="1063">
        <v>475000</v>
      </c>
      <c r="O12" s="292">
        <v>490337</v>
      </c>
      <c r="P12" s="1058"/>
      <c r="Q12" s="1179"/>
      <c r="R12" s="1180"/>
      <c r="S12" s="292"/>
      <c r="T12" s="1058"/>
      <c r="U12" s="1179"/>
      <c r="V12" s="1180"/>
      <c r="W12" s="1681"/>
      <c r="X12" s="1683"/>
      <c r="Y12" s="1681"/>
      <c r="Z12" s="1180"/>
      <c r="AA12" s="1812"/>
      <c r="AB12" s="1811"/>
      <c r="AC12" s="2105"/>
      <c r="AD12" s="2110"/>
    </row>
    <row r="13" spans="1:30" ht="15.75" customHeight="1">
      <c r="A13" s="1056" t="s">
        <v>452</v>
      </c>
      <c r="B13" s="258" t="s">
        <v>429</v>
      </c>
      <c r="C13" s="1062">
        <v>52902</v>
      </c>
      <c r="D13" s="1058">
        <v>57244</v>
      </c>
      <c r="E13" s="1058">
        <v>45070</v>
      </c>
      <c r="F13" s="1063">
        <v>50712</v>
      </c>
      <c r="G13" s="292">
        <v>74728</v>
      </c>
      <c r="H13" s="1058">
        <v>77535</v>
      </c>
      <c r="I13" s="1058">
        <v>74288</v>
      </c>
      <c r="J13" s="1065">
        <v>70018</v>
      </c>
      <c r="K13" s="1062">
        <v>55977</v>
      </c>
      <c r="L13" s="1058">
        <v>72386</v>
      </c>
      <c r="M13" s="1058">
        <v>52300</v>
      </c>
      <c r="N13" s="1063">
        <v>49100</v>
      </c>
      <c r="O13" s="292">
        <v>54460</v>
      </c>
      <c r="P13" s="1058"/>
      <c r="Q13" s="1179"/>
      <c r="R13" s="1180"/>
      <c r="S13" s="292"/>
      <c r="T13" s="1058"/>
      <c r="U13" s="1179"/>
      <c r="V13" s="1180"/>
      <c r="W13" s="1681"/>
      <c r="X13" s="1683"/>
      <c r="Y13" s="1681"/>
      <c r="Z13" s="1180"/>
      <c r="AA13" s="1812"/>
      <c r="AB13" s="1811"/>
      <c r="AC13" s="2105"/>
      <c r="AD13" s="2110"/>
    </row>
    <row r="14" spans="1:30" ht="15.75" customHeight="1">
      <c r="A14" s="1056" t="s">
        <v>452</v>
      </c>
      <c r="B14" s="258" t="s">
        <v>446</v>
      </c>
      <c r="C14" s="1062">
        <v>13393</v>
      </c>
      <c r="D14" s="1058">
        <v>17571</v>
      </c>
      <c r="E14" s="1058">
        <v>12226</v>
      </c>
      <c r="F14" s="1063">
        <v>29015</v>
      </c>
      <c r="G14" s="292">
        <v>14982</v>
      </c>
      <c r="H14" s="1058">
        <v>10839</v>
      </c>
      <c r="I14" s="1058">
        <v>10302</v>
      </c>
      <c r="J14" s="1065">
        <v>8027</v>
      </c>
      <c r="K14" s="1062">
        <v>7420</v>
      </c>
      <c r="L14" s="1058">
        <v>5357</v>
      </c>
      <c r="M14" s="1058">
        <v>3800</v>
      </c>
      <c r="N14" s="1063">
        <v>3700</v>
      </c>
      <c r="O14" s="292">
        <v>8845</v>
      </c>
      <c r="P14" s="1058"/>
      <c r="Q14" s="1179"/>
      <c r="R14" s="1180"/>
      <c r="S14" s="292"/>
      <c r="T14" s="1058"/>
      <c r="U14" s="1179"/>
      <c r="V14" s="1180"/>
      <c r="W14" s="1681"/>
      <c r="X14" s="1683"/>
      <c r="Y14" s="1681"/>
      <c r="Z14" s="1180"/>
      <c r="AA14" s="1812"/>
      <c r="AB14" s="1811"/>
      <c r="AC14" s="2105"/>
      <c r="AD14" s="2110"/>
    </row>
    <row r="15" spans="1:30" ht="15.75" customHeight="1">
      <c r="A15" s="1056" t="s">
        <v>452</v>
      </c>
      <c r="B15" s="258" t="s">
        <v>447</v>
      </c>
      <c r="C15" s="1062">
        <v>72231</v>
      </c>
      <c r="D15" s="1058">
        <v>51997</v>
      </c>
      <c r="E15" s="1058">
        <v>91592</v>
      </c>
      <c r="F15" s="1063">
        <v>86662</v>
      </c>
      <c r="G15" s="292">
        <v>47062</v>
      </c>
      <c r="H15" s="1058">
        <v>48532</v>
      </c>
      <c r="I15" s="1058">
        <v>80379</v>
      </c>
      <c r="J15" s="1065">
        <v>75037</v>
      </c>
      <c r="K15" s="1062">
        <v>68806</v>
      </c>
      <c r="L15" s="1058">
        <v>96286</v>
      </c>
      <c r="M15" s="1058">
        <v>117000</v>
      </c>
      <c r="N15" s="1063">
        <v>171000</v>
      </c>
      <c r="O15" s="292">
        <v>195900</v>
      </c>
      <c r="P15" s="1058"/>
      <c r="Q15" s="1179"/>
      <c r="R15" s="1180"/>
      <c r="S15" s="292"/>
      <c r="T15" s="1058"/>
      <c r="U15" s="1179"/>
      <c r="V15" s="1180"/>
      <c r="W15" s="1681"/>
      <c r="X15" s="1683"/>
      <c r="Y15" s="1681"/>
      <c r="Z15" s="1180"/>
      <c r="AA15" s="1812"/>
      <c r="AB15" s="1811"/>
      <c r="AC15" s="2105"/>
      <c r="AD15" s="2110"/>
    </row>
    <row r="16" spans="1:30" ht="15.75" customHeight="1">
      <c r="A16" s="1056" t="s">
        <v>452</v>
      </c>
      <c r="B16" s="258" t="s">
        <v>448</v>
      </c>
      <c r="C16" s="1062"/>
      <c r="D16" s="1058"/>
      <c r="E16" s="1058"/>
      <c r="F16" s="1063"/>
      <c r="G16" s="292"/>
      <c r="H16" s="1058"/>
      <c r="I16" s="1058"/>
      <c r="J16" s="1065"/>
      <c r="K16" s="1062">
        <v>21337</v>
      </c>
      <c r="L16" s="1058">
        <v>25024</v>
      </c>
      <c r="M16" s="1058">
        <v>27000</v>
      </c>
      <c r="N16" s="1063">
        <v>23000</v>
      </c>
      <c r="O16" s="292">
        <v>35000</v>
      </c>
      <c r="P16" s="1058"/>
      <c r="Q16" s="1179"/>
      <c r="R16" s="1180"/>
      <c r="S16" s="292"/>
      <c r="T16" s="1058"/>
      <c r="U16" s="1179"/>
      <c r="V16" s="1180"/>
      <c r="W16" s="1681"/>
      <c r="X16" s="1683"/>
      <c r="Y16" s="1681"/>
      <c r="Z16" s="1180"/>
      <c r="AA16" s="1812"/>
      <c r="AB16" s="1811"/>
      <c r="AC16" s="2105"/>
      <c r="AD16" s="2110"/>
    </row>
    <row r="17" spans="1:33" ht="15.75" customHeight="1">
      <c r="A17" s="1056" t="s">
        <v>452</v>
      </c>
      <c r="B17" s="258" t="s">
        <v>449</v>
      </c>
      <c r="C17" s="1062"/>
      <c r="D17" s="1058"/>
      <c r="E17" s="1058"/>
      <c r="F17" s="1063"/>
      <c r="G17" s="292"/>
      <c r="H17" s="1058"/>
      <c r="I17" s="1058">
        <v>1850</v>
      </c>
      <c r="J17" s="1065">
        <v>5400</v>
      </c>
      <c r="K17" s="1062">
        <v>7394</v>
      </c>
      <c r="L17" s="1058">
        <v>9300</v>
      </c>
      <c r="M17" s="1058">
        <v>5900</v>
      </c>
      <c r="N17" s="1063">
        <v>8400</v>
      </c>
      <c r="O17" s="292">
        <v>5900</v>
      </c>
      <c r="P17" s="1058"/>
      <c r="Q17" s="1179"/>
      <c r="R17" s="1180"/>
      <c r="S17" s="292"/>
      <c r="T17" s="1058"/>
      <c r="U17" s="1179"/>
      <c r="V17" s="1180"/>
      <c r="W17" s="1681"/>
      <c r="X17" s="1683"/>
      <c r="Y17" s="1681"/>
      <c r="Z17" s="1180"/>
      <c r="AA17" s="1812"/>
      <c r="AB17" s="1811"/>
      <c r="AC17" s="2105"/>
      <c r="AD17" s="2110"/>
    </row>
    <row r="18" spans="1:33" ht="15.75" customHeight="1">
      <c r="A18" s="1056" t="s">
        <v>452</v>
      </c>
      <c r="B18" s="258" t="s">
        <v>450</v>
      </c>
      <c r="C18" s="1062">
        <v>21307</v>
      </c>
      <c r="D18" s="1058">
        <v>20287</v>
      </c>
      <c r="E18" s="1058">
        <v>23254</v>
      </c>
      <c r="F18" s="1063">
        <v>25384</v>
      </c>
      <c r="G18" s="292">
        <v>11586</v>
      </c>
      <c r="H18" s="1058">
        <v>17323</v>
      </c>
      <c r="I18" s="1058">
        <v>10989</v>
      </c>
      <c r="J18" s="1065">
        <v>15225</v>
      </c>
      <c r="K18" s="1062">
        <v>20906</v>
      </c>
      <c r="L18" s="1058">
        <v>33999</v>
      </c>
      <c r="M18" s="1058">
        <v>42000</v>
      </c>
      <c r="N18" s="1063">
        <v>50000</v>
      </c>
      <c r="O18" s="292">
        <v>13000</v>
      </c>
      <c r="P18" s="1058"/>
      <c r="Q18" s="1179"/>
      <c r="R18" s="1180"/>
      <c r="S18" s="292"/>
      <c r="T18" s="1058"/>
      <c r="U18" s="1179"/>
      <c r="V18" s="1180"/>
      <c r="W18" s="1681"/>
      <c r="X18" s="1683"/>
      <c r="Y18" s="1681"/>
      <c r="Z18" s="1180"/>
      <c r="AA18" s="1812"/>
      <c r="AB18" s="1811"/>
      <c r="AC18" s="2105"/>
      <c r="AD18" s="2110"/>
    </row>
    <row r="19" spans="1:33" ht="15.75" customHeight="1">
      <c r="A19" s="1056" t="s">
        <v>452</v>
      </c>
      <c r="B19" s="258" t="s">
        <v>451</v>
      </c>
      <c r="C19" s="1062"/>
      <c r="D19" s="1058"/>
      <c r="E19" s="1058"/>
      <c r="F19" s="1063"/>
      <c r="G19" s="292"/>
      <c r="H19" s="1058"/>
      <c r="I19" s="1058"/>
      <c r="J19" s="1065"/>
      <c r="K19" s="1062">
        <v>7803</v>
      </c>
      <c r="L19" s="1058">
        <v>6963</v>
      </c>
      <c r="M19" s="1058">
        <v>8000</v>
      </c>
      <c r="N19" s="1063">
        <v>11200</v>
      </c>
      <c r="O19" s="292">
        <v>2000</v>
      </c>
      <c r="P19" s="1058"/>
      <c r="Q19" s="1179"/>
      <c r="R19" s="1180"/>
      <c r="S19" s="292"/>
      <c r="T19" s="1058"/>
      <c r="U19" s="1179"/>
      <c r="V19" s="1180"/>
      <c r="W19" s="1681"/>
      <c r="X19" s="1683"/>
      <c r="Y19" s="1681"/>
      <c r="Z19" s="1180"/>
      <c r="AA19" s="1812"/>
      <c r="AB19" s="1811"/>
      <c r="AC19" s="2105"/>
      <c r="AD19" s="2110"/>
    </row>
    <row r="20" spans="1:33" ht="13.5" customHeight="1" thickBot="1">
      <c r="A20" s="949" t="s">
        <v>172</v>
      </c>
      <c r="B20" s="1057" t="s">
        <v>453</v>
      </c>
      <c r="C20" s="1067">
        <f t="shared" ref="C20:O20" si="0">SUM(C11:C19)</f>
        <v>739440</v>
      </c>
      <c r="D20" s="1068">
        <f t="shared" si="0"/>
        <v>999497</v>
      </c>
      <c r="E20" s="1069">
        <f t="shared" si="0"/>
        <v>1158306</v>
      </c>
      <c r="F20" s="1070">
        <f t="shared" si="0"/>
        <v>1175961</v>
      </c>
      <c r="G20" s="1071">
        <f t="shared" si="0"/>
        <v>1321055</v>
      </c>
      <c r="H20" s="1068">
        <f t="shared" si="0"/>
        <v>1551284</v>
      </c>
      <c r="I20" s="1069">
        <f t="shared" si="0"/>
        <v>1664176</v>
      </c>
      <c r="J20" s="1072">
        <f t="shared" si="0"/>
        <v>1399338</v>
      </c>
      <c r="K20" s="1181">
        <f t="shared" si="0"/>
        <v>1118900</v>
      </c>
      <c r="L20" s="1182">
        <f t="shared" si="0"/>
        <v>1242095</v>
      </c>
      <c r="M20" s="1182">
        <f t="shared" si="0"/>
        <v>1229000</v>
      </c>
      <c r="N20" s="1183">
        <f t="shared" si="0"/>
        <v>1276400</v>
      </c>
      <c r="O20" s="1181">
        <f t="shared" si="0"/>
        <v>1085442</v>
      </c>
      <c r="P20" s="1182"/>
      <c r="Q20" s="1182"/>
      <c r="R20" s="1183"/>
      <c r="S20" s="1181"/>
      <c r="T20" s="1182"/>
      <c r="U20" s="1182"/>
      <c r="V20" s="1183"/>
      <c r="W20" s="1684"/>
      <c r="X20" s="1685"/>
      <c r="Y20" s="1681"/>
      <c r="Z20" s="1183"/>
      <c r="AA20" s="1684"/>
      <c r="AB20" s="1685"/>
      <c r="AC20" s="2106"/>
      <c r="AD20" s="2111"/>
      <c r="AG20" s="180"/>
    </row>
    <row r="21" spans="1:33" ht="13.8" thickBot="1">
      <c r="A21" s="2237" t="s">
        <v>121</v>
      </c>
      <c r="B21" s="2238"/>
      <c r="C21" s="231">
        <f>C20+C10+C9</f>
        <v>798647</v>
      </c>
      <c r="D21" s="1073">
        <f t="shared" ref="D21:R21" si="1">D20+D10+D9</f>
        <v>1057750</v>
      </c>
      <c r="E21" s="1073">
        <f t="shared" si="1"/>
        <v>1210765</v>
      </c>
      <c r="F21" s="1074">
        <f t="shared" si="1"/>
        <v>1222426</v>
      </c>
      <c r="G21" s="1075">
        <f t="shared" si="1"/>
        <v>1362793</v>
      </c>
      <c r="H21" s="1073">
        <f t="shared" si="1"/>
        <v>1584816</v>
      </c>
      <c r="I21" s="1073">
        <f t="shared" si="1"/>
        <v>1726683</v>
      </c>
      <c r="J21" s="1074">
        <f t="shared" si="1"/>
        <v>1477800</v>
      </c>
      <c r="K21" s="1075">
        <f t="shared" si="1"/>
        <v>1182876</v>
      </c>
      <c r="L21" s="1073">
        <f t="shared" si="1"/>
        <v>1316779</v>
      </c>
      <c r="M21" s="1073">
        <f t="shared" si="1"/>
        <v>1301500</v>
      </c>
      <c r="N21" s="1074">
        <f t="shared" si="1"/>
        <v>1356400</v>
      </c>
      <c r="O21" s="1777">
        <f>O20+O10</f>
        <v>1097542</v>
      </c>
      <c r="P21" s="2103">
        <f>P20+P10+P9</f>
        <v>0</v>
      </c>
      <c r="Q21" s="2103">
        <f>Q20+Q10+Q9</f>
        <v>0</v>
      </c>
      <c r="R21" s="2102">
        <f t="shared" si="1"/>
        <v>0</v>
      </c>
      <c r="S21" s="1777">
        <f>S20+S10</f>
        <v>0</v>
      </c>
      <c r="T21" s="2103">
        <f>T20+T10+T9</f>
        <v>0</v>
      </c>
      <c r="U21" s="2103">
        <f>U20+U10+U9</f>
        <v>0</v>
      </c>
      <c r="V21" s="2102">
        <f>V20+V10+V9</f>
        <v>0</v>
      </c>
      <c r="W21" s="1075">
        <f>W20+W10</f>
        <v>0</v>
      </c>
      <c r="X21" s="2103">
        <f>X20+X10+X9</f>
        <v>0</v>
      </c>
      <c r="Y21" s="2103">
        <f>Y20+Y10</f>
        <v>0</v>
      </c>
      <c r="Z21" s="1074">
        <f>Z20+Z10+Z9</f>
        <v>0</v>
      </c>
      <c r="AA21" s="1075">
        <f>AA20+AA10</f>
        <v>0</v>
      </c>
      <c r="AB21" s="2103">
        <f>AB20+AB10+AB9</f>
        <v>0</v>
      </c>
      <c r="AC21" s="2107">
        <f>AC20+AC10</f>
        <v>0</v>
      </c>
      <c r="AD21" s="2112">
        <f>AD20+AD10+AD9</f>
        <v>0</v>
      </c>
    </row>
    <row r="22" spans="1:33">
      <c r="A22" s="23"/>
      <c r="C22" s="23"/>
      <c r="D22" s="23"/>
      <c r="E22" s="23"/>
      <c r="F22" s="23"/>
      <c r="G22" s="23"/>
      <c r="H22" s="23"/>
      <c r="I22" s="23"/>
      <c r="J22" s="23"/>
      <c r="K22" s="23"/>
      <c r="L22" s="23"/>
      <c r="M22" s="23"/>
      <c r="N22" s="23"/>
      <c r="O22" s="23"/>
      <c r="P22" s="23"/>
      <c r="Q22" s="23"/>
      <c r="R22" s="23"/>
      <c r="S22" s="23"/>
      <c r="T22" s="23"/>
      <c r="U22" s="23"/>
      <c r="W22" s="23"/>
      <c r="X22" s="23"/>
      <c r="Y22" s="23"/>
      <c r="Z22" s="23"/>
      <c r="AA22" s="23"/>
      <c r="AB22" s="23"/>
      <c r="AC22" s="23"/>
      <c r="AD22" s="23"/>
    </row>
    <row r="23" spans="1:33" ht="16.2" thickBot="1">
      <c r="M23" s="688"/>
      <c r="O23" s="688"/>
      <c r="P23" s="13"/>
      <c r="Q23" s="688"/>
      <c r="R23" s="13"/>
      <c r="S23" s="688"/>
      <c r="T23" s="13"/>
      <c r="W23" s="1748"/>
    </row>
    <row r="24" spans="1:33" ht="16.2" thickBot="1">
      <c r="A24" s="518" t="str">
        <f>A7</f>
        <v>Optical Interconnects</v>
      </c>
      <c r="B24" s="577"/>
      <c r="C24" s="576"/>
      <c r="D24" s="1089"/>
      <c r="E24" s="1089"/>
      <c r="F24" s="1229"/>
      <c r="G24" s="1230" t="s">
        <v>178</v>
      </c>
      <c r="H24" s="1089"/>
      <c r="I24" s="1089"/>
      <c r="J24" s="1089"/>
      <c r="K24" s="1089"/>
      <c r="L24" s="1089"/>
      <c r="M24" s="576"/>
      <c r="O24" s="1748" t="s">
        <v>178</v>
      </c>
      <c r="W24" s="1748" t="str">
        <f>O24</f>
        <v>ASP: Actual Data</v>
      </c>
      <c r="AA24" s="1"/>
      <c r="AB24" s="1"/>
      <c r="AC24" s="2113" t="s">
        <v>438</v>
      </c>
      <c r="AD24" s="1710"/>
    </row>
    <row r="25" spans="1:33" ht="13.8" thickBot="1">
      <c r="A25" s="1185" t="s">
        <v>236</v>
      </c>
      <c r="B25" s="1185" t="s">
        <v>166</v>
      </c>
      <c r="C25" s="459" t="s">
        <v>100</v>
      </c>
      <c r="D25" s="460" t="s">
        <v>101</v>
      </c>
      <c r="E25" s="460" t="s">
        <v>102</v>
      </c>
      <c r="F25" s="1186" t="s">
        <v>103</v>
      </c>
      <c r="G25" s="1066" t="str">
        <f t="shared" ref="G25:L25" si="2">G8</f>
        <v>1Q 18</v>
      </c>
      <c r="H25" s="460" t="str">
        <f t="shared" si="2"/>
        <v>2Q 18</v>
      </c>
      <c r="I25" s="460" t="str">
        <f t="shared" si="2"/>
        <v>3Q 18</v>
      </c>
      <c r="J25" s="1187" t="str">
        <f t="shared" si="2"/>
        <v>4Q 18</v>
      </c>
      <c r="K25" s="459" t="str">
        <f t="shared" si="2"/>
        <v>1Q 19</v>
      </c>
      <c r="L25" s="460" t="str">
        <f t="shared" si="2"/>
        <v>2Q 19</v>
      </c>
      <c r="M25" s="460" t="s">
        <v>110</v>
      </c>
      <c r="N25" s="1186" t="s">
        <v>111</v>
      </c>
      <c r="O25" s="2124" t="s">
        <v>112</v>
      </c>
      <c r="P25" s="2125" t="s">
        <v>113</v>
      </c>
      <c r="Q25" s="2125" t="s">
        <v>114</v>
      </c>
      <c r="R25" s="2126" t="s">
        <v>115</v>
      </c>
      <c r="S25" s="2124" t="s">
        <v>463</v>
      </c>
      <c r="T25" s="2125" t="s">
        <v>464</v>
      </c>
      <c r="U25" s="697" t="s">
        <v>465</v>
      </c>
      <c r="V25" s="2126" t="s">
        <v>466</v>
      </c>
      <c r="W25" s="2124" t="s">
        <v>467</v>
      </c>
      <c r="X25" s="2125" t="s">
        <v>468</v>
      </c>
      <c r="Y25" s="2125" t="str">
        <f t="shared" ref="Y25:Z25" si="3">X8</f>
        <v>2Q 22</v>
      </c>
      <c r="Z25" s="2126" t="str">
        <f t="shared" si="3"/>
        <v>3Q 22</v>
      </c>
      <c r="AA25" s="2127" t="s">
        <v>568</v>
      </c>
      <c r="AB25" s="2126" t="s">
        <v>594</v>
      </c>
      <c r="AC25" s="1372" t="s">
        <v>595</v>
      </c>
      <c r="AD25" s="462" t="s">
        <v>596</v>
      </c>
    </row>
    <row r="26" spans="1:33" ht="39" customHeight="1">
      <c r="A26" s="578" t="s">
        <v>237</v>
      </c>
      <c r="B26" s="1079" t="str">
        <f>B9</f>
        <v>up to 12x16 Gbps</v>
      </c>
      <c r="C26" s="1081">
        <v>213.49738339970395</v>
      </c>
      <c r="D26" s="233">
        <v>180.27062274463461</v>
      </c>
      <c r="E26" s="233">
        <v>173.97510437210249</v>
      </c>
      <c r="F26" s="1082">
        <v>163.85823754789271</v>
      </c>
      <c r="G26" s="233">
        <v>160</v>
      </c>
      <c r="H26" s="233">
        <v>173.36363636363637</v>
      </c>
      <c r="I26" s="640">
        <v>186.36163729349863</v>
      </c>
      <c r="J26" s="1085">
        <v>190.95474941918351</v>
      </c>
      <c r="K26" s="1081">
        <v>178.17957079527145</v>
      </c>
      <c r="L26" s="233">
        <v>181.41845684321504</v>
      </c>
      <c r="M26" s="640">
        <v>170</v>
      </c>
      <c r="N26" s="1087">
        <v>165</v>
      </c>
      <c r="O26" s="1178" t="s">
        <v>444</v>
      </c>
      <c r="P26" s="233"/>
      <c r="Q26" s="1201"/>
      <c r="R26" s="1202"/>
      <c r="S26" s="1061"/>
      <c r="T26" s="1360"/>
      <c r="U26" s="233"/>
      <c r="V26" s="1082"/>
      <c r="W26" s="1178"/>
      <c r="X26" s="233"/>
      <c r="Y26" s="1178"/>
      <c r="Z26" s="1082"/>
      <c r="AA26" s="1178"/>
      <c r="AB26" s="233"/>
      <c r="AC26" s="2089"/>
      <c r="AD26" s="1087"/>
    </row>
    <row r="27" spans="1:33">
      <c r="A27" s="1419" t="s">
        <v>454</v>
      </c>
      <c r="B27" s="1080" t="str">
        <f>B10</f>
        <v>up to 12x25 Gbps</v>
      </c>
      <c r="C27" s="1083">
        <v>243.96691568836712</v>
      </c>
      <c r="D27" s="234">
        <v>384.58043438247745</v>
      </c>
      <c r="E27" s="234">
        <v>189.85450208706018</v>
      </c>
      <c r="F27" s="1084">
        <v>147.3089614534741</v>
      </c>
      <c r="G27" s="234">
        <v>122.2160175469797</v>
      </c>
      <c r="H27" s="234">
        <v>206.08387199744638</v>
      </c>
      <c r="I27" s="641">
        <v>208.39020040760863</v>
      </c>
      <c r="J27" s="1086">
        <v>188.98402093850873</v>
      </c>
      <c r="K27" s="1083">
        <v>119.65450292397664</v>
      </c>
      <c r="L27" s="234">
        <v>96.425092518309597</v>
      </c>
      <c r="M27" s="641">
        <v>95</v>
      </c>
      <c r="N27" s="1088">
        <v>90</v>
      </c>
      <c r="O27" s="1333">
        <v>535.53719008264466</v>
      </c>
      <c r="P27" s="1333"/>
      <c r="Q27" s="1333"/>
      <c r="R27" s="1334"/>
      <c r="S27" s="1361"/>
      <c r="T27" s="1361"/>
      <c r="U27" s="234"/>
      <c r="V27" s="1084"/>
      <c r="W27" s="641"/>
      <c r="X27" s="641"/>
      <c r="Y27" s="641"/>
      <c r="Z27" s="1084"/>
      <c r="AA27" s="1779"/>
      <c r="AB27" s="1779"/>
      <c r="AC27" s="641"/>
      <c r="AD27" s="1088"/>
    </row>
    <row r="28" spans="1:33">
      <c r="A28" s="1056" t="s">
        <v>452</v>
      </c>
      <c r="B28" s="258" t="str">
        <f t="shared" ref="B28:B36" si="4">B11</f>
        <v>1x10G</v>
      </c>
      <c r="C28" s="1083">
        <v>20.358365053691521</v>
      </c>
      <c r="D28" s="1076">
        <v>20.68773959170473</v>
      </c>
      <c r="E28" s="1076">
        <v>17.202018750168861</v>
      </c>
      <c r="F28" s="1084">
        <v>17.479588983181475</v>
      </c>
      <c r="G28" s="234">
        <v>16.678310986101149</v>
      </c>
      <c r="H28" s="1076">
        <v>16.347663453254825</v>
      </c>
      <c r="I28" s="1077">
        <v>15.315520337199331</v>
      </c>
      <c r="J28" s="1086">
        <v>14.436748344350647</v>
      </c>
      <c r="K28" s="1083">
        <v>14.291297819686534</v>
      </c>
      <c r="L28" s="1076">
        <v>13.538266201366985</v>
      </c>
      <c r="M28" s="1077">
        <v>12.486956521739131</v>
      </c>
      <c r="N28" s="1088">
        <v>11.670103092783505</v>
      </c>
      <c r="O28" s="1333">
        <v>10.321428571428571</v>
      </c>
      <c r="P28" s="1335"/>
      <c r="Q28" s="1335"/>
      <c r="R28" s="1334"/>
      <c r="S28" s="1333"/>
      <c r="T28" s="1335"/>
      <c r="U28" s="1076"/>
      <c r="V28" s="1084"/>
      <c r="W28" s="641"/>
      <c r="X28" s="1077"/>
      <c r="Y28" s="641"/>
      <c r="Z28" s="1084"/>
      <c r="AA28" s="1882"/>
      <c r="AB28" s="1882"/>
      <c r="AC28" s="1882"/>
      <c r="AD28" s="2114"/>
    </row>
    <row r="29" spans="1:33">
      <c r="A29" s="1056" t="s">
        <v>452</v>
      </c>
      <c r="B29" s="258" t="str">
        <f t="shared" si="4"/>
        <v>1x25G</v>
      </c>
      <c r="C29" s="1083">
        <v>110.13186813186813</v>
      </c>
      <c r="D29" s="1076">
        <v>90.838020397926769</v>
      </c>
      <c r="E29" s="1076">
        <v>76.481007248639813</v>
      </c>
      <c r="F29" s="1084">
        <v>70.27180385750421</v>
      </c>
      <c r="G29" s="234">
        <v>59.993621429513695</v>
      </c>
      <c r="H29" s="1076">
        <v>57.500952708361524</v>
      </c>
      <c r="I29" s="1077">
        <v>46.755619011558807</v>
      </c>
      <c r="J29" s="1086">
        <v>44.384090384868863</v>
      </c>
      <c r="K29" s="1083">
        <v>54.996201325916317</v>
      </c>
      <c r="L29" s="1076">
        <v>50.575203920793484</v>
      </c>
      <c r="M29" s="1077">
        <v>41.08040201005025</v>
      </c>
      <c r="N29" s="1088">
        <v>38.073684210526316</v>
      </c>
      <c r="O29" s="1333">
        <v>25.349038218160594</v>
      </c>
      <c r="P29" s="1335"/>
      <c r="Q29" s="1335"/>
      <c r="R29" s="1334"/>
      <c r="S29" s="1333"/>
      <c r="T29" s="1335"/>
      <c r="U29" s="1076"/>
      <c r="V29" s="1084"/>
      <c r="W29" s="641"/>
      <c r="X29" s="1077"/>
      <c r="Y29" s="641"/>
      <c r="Z29" s="1084"/>
      <c r="AA29" s="1882"/>
      <c r="AB29" s="1883"/>
      <c r="AC29" s="1882"/>
      <c r="AD29" s="2114"/>
    </row>
    <row r="30" spans="1:33">
      <c r="A30" s="1056" t="s">
        <v>452</v>
      </c>
      <c r="B30" s="258" t="str">
        <f t="shared" si="4"/>
        <v>4x10G</v>
      </c>
      <c r="C30" s="1083">
        <v>105.51493327284413</v>
      </c>
      <c r="D30" s="1076">
        <v>100.02810774928376</v>
      </c>
      <c r="E30" s="1076">
        <v>98.776481029509426</v>
      </c>
      <c r="F30" s="1084">
        <v>90.605694904559115</v>
      </c>
      <c r="G30" s="234">
        <v>92.565263355101152</v>
      </c>
      <c r="H30" s="1076">
        <v>86.184729477010407</v>
      </c>
      <c r="I30" s="1077">
        <v>78.872170471677805</v>
      </c>
      <c r="J30" s="1086">
        <v>77.532845268359566</v>
      </c>
      <c r="K30" s="1083">
        <v>76.294495953695261</v>
      </c>
      <c r="L30" s="1076">
        <v>73.096013041195818</v>
      </c>
      <c r="M30" s="1077">
        <v>69.235181644359471</v>
      </c>
      <c r="N30" s="1088">
        <v>67.718940936863547</v>
      </c>
      <c r="O30" s="1333">
        <v>65.635437060407881</v>
      </c>
      <c r="P30" s="1335"/>
      <c r="Q30" s="1335"/>
      <c r="R30" s="1334"/>
      <c r="S30" s="1333"/>
      <c r="T30" s="1335"/>
      <c r="U30" s="1076"/>
      <c r="V30" s="1084"/>
      <c r="W30" s="641"/>
      <c r="X30" s="1077"/>
      <c r="Y30" s="641"/>
      <c r="Z30" s="1084"/>
      <c r="AA30" s="1882"/>
      <c r="AB30" s="1883"/>
      <c r="AC30" s="1882"/>
      <c r="AD30" s="2114"/>
    </row>
    <row r="31" spans="1:33">
      <c r="A31" s="1056" t="s">
        <v>452</v>
      </c>
      <c r="B31" s="258" t="str">
        <f t="shared" si="4"/>
        <v>4x14G</v>
      </c>
      <c r="C31" s="1083">
        <v>140.13783319644591</v>
      </c>
      <c r="D31" s="1076">
        <v>137.64037334243923</v>
      </c>
      <c r="E31" s="1076">
        <v>125.53623425486688</v>
      </c>
      <c r="F31" s="1084">
        <v>118.59152162674457</v>
      </c>
      <c r="G31" s="234">
        <v>124.39447336804203</v>
      </c>
      <c r="H31" s="1076">
        <v>131.14466279177051</v>
      </c>
      <c r="I31" s="1077">
        <v>98.584061347311192</v>
      </c>
      <c r="J31" s="1086">
        <v>86.217515883891778</v>
      </c>
      <c r="K31" s="1083">
        <v>83.48504043126681</v>
      </c>
      <c r="L31" s="1076">
        <v>70.980399477319381</v>
      </c>
      <c r="M31" s="1077">
        <v>66.84210526315789</v>
      </c>
      <c r="N31" s="1088">
        <v>65.405405405405403</v>
      </c>
      <c r="O31" s="1333">
        <v>84.864878055654998</v>
      </c>
      <c r="P31" s="1335"/>
      <c r="Q31" s="1335"/>
      <c r="R31" s="1334"/>
      <c r="S31" s="1333"/>
      <c r="T31" s="1335"/>
      <c r="U31" s="1076"/>
      <c r="V31" s="1084"/>
      <c r="W31" s="641"/>
      <c r="X31" s="1077"/>
      <c r="Y31" s="641"/>
      <c r="Z31" s="1084"/>
      <c r="AA31" s="1882"/>
      <c r="AB31" s="1883"/>
      <c r="AC31" s="1882"/>
      <c r="AD31" s="2114"/>
    </row>
    <row r="32" spans="1:33">
      <c r="A32" s="1056" t="s">
        <v>452</v>
      </c>
      <c r="B32" s="258" t="str">
        <f t="shared" si="4"/>
        <v>4x25G</v>
      </c>
      <c r="C32" s="1083">
        <v>313.98556021652752</v>
      </c>
      <c r="D32" s="1076">
        <v>327.65999961536244</v>
      </c>
      <c r="E32" s="1076">
        <v>271.33583664512173</v>
      </c>
      <c r="F32" s="1084">
        <v>249.17934762410277</v>
      </c>
      <c r="G32" s="234">
        <v>183.15798308614157</v>
      </c>
      <c r="H32" s="1076">
        <v>183.51442347317231</v>
      </c>
      <c r="I32" s="1077">
        <v>158.97959616317695</v>
      </c>
      <c r="J32" s="1086">
        <v>142.53023388461685</v>
      </c>
      <c r="K32" s="1083">
        <v>156.94225794262124</v>
      </c>
      <c r="L32" s="1076">
        <v>148.14165091498245</v>
      </c>
      <c r="M32" s="1077">
        <v>116.06837606837607</v>
      </c>
      <c r="N32" s="1088">
        <v>99.649122807017548</v>
      </c>
      <c r="O32" s="1333">
        <v>98.744257274119448</v>
      </c>
      <c r="P32" s="1335"/>
      <c r="Q32" s="1335"/>
      <c r="R32" s="1334"/>
      <c r="S32" s="1333"/>
      <c r="T32" s="1335"/>
      <c r="U32" s="1076"/>
      <c r="V32" s="1084"/>
      <c r="W32" s="641"/>
      <c r="X32" s="1077"/>
      <c r="Y32" s="641"/>
      <c r="Z32" s="1084"/>
      <c r="AA32" s="1882"/>
      <c r="AB32" s="1883"/>
      <c r="AC32" s="1882"/>
      <c r="AD32" s="2114"/>
    </row>
    <row r="33" spans="1:30">
      <c r="A33" s="1056" t="s">
        <v>452</v>
      </c>
      <c r="B33" s="258" t="str">
        <f t="shared" si="4"/>
        <v>4x50G</v>
      </c>
      <c r="C33" s="1083"/>
      <c r="D33" s="1076"/>
      <c r="E33" s="1076"/>
      <c r="F33" s="1084"/>
      <c r="G33" s="234"/>
      <c r="H33" s="1076"/>
      <c r="I33" s="1077"/>
      <c r="J33" s="1086"/>
      <c r="K33" s="1083">
        <v>481.25322210245116</v>
      </c>
      <c r="L33" s="1076">
        <v>476.02301790281331</v>
      </c>
      <c r="M33" s="1077">
        <v>380</v>
      </c>
      <c r="N33" s="1088">
        <v>360</v>
      </c>
      <c r="O33" s="1333">
        <v>302.85714285714283</v>
      </c>
      <c r="P33" s="1335"/>
      <c r="Q33" s="1335"/>
      <c r="R33" s="1334"/>
      <c r="S33" s="1333"/>
      <c r="T33" s="1335"/>
      <c r="U33" s="1076"/>
      <c r="V33" s="1084"/>
      <c r="W33" s="641"/>
      <c r="X33" s="1077"/>
      <c r="Y33" s="641"/>
      <c r="Z33" s="1084"/>
      <c r="AA33" s="1884"/>
      <c r="AB33" s="1750"/>
      <c r="AC33" s="1749"/>
      <c r="AD33" s="1807"/>
    </row>
    <row r="34" spans="1:30">
      <c r="A34" s="1056" t="s">
        <v>452</v>
      </c>
      <c r="B34" s="258" t="str">
        <f t="shared" si="4"/>
        <v>8x50G</v>
      </c>
      <c r="C34" s="1083"/>
      <c r="D34" s="1076"/>
      <c r="E34" s="1076"/>
      <c r="F34" s="1084"/>
      <c r="G34" s="234"/>
      <c r="H34" s="1076"/>
      <c r="I34" s="1077">
        <v>902.70270270270271</v>
      </c>
      <c r="J34" s="1086">
        <v>850.92592592592598</v>
      </c>
      <c r="K34" s="1083">
        <v>809.03435217744118</v>
      </c>
      <c r="L34" s="1076">
        <v>758.06451612903231</v>
      </c>
      <c r="M34" s="1077">
        <v>742.37288135593224</v>
      </c>
      <c r="N34" s="1088">
        <v>388.09523809523807</v>
      </c>
      <c r="O34" s="1333">
        <v>430.50847457627117</v>
      </c>
      <c r="P34" s="1335"/>
      <c r="Q34" s="1335"/>
      <c r="R34" s="1334"/>
      <c r="S34" s="1333"/>
      <c r="T34" s="1335"/>
      <c r="U34" s="1076"/>
      <c r="V34" s="1084"/>
      <c r="W34" s="641"/>
      <c r="X34" s="1077"/>
      <c r="Y34" s="641"/>
      <c r="Z34" s="1084"/>
      <c r="AA34" s="1749"/>
      <c r="AB34" s="1750"/>
      <c r="AC34" s="1749"/>
      <c r="AD34" s="1807"/>
    </row>
    <row r="35" spans="1:30">
      <c r="A35" s="1056" t="s">
        <v>452</v>
      </c>
      <c r="B35" s="258" t="str">
        <f t="shared" si="4"/>
        <v>CXP/CXP2</v>
      </c>
      <c r="C35" s="1083">
        <v>337.31008588726712</v>
      </c>
      <c r="D35" s="1076">
        <v>326.15768718884016</v>
      </c>
      <c r="E35" s="1076">
        <v>297.83258794185957</v>
      </c>
      <c r="F35" s="1084">
        <v>313.13067286479674</v>
      </c>
      <c r="G35" s="234">
        <v>278.14068703607779</v>
      </c>
      <c r="H35" s="1076">
        <v>279.7561623275418</v>
      </c>
      <c r="I35" s="1077">
        <v>271.78669578669553</v>
      </c>
      <c r="J35" s="1086">
        <v>275.24736026272575</v>
      </c>
      <c r="K35" s="1083">
        <v>1014.1008763034538</v>
      </c>
      <c r="L35" s="1076">
        <v>945.15545368981452</v>
      </c>
      <c r="M35" s="1077">
        <v>896.42857142857144</v>
      </c>
      <c r="N35" s="1088">
        <v>722</v>
      </c>
      <c r="O35" s="1333">
        <v>556.15384615384619</v>
      </c>
      <c r="P35" s="1335"/>
      <c r="Q35" s="1335"/>
      <c r="R35" s="1334"/>
      <c r="S35" s="1333"/>
      <c r="T35" s="1335"/>
      <c r="U35" s="1076"/>
      <c r="V35" s="1084"/>
      <c r="W35" s="641"/>
      <c r="X35" s="1077"/>
      <c r="Y35" s="641"/>
      <c r="Z35" s="1084"/>
      <c r="AA35" s="1884"/>
      <c r="AB35" s="1750"/>
      <c r="AC35" s="1749"/>
      <c r="AD35" s="1807"/>
    </row>
    <row r="36" spans="1:30" ht="13.8" thickBot="1">
      <c r="A36" s="1095" t="s">
        <v>452</v>
      </c>
      <c r="B36" s="1096" t="str">
        <f t="shared" si="4"/>
        <v>Other</v>
      </c>
      <c r="C36" s="1097"/>
      <c r="D36" s="1098"/>
      <c r="E36" s="1098"/>
      <c r="F36" s="1099"/>
      <c r="G36" s="1100"/>
      <c r="H36" s="1098"/>
      <c r="I36" s="1090"/>
      <c r="J36" s="1091"/>
      <c r="K36" s="1097">
        <v>185.3448673587082</v>
      </c>
      <c r="L36" s="1098">
        <v>179.35573746948165</v>
      </c>
      <c r="M36" s="1090">
        <v>168.75</v>
      </c>
      <c r="N36" s="1092">
        <v>156.78571428571428</v>
      </c>
      <c r="O36" s="1336">
        <v>130</v>
      </c>
      <c r="P36" s="1337"/>
      <c r="Q36" s="1337"/>
      <c r="R36" s="1338"/>
      <c r="S36" s="1336"/>
      <c r="T36" s="1337"/>
      <c r="U36" s="1098"/>
      <c r="V36" s="1099"/>
      <c r="W36" s="1686"/>
      <c r="X36" s="1090"/>
      <c r="Y36" s="1090"/>
      <c r="Z36" s="1099"/>
      <c r="AA36" s="1885"/>
      <c r="AB36" s="1885"/>
      <c r="AC36" s="1885"/>
      <c r="AD36" s="2115"/>
    </row>
    <row r="38" spans="1:30" ht="16.2" thickBot="1">
      <c r="M38" s="688"/>
      <c r="O38" s="688"/>
      <c r="P38" s="13"/>
      <c r="Q38" s="688"/>
      <c r="R38" s="13"/>
      <c r="S38" s="688"/>
      <c r="T38" s="13"/>
    </row>
    <row r="39" spans="1:30" ht="16.2" thickBot="1">
      <c r="A39" s="518" t="str">
        <f>A7</f>
        <v>Optical Interconnects</v>
      </c>
      <c r="B39" s="577"/>
      <c r="D39" s="1089"/>
      <c r="E39" s="1089"/>
      <c r="F39" s="1229"/>
      <c r="G39" s="1230" t="s">
        <v>165</v>
      </c>
      <c r="H39" s="1089"/>
      <c r="I39" s="1089"/>
      <c r="J39" s="1089"/>
      <c r="K39" s="1089"/>
      <c r="L39" s="1089"/>
      <c r="O39" s="1230" t="s">
        <v>165</v>
      </c>
      <c r="W39" s="1230" t="str">
        <f>O39</f>
        <v>Sales: Actual Data</v>
      </c>
      <c r="AA39" s="1"/>
      <c r="AB39" s="1"/>
      <c r="AC39" s="2113" t="s">
        <v>612</v>
      </c>
      <c r="AD39" s="1710"/>
    </row>
    <row r="40" spans="1:30" ht="13.8" thickBot="1">
      <c r="A40" s="1185" t="s">
        <v>236</v>
      </c>
      <c r="B40" s="1185" t="s">
        <v>166</v>
      </c>
      <c r="C40" s="459" t="s">
        <v>100</v>
      </c>
      <c r="D40" s="460" t="s">
        <v>101</v>
      </c>
      <c r="E40" s="460" t="s">
        <v>102</v>
      </c>
      <c r="F40" s="1186" t="s">
        <v>103</v>
      </c>
      <c r="G40" s="1066" t="str">
        <f t="shared" ref="G40:L40" si="5">G25</f>
        <v>1Q 18</v>
      </c>
      <c r="H40" s="460" t="str">
        <f t="shared" si="5"/>
        <v>2Q 18</v>
      </c>
      <c r="I40" s="460" t="str">
        <f t="shared" si="5"/>
        <v>3Q 18</v>
      </c>
      <c r="J40" s="1187" t="str">
        <f t="shared" si="5"/>
        <v>4Q 18</v>
      </c>
      <c r="K40" s="459" t="str">
        <f t="shared" si="5"/>
        <v>1Q 19</v>
      </c>
      <c r="L40" s="460" t="str">
        <f t="shared" si="5"/>
        <v>2Q 19</v>
      </c>
      <c r="M40" s="460" t="s">
        <v>110</v>
      </c>
      <c r="N40" s="1186" t="s">
        <v>111</v>
      </c>
      <c r="O40" s="2124" t="s">
        <v>112</v>
      </c>
      <c r="P40" s="2125" t="s">
        <v>113</v>
      </c>
      <c r="Q40" s="2125" t="s">
        <v>114</v>
      </c>
      <c r="R40" s="2126" t="s">
        <v>115</v>
      </c>
      <c r="S40" s="2124" t="s">
        <v>463</v>
      </c>
      <c r="T40" s="2125" t="s">
        <v>464</v>
      </c>
      <c r="U40" s="697" t="s">
        <v>465</v>
      </c>
      <c r="V40" s="2126" t="s">
        <v>466</v>
      </c>
      <c r="W40" s="2124" t="s">
        <v>467</v>
      </c>
      <c r="X40" s="2125" t="s">
        <v>468</v>
      </c>
      <c r="Y40" s="2125" t="str">
        <f t="shared" ref="Y40:Z40" si="6">Y8</f>
        <v>3Q 22</v>
      </c>
      <c r="Z40" s="2126" t="str">
        <f t="shared" si="6"/>
        <v>4Q 22</v>
      </c>
      <c r="AA40" s="2127" t="s">
        <v>568</v>
      </c>
      <c r="AB40" s="2126" t="s">
        <v>594</v>
      </c>
      <c r="AC40" s="1372" t="s">
        <v>595</v>
      </c>
      <c r="AD40" s="462" t="s">
        <v>596</v>
      </c>
    </row>
    <row r="41" spans="1:30" ht="27.75" customHeight="1">
      <c r="A41" s="578" t="s">
        <v>237</v>
      </c>
      <c r="B41" s="1079" t="str">
        <f>B9</f>
        <v>up to 12x16 Gbps</v>
      </c>
      <c r="C41" s="746">
        <f t="shared" ref="C41:N41" si="7">C26*C9</f>
        <v>10239975</v>
      </c>
      <c r="D41" s="747">
        <f t="shared" si="7"/>
        <v>8542484</v>
      </c>
      <c r="E41" s="747">
        <f t="shared" si="7"/>
        <v>6792509.9999999972</v>
      </c>
      <c r="F41" s="748">
        <f t="shared" si="7"/>
        <v>4276700</v>
      </c>
      <c r="G41" s="746">
        <f t="shared" si="7"/>
        <v>1280000</v>
      </c>
      <c r="H41" s="747">
        <f t="shared" si="7"/>
        <v>1468390</v>
      </c>
      <c r="I41" s="747">
        <f t="shared" si="7"/>
        <v>5065122.9399999995</v>
      </c>
      <c r="J41" s="748">
        <f t="shared" si="7"/>
        <v>5753466.5999999996</v>
      </c>
      <c r="K41" s="746">
        <f t="shared" si="7"/>
        <v>5305474.9000000022</v>
      </c>
      <c r="L41" s="747">
        <f t="shared" si="7"/>
        <v>6538865.4399999995</v>
      </c>
      <c r="M41" s="747">
        <f t="shared" si="7"/>
        <v>6375000</v>
      </c>
      <c r="N41" s="748">
        <f t="shared" si="7"/>
        <v>6600000</v>
      </c>
      <c r="O41" s="1054" t="s">
        <v>444</v>
      </c>
      <c r="P41" s="747"/>
      <c r="Q41" s="747">
        <v>0</v>
      </c>
      <c r="R41" s="748">
        <v>0</v>
      </c>
      <c r="S41" s="1054" t="s">
        <v>444</v>
      </c>
      <c r="T41" s="747"/>
      <c r="U41" s="747">
        <v>0</v>
      </c>
      <c r="V41" s="748">
        <v>0</v>
      </c>
      <c r="W41" s="1054" t="s">
        <v>444</v>
      </c>
      <c r="X41" s="747"/>
      <c r="Y41" s="747"/>
      <c r="Z41" s="748"/>
      <c r="AA41" s="1741"/>
      <c r="AB41" s="1742"/>
      <c r="AC41" s="1741"/>
      <c r="AD41" s="2116"/>
    </row>
    <row r="42" spans="1:30">
      <c r="A42" s="579" t="str">
        <f>A27</f>
        <v>Parallel Transceivers</v>
      </c>
      <c r="B42" s="1080" t="str">
        <f>B10</f>
        <v>up to 12x25 Gbps</v>
      </c>
      <c r="C42" s="1093">
        <f t="shared" ref="C42:K42" si="8">C27*C10</f>
        <v>2743164</v>
      </c>
      <c r="D42" s="1078">
        <f t="shared" si="8"/>
        <v>4178851</v>
      </c>
      <c r="E42" s="1078">
        <f t="shared" si="8"/>
        <v>2547087.9999999995</v>
      </c>
      <c r="F42" s="1094">
        <f t="shared" si="8"/>
        <v>2999947</v>
      </c>
      <c r="G42" s="1093">
        <f t="shared" si="8"/>
        <v>4123324.0000000009</v>
      </c>
      <c r="H42" s="1078">
        <f t="shared" si="8"/>
        <v>5164874.0000000009</v>
      </c>
      <c r="I42" s="1078">
        <f t="shared" si="8"/>
        <v>7362008.9999999981</v>
      </c>
      <c r="J42" s="1094">
        <f t="shared" si="8"/>
        <v>9133975.7000000048</v>
      </c>
      <c r="K42" s="1093">
        <f t="shared" si="8"/>
        <v>4092184.0000000009</v>
      </c>
      <c r="L42" s="1078">
        <f t="shared" ref="L42:Z42" si="9">L27*L10</f>
        <v>3725962.0000000009</v>
      </c>
      <c r="M42" s="1078">
        <f t="shared" si="9"/>
        <v>3325000</v>
      </c>
      <c r="N42" s="1094">
        <f t="shared" si="9"/>
        <v>3600000</v>
      </c>
      <c r="O42" s="1093">
        <f t="shared" si="9"/>
        <v>6480000</v>
      </c>
      <c r="P42" s="1078">
        <f t="shared" si="9"/>
        <v>0</v>
      </c>
      <c r="Q42" s="1078">
        <f t="shared" si="9"/>
        <v>0</v>
      </c>
      <c r="R42" s="1094">
        <f t="shared" si="9"/>
        <v>0</v>
      </c>
      <c r="S42" s="1093">
        <f t="shared" si="9"/>
        <v>0</v>
      </c>
      <c r="T42" s="1078">
        <f t="shared" si="9"/>
        <v>0</v>
      </c>
      <c r="U42" s="1078">
        <f t="shared" si="9"/>
        <v>0</v>
      </c>
      <c r="V42" s="1094">
        <f t="shared" si="9"/>
        <v>0</v>
      </c>
      <c r="W42" s="1093">
        <f t="shared" si="9"/>
        <v>0</v>
      </c>
      <c r="X42" s="1078">
        <f t="shared" si="9"/>
        <v>0</v>
      </c>
      <c r="Y42" s="1078">
        <f t="shared" si="9"/>
        <v>0</v>
      </c>
      <c r="Z42" s="1094">
        <f t="shared" si="9"/>
        <v>0</v>
      </c>
      <c r="AA42" s="2120">
        <f t="shared" ref="AA42:AD42" si="10">AA27*AA10</f>
        <v>0</v>
      </c>
      <c r="AB42" s="1078">
        <f t="shared" si="10"/>
        <v>0</v>
      </c>
      <c r="AC42" s="2122">
        <f t="shared" si="10"/>
        <v>0</v>
      </c>
      <c r="AD42" s="1094">
        <f t="shared" si="10"/>
        <v>0</v>
      </c>
    </row>
    <row r="43" spans="1:30">
      <c r="A43" s="1056" t="s">
        <v>452</v>
      </c>
      <c r="B43" s="258" t="str">
        <f t="shared" ref="B43:B51" si="11">B11</f>
        <v>1x10G</v>
      </c>
      <c r="C43" s="1093">
        <f t="shared" ref="C43:J43" si="12">C28*C11</f>
        <v>11718336</v>
      </c>
      <c r="D43" s="1078">
        <f t="shared" si="12"/>
        <v>17015521</v>
      </c>
      <c r="E43" s="1078">
        <f t="shared" si="12"/>
        <v>15917458.000000002</v>
      </c>
      <c r="F43" s="1094">
        <f t="shared" si="12"/>
        <v>15876431.000000004</v>
      </c>
      <c r="G43" s="1093">
        <f t="shared" si="12"/>
        <v>17409287.999999989</v>
      </c>
      <c r="H43" s="1078">
        <f t="shared" si="12"/>
        <v>18368627</v>
      </c>
      <c r="I43" s="1078">
        <f t="shared" si="12"/>
        <v>16939761.899999995</v>
      </c>
      <c r="J43" s="1094">
        <f t="shared" si="12"/>
        <v>14189114.800000001</v>
      </c>
      <c r="K43" s="1093">
        <f t="shared" ref="K43:P43" si="13">K28*K11</f>
        <v>10654662.720000001</v>
      </c>
      <c r="L43" s="1078">
        <f t="shared" si="13"/>
        <v>10769325.23</v>
      </c>
      <c r="M43" s="1078">
        <f t="shared" si="13"/>
        <v>7180000</v>
      </c>
      <c r="N43" s="1094">
        <f t="shared" si="13"/>
        <v>5660000</v>
      </c>
      <c r="O43" s="1093">
        <f t="shared" si="13"/>
        <v>2890000</v>
      </c>
      <c r="P43" s="1078">
        <f t="shared" si="13"/>
        <v>0</v>
      </c>
      <c r="Q43" s="1078">
        <f t="shared" ref="Q43:Z43" si="14">Q28*Q11</f>
        <v>0</v>
      </c>
      <c r="R43" s="1094">
        <f t="shared" si="14"/>
        <v>0</v>
      </c>
      <c r="S43" s="1093">
        <f t="shared" si="14"/>
        <v>0</v>
      </c>
      <c r="T43" s="1078">
        <f t="shared" si="14"/>
        <v>0</v>
      </c>
      <c r="U43" s="1078">
        <f t="shared" si="14"/>
        <v>0</v>
      </c>
      <c r="V43" s="1094">
        <f t="shared" si="14"/>
        <v>0</v>
      </c>
      <c r="W43" s="1093">
        <f t="shared" si="14"/>
        <v>0</v>
      </c>
      <c r="X43" s="1078">
        <f t="shared" si="14"/>
        <v>0</v>
      </c>
      <c r="Y43" s="1078">
        <f t="shared" si="14"/>
        <v>0</v>
      </c>
      <c r="Z43" s="1094">
        <f t="shared" si="14"/>
        <v>0</v>
      </c>
      <c r="AA43" s="2120">
        <f t="shared" ref="AA43:AD43" si="15">AA28*AA11</f>
        <v>0</v>
      </c>
      <c r="AB43" s="1078">
        <f t="shared" si="15"/>
        <v>0</v>
      </c>
      <c r="AC43" s="2122">
        <f t="shared" si="15"/>
        <v>0</v>
      </c>
      <c r="AD43" s="1094">
        <f t="shared" si="15"/>
        <v>0</v>
      </c>
    </row>
    <row r="44" spans="1:30">
      <c r="A44" s="1056" t="s">
        <v>452</v>
      </c>
      <c r="B44" s="258" t="str">
        <f t="shared" si="11"/>
        <v>1x25G</v>
      </c>
      <c r="C44" s="1093">
        <f t="shared" ref="C44:J44" si="16">C29*C12</f>
        <v>440968</v>
      </c>
      <c r="D44" s="1078">
        <f t="shared" si="16"/>
        <v>2716511</v>
      </c>
      <c r="E44" s="1078">
        <f t="shared" si="16"/>
        <v>4653027.9999999972</v>
      </c>
      <c r="F44" s="1094">
        <f t="shared" si="16"/>
        <v>5333911</v>
      </c>
      <c r="G44" s="1093">
        <f t="shared" si="16"/>
        <v>7731318</v>
      </c>
      <c r="H44" s="1078">
        <f t="shared" si="16"/>
        <v>15722543</v>
      </c>
      <c r="I44" s="1078">
        <f t="shared" si="16"/>
        <v>17781910</v>
      </c>
      <c r="J44" s="1094">
        <f t="shared" si="16"/>
        <v>10775747.000000002</v>
      </c>
      <c r="K44" s="1093">
        <f t="shared" ref="K44:P44" si="17">K29*K12</f>
        <v>10104012.099999998</v>
      </c>
      <c r="L44" s="1078">
        <f t="shared" si="17"/>
        <v>9978841.7599999998</v>
      </c>
      <c r="M44" s="1078">
        <f t="shared" si="17"/>
        <v>16350000</v>
      </c>
      <c r="N44" s="1094">
        <f t="shared" si="17"/>
        <v>18085000</v>
      </c>
      <c r="O44" s="1093">
        <f t="shared" si="17"/>
        <v>12429571.352778211</v>
      </c>
      <c r="P44" s="1078">
        <f t="shared" si="17"/>
        <v>0</v>
      </c>
      <c r="Q44" s="1078">
        <f t="shared" ref="Q44:Z44" si="18">Q29*Q12</f>
        <v>0</v>
      </c>
      <c r="R44" s="1094">
        <f t="shared" si="18"/>
        <v>0</v>
      </c>
      <c r="S44" s="1093">
        <f t="shared" si="18"/>
        <v>0</v>
      </c>
      <c r="T44" s="1078">
        <f t="shared" si="18"/>
        <v>0</v>
      </c>
      <c r="U44" s="1078">
        <f t="shared" si="18"/>
        <v>0</v>
      </c>
      <c r="V44" s="1094">
        <f t="shared" si="18"/>
        <v>0</v>
      </c>
      <c r="W44" s="1093">
        <f t="shared" si="18"/>
        <v>0</v>
      </c>
      <c r="X44" s="1078">
        <f t="shared" si="18"/>
        <v>0</v>
      </c>
      <c r="Y44" s="1078">
        <f t="shared" si="18"/>
        <v>0</v>
      </c>
      <c r="Z44" s="1094">
        <f t="shared" si="18"/>
        <v>0</v>
      </c>
      <c r="AA44" s="2120">
        <f t="shared" ref="AA44:AD44" si="19">AA29*AA12</f>
        <v>0</v>
      </c>
      <c r="AB44" s="1078">
        <f t="shared" si="19"/>
        <v>0</v>
      </c>
      <c r="AC44" s="2122">
        <f t="shared" si="19"/>
        <v>0</v>
      </c>
      <c r="AD44" s="1094">
        <f t="shared" si="19"/>
        <v>0</v>
      </c>
    </row>
    <row r="45" spans="1:30">
      <c r="A45" s="1056" t="s">
        <v>452</v>
      </c>
      <c r="B45" s="258" t="str">
        <f t="shared" si="11"/>
        <v>4x10G</v>
      </c>
      <c r="C45" s="1093">
        <f t="shared" ref="C45:J45" si="20">C30*C13</f>
        <v>5581951</v>
      </c>
      <c r="D45" s="1078">
        <f t="shared" si="20"/>
        <v>5726009</v>
      </c>
      <c r="E45" s="1078">
        <f t="shared" si="20"/>
        <v>4451855.9999999898</v>
      </c>
      <c r="F45" s="1094">
        <f t="shared" si="20"/>
        <v>4594796.0000000019</v>
      </c>
      <c r="G45" s="1093">
        <f t="shared" si="20"/>
        <v>6917216.9999999991</v>
      </c>
      <c r="H45" s="1078">
        <f t="shared" si="20"/>
        <v>6682333.0000000019</v>
      </c>
      <c r="I45" s="1078">
        <f t="shared" si="20"/>
        <v>5859255.8000000007</v>
      </c>
      <c r="J45" s="1094">
        <f t="shared" si="20"/>
        <v>5428694.7599999998</v>
      </c>
      <c r="K45" s="1093">
        <f t="shared" ref="K45:P45" si="21">K30*K13</f>
        <v>4270737</v>
      </c>
      <c r="L45" s="1078">
        <f t="shared" si="21"/>
        <v>5291128</v>
      </c>
      <c r="M45" s="1078">
        <f t="shared" si="21"/>
        <v>3621000.0000000005</v>
      </c>
      <c r="N45" s="1094">
        <f t="shared" si="21"/>
        <v>3325000</v>
      </c>
      <c r="O45" s="1093">
        <f t="shared" si="21"/>
        <v>3574505.9023098131</v>
      </c>
      <c r="P45" s="1078">
        <f t="shared" si="21"/>
        <v>0</v>
      </c>
      <c r="Q45" s="1078">
        <f t="shared" ref="Q45:Z45" si="22">Q30*Q13</f>
        <v>0</v>
      </c>
      <c r="R45" s="1094">
        <f t="shared" si="22"/>
        <v>0</v>
      </c>
      <c r="S45" s="1093">
        <f t="shared" si="22"/>
        <v>0</v>
      </c>
      <c r="T45" s="1078">
        <f t="shared" si="22"/>
        <v>0</v>
      </c>
      <c r="U45" s="1078">
        <f t="shared" si="22"/>
        <v>0</v>
      </c>
      <c r="V45" s="1094">
        <f>V30*V13</f>
        <v>0</v>
      </c>
      <c r="W45" s="1093">
        <f t="shared" si="22"/>
        <v>0</v>
      </c>
      <c r="X45" s="1078">
        <f t="shared" si="22"/>
        <v>0</v>
      </c>
      <c r="Y45" s="1078">
        <f t="shared" si="22"/>
        <v>0</v>
      </c>
      <c r="Z45" s="1094">
        <f t="shared" si="22"/>
        <v>0</v>
      </c>
      <c r="AA45" s="2120">
        <f t="shared" ref="AA45:AD45" si="23">AA30*AA13</f>
        <v>0</v>
      </c>
      <c r="AB45" s="1078">
        <f t="shared" si="23"/>
        <v>0</v>
      </c>
      <c r="AC45" s="2122">
        <f t="shared" si="23"/>
        <v>0</v>
      </c>
      <c r="AD45" s="1094">
        <f t="shared" si="23"/>
        <v>0</v>
      </c>
    </row>
    <row r="46" spans="1:30">
      <c r="A46" s="1056" t="s">
        <v>452</v>
      </c>
      <c r="B46" s="258" t="str">
        <f t="shared" si="11"/>
        <v>4x14G</v>
      </c>
      <c r="C46" s="1093">
        <f t="shared" ref="C46:J46" si="24">C31*C14</f>
        <v>1876866</v>
      </c>
      <c r="D46" s="1078">
        <f t="shared" si="24"/>
        <v>2418478.9999999995</v>
      </c>
      <c r="E46" s="1078">
        <f t="shared" si="24"/>
        <v>1534806.0000000026</v>
      </c>
      <c r="F46" s="1094">
        <f t="shared" si="24"/>
        <v>3440932.9999999935</v>
      </c>
      <c r="G46" s="1093">
        <f t="shared" si="24"/>
        <v>1863678.0000000056</v>
      </c>
      <c r="H46" s="1078">
        <f t="shared" si="24"/>
        <v>1421477.0000000007</v>
      </c>
      <c r="I46" s="1078">
        <f t="shared" si="24"/>
        <v>1015612.9999999999</v>
      </c>
      <c r="J46" s="1094">
        <f t="shared" si="24"/>
        <v>692067.9999999993</v>
      </c>
      <c r="K46" s="1093">
        <f t="shared" ref="K46:P46" si="25">K31*K14</f>
        <v>619458.99999999977</v>
      </c>
      <c r="L46" s="1078">
        <f t="shared" si="25"/>
        <v>380241.99999999994</v>
      </c>
      <c r="M46" s="1078">
        <f t="shared" si="25"/>
        <v>253999.99999999997</v>
      </c>
      <c r="N46" s="1094">
        <f t="shared" si="25"/>
        <v>242000</v>
      </c>
      <c r="O46" s="1093">
        <f t="shared" si="25"/>
        <v>750629.84640226851</v>
      </c>
      <c r="P46" s="1078">
        <f t="shared" si="25"/>
        <v>0</v>
      </c>
      <c r="Q46" s="1078">
        <f t="shared" ref="Q46:Z46" si="26">Q31*Q14</f>
        <v>0</v>
      </c>
      <c r="R46" s="1094">
        <f t="shared" si="26"/>
        <v>0</v>
      </c>
      <c r="S46" s="1093">
        <f t="shared" si="26"/>
        <v>0</v>
      </c>
      <c r="T46" s="1078">
        <f t="shared" si="26"/>
        <v>0</v>
      </c>
      <c r="U46" s="1078">
        <f t="shared" si="26"/>
        <v>0</v>
      </c>
      <c r="V46" s="1094">
        <f t="shared" si="26"/>
        <v>0</v>
      </c>
      <c r="W46" s="1093">
        <f t="shared" si="26"/>
        <v>0</v>
      </c>
      <c r="X46" s="1078">
        <f t="shared" si="26"/>
        <v>0</v>
      </c>
      <c r="Y46" s="1078">
        <f t="shared" si="26"/>
        <v>0</v>
      </c>
      <c r="Z46" s="1094">
        <f t="shared" si="26"/>
        <v>0</v>
      </c>
      <c r="AA46" s="2120">
        <f t="shared" ref="AA46:AD46" si="27">AA31*AA14</f>
        <v>0</v>
      </c>
      <c r="AB46" s="1078">
        <f t="shared" si="27"/>
        <v>0</v>
      </c>
      <c r="AC46" s="2122">
        <f t="shared" si="27"/>
        <v>0</v>
      </c>
      <c r="AD46" s="1094">
        <f t="shared" si="27"/>
        <v>0</v>
      </c>
    </row>
    <row r="47" spans="1:30">
      <c r="A47" s="1056" t="s">
        <v>452</v>
      </c>
      <c r="B47" s="258" t="str">
        <f t="shared" si="11"/>
        <v>4x25G</v>
      </c>
      <c r="C47" s="1093">
        <f t="shared" ref="C47:J47" si="28">C32*C15</f>
        <v>22679491</v>
      </c>
      <c r="D47" s="1078">
        <f t="shared" si="28"/>
        <v>17037337</v>
      </c>
      <c r="E47" s="1078">
        <f t="shared" si="28"/>
        <v>24852191.949999988</v>
      </c>
      <c r="F47" s="1094">
        <f t="shared" si="28"/>
        <v>21594380.623799995</v>
      </c>
      <c r="G47" s="1093">
        <f t="shared" si="28"/>
        <v>8619780.9999999944</v>
      </c>
      <c r="H47" s="1078">
        <f t="shared" si="28"/>
        <v>8906321.9999999981</v>
      </c>
      <c r="I47" s="1078">
        <f t="shared" si="28"/>
        <v>12778620.960000001</v>
      </c>
      <c r="J47" s="1094">
        <f t="shared" si="28"/>
        <v>10695041.159999995</v>
      </c>
      <c r="K47" s="1093">
        <f t="shared" ref="K47:P47" si="29">K32*K15</f>
        <v>10798568.999999996</v>
      </c>
      <c r="L47" s="1078">
        <f t="shared" si="29"/>
        <v>14263967</v>
      </c>
      <c r="M47" s="1078">
        <f t="shared" si="29"/>
        <v>13580000</v>
      </c>
      <c r="N47" s="1094">
        <f t="shared" si="29"/>
        <v>17040000</v>
      </c>
      <c r="O47" s="1093">
        <f t="shared" si="29"/>
        <v>19344000</v>
      </c>
      <c r="P47" s="1078">
        <f t="shared" si="29"/>
        <v>0</v>
      </c>
      <c r="Q47" s="1078">
        <f t="shared" ref="Q47:Z47" si="30">Q32*Q15</f>
        <v>0</v>
      </c>
      <c r="R47" s="1094">
        <f t="shared" si="30"/>
        <v>0</v>
      </c>
      <c r="S47" s="1093">
        <f t="shared" si="30"/>
        <v>0</v>
      </c>
      <c r="T47" s="1078">
        <f t="shared" si="30"/>
        <v>0</v>
      </c>
      <c r="U47" s="1078">
        <f t="shared" si="30"/>
        <v>0</v>
      </c>
      <c r="V47" s="1094">
        <f t="shared" si="30"/>
        <v>0</v>
      </c>
      <c r="W47" s="1093">
        <f t="shared" si="30"/>
        <v>0</v>
      </c>
      <c r="X47" s="1078">
        <f t="shared" si="30"/>
        <v>0</v>
      </c>
      <c r="Y47" s="1078">
        <f t="shared" si="30"/>
        <v>0</v>
      </c>
      <c r="Z47" s="1094">
        <f t="shared" si="30"/>
        <v>0</v>
      </c>
      <c r="AA47" s="2120">
        <f t="shared" ref="AA47:AD47" si="31">AA32*AA15</f>
        <v>0</v>
      </c>
      <c r="AB47" s="1078">
        <f t="shared" si="31"/>
        <v>0</v>
      </c>
      <c r="AC47" s="2122">
        <f t="shared" si="31"/>
        <v>0</v>
      </c>
      <c r="AD47" s="1094">
        <f t="shared" si="31"/>
        <v>0</v>
      </c>
    </row>
    <row r="48" spans="1:30">
      <c r="A48" s="1056" t="s">
        <v>452</v>
      </c>
      <c r="B48" s="258" t="str">
        <f t="shared" si="11"/>
        <v>4x50G</v>
      </c>
      <c r="C48" s="1093">
        <f t="shared" ref="C48:J48" si="32">C33*C16</f>
        <v>0</v>
      </c>
      <c r="D48" s="1078">
        <f t="shared" si="32"/>
        <v>0</v>
      </c>
      <c r="E48" s="1078">
        <f t="shared" si="32"/>
        <v>0</v>
      </c>
      <c r="F48" s="1094">
        <f t="shared" si="32"/>
        <v>0</v>
      </c>
      <c r="G48" s="1093">
        <f t="shared" si="32"/>
        <v>0</v>
      </c>
      <c r="H48" s="1078">
        <f t="shared" si="32"/>
        <v>0</v>
      </c>
      <c r="I48" s="1078">
        <f t="shared" si="32"/>
        <v>0</v>
      </c>
      <c r="J48" s="1094">
        <f t="shared" si="32"/>
        <v>0</v>
      </c>
      <c r="K48" s="1093">
        <f t="shared" ref="K48:P48" si="33">K33*K16</f>
        <v>10268500</v>
      </c>
      <c r="L48" s="1078">
        <f t="shared" si="33"/>
        <v>11912000</v>
      </c>
      <c r="M48" s="1078">
        <f t="shared" si="33"/>
        <v>10260000</v>
      </c>
      <c r="N48" s="1094">
        <f t="shared" si="33"/>
        <v>8280000</v>
      </c>
      <c r="O48" s="1093">
        <f t="shared" si="33"/>
        <v>10600000</v>
      </c>
      <c r="P48" s="1078">
        <f t="shared" si="33"/>
        <v>0</v>
      </c>
      <c r="Q48" s="1078">
        <f t="shared" ref="Q48:Z48" si="34">Q33*Q16</f>
        <v>0</v>
      </c>
      <c r="R48" s="1094">
        <f t="shared" si="34"/>
        <v>0</v>
      </c>
      <c r="S48" s="1093">
        <f t="shared" si="34"/>
        <v>0</v>
      </c>
      <c r="T48" s="1078">
        <f t="shared" si="34"/>
        <v>0</v>
      </c>
      <c r="U48" s="1078">
        <f t="shared" si="34"/>
        <v>0</v>
      </c>
      <c r="V48" s="1094">
        <f t="shared" si="34"/>
        <v>0</v>
      </c>
      <c r="W48" s="1093">
        <f t="shared" si="34"/>
        <v>0</v>
      </c>
      <c r="X48" s="1078">
        <f t="shared" si="34"/>
        <v>0</v>
      </c>
      <c r="Y48" s="1078">
        <f t="shared" si="34"/>
        <v>0</v>
      </c>
      <c r="Z48" s="1094">
        <f t="shared" si="34"/>
        <v>0</v>
      </c>
      <c r="AA48" s="2120">
        <f t="shared" ref="AA48:AD48" si="35">AA33*AA16</f>
        <v>0</v>
      </c>
      <c r="AB48" s="1078">
        <f t="shared" si="35"/>
        <v>0</v>
      </c>
      <c r="AC48" s="2122">
        <f t="shared" si="35"/>
        <v>0</v>
      </c>
      <c r="AD48" s="1094">
        <f t="shared" si="35"/>
        <v>0</v>
      </c>
    </row>
    <row r="49" spans="1:30">
      <c r="A49" s="1056" t="s">
        <v>452</v>
      </c>
      <c r="B49" s="258" t="str">
        <f t="shared" si="11"/>
        <v>8x50G</v>
      </c>
      <c r="C49" s="1093">
        <f t="shared" ref="C49:J49" si="36">C34*C17</f>
        <v>0</v>
      </c>
      <c r="D49" s="1078">
        <f t="shared" si="36"/>
        <v>0</v>
      </c>
      <c r="E49" s="1078">
        <f t="shared" si="36"/>
        <v>0</v>
      </c>
      <c r="F49" s="1094">
        <f t="shared" si="36"/>
        <v>0</v>
      </c>
      <c r="G49" s="1093">
        <f t="shared" si="36"/>
        <v>0</v>
      </c>
      <c r="H49" s="1078">
        <f t="shared" si="36"/>
        <v>0</v>
      </c>
      <c r="I49" s="1078">
        <f t="shared" si="36"/>
        <v>1670000</v>
      </c>
      <c r="J49" s="1094">
        <f t="shared" si="36"/>
        <v>4595000</v>
      </c>
      <c r="K49" s="1093">
        <f t="shared" ref="K49:P49" si="37">K34*K17</f>
        <v>5982000</v>
      </c>
      <c r="L49" s="1078">
        <f t="shared" si="37"/>
        <v>7050000.0000000009</v>
      </c>
      <c r="M49" s="1078">
        <f t="shared" si="37"/>
        <v>4380000</v>
      </c>
      <c r="N49" s="1094">
        <f t="shared" si="37"/>
        <v>3260000</v>
      </c>
      <c r="O49" s="1093">
        <f t="shared" si="37"/>
        <v>2540000</v>
      </c>
      <c r="P49" s="1078">
        <f t="shared" si="37"/>
        <v>0</v>
      </c>
      <c r="Q49" s="1078">
        <f t="shared" ref="Q49:Z49" si="38">Q34*Q17</f>
        <v>0</v>
      </c>
      <c r="R49" s="1094">
        <f t="shared" si="38"/>
        <v>0</v>
      </c>
      <c r="S49" s="1093">
        <f t="shared" si="38"/>
        <v>0</v>
      </c>
      <c r="T49" s="1078">
        <f t="shared" si="38"/>
        <v>0</v>
      </c>
      <c r="U49" s="1078">
        <f t="shared" si="38"/>
        <v>0</v>
      </c>
      <c r="V49" s="1094">
        <f t="shared" si="38"/>
        <v>0</v>
      </c>
      <c r="W49" s="1093">
        <f t="shared" si="38"/>
        <v>0</v>
      </c>
      <c r="X49" s="1078">
        <f t="shared" si="38"/>
        <v>0</v>
      </c>
      <c r="Y49" s="1078">
        <f t="shared" si="38"/>
        <v>0</v>
      </c>
      <c r="Z49" s="1094">
        <f t="shared" si="38"/>
        <v>0</v>
      </c>
      <c r="AA49" s="2120">
        <f t="shared" ref="AA49:AD49" si="39">AA34*AA17</f>
        <v>0</v>
      </c>
      <c r="AB49" s="1078">
        <f t="shared" si="39"/>
        <v>0</v>
      </c>
      <c r="AC49" s="2122">
        <f t="shared" si="39"/>
        <v>0</v>
      </c>
      <c r="AD49" s="1094">
        <f t="shared" si="39"/>
        <v>0</v>
      </c>
    </row>
    <row r="50" spans="1:30">
      <c r="A50" s="1056" t="s">
        <v>452</v>
      </c>
      <c r="B50" s="258" t="str">
        <f t="shared" si="11"/>
        <v>CXP/CXP2</v>
      </c>
      <c r="C50" s="1093">
        <f t="shared" ref="C50:J50" si="40">C35*C18</f>
        <v>7187066.0000000009</v>
      </c>
      <c r="D50" s="1078">
        <f t="shared" si="40"/>
        <v>6616761</v>
      </c>
      <c r="E50" s="1078">
        <f t="shared" si="40"/>
        <v>6925799.0000000028</v>
      </c>
      <c r="F50" s="1094">
        <f t="shared" si="40"/>
        <v>7948509</v>
      </c>
      <c r="G50" s="1093">
        <f t="shared" si="40"/>
        <v>3222537.9999999972</v>
      </c>
      <c r="H50" s="1078">
        <f t="shared" si="40"/>
        <v>4846216.0000000065</v>
      </c>
      <c r="I50" s="1078">
        <f t="shared" si="40"/>
        <v>2986663.9999999972</v>
      </c>
      <c r="J50" s="1094">
        <f t="shared" si="40"/>
        <v>4190641.0599999996</v>
      </c>
      <c r="K50" s="1093">
        <f t="shared" ref="K50:P50" si="41">K35*K18</f>
        <v>21200792.920000006</v>
      </c>
      <c r="L50" s="1078">
        <f t="shared" si="41"/>
        <v>32134340.270000003</v>
      </c>
      <c r="M50" s="1078">
        <f t="shared" si="41"/>
        <v>37650000</v>
      </c>
      <c r="N50" s="1094">
        <f t="shared" si="41"/>
        <v>36100000</v>
      </c>
      <c r="O50" s="1093">
        <f t="shared" si="41"/>
        <v>7230000</v>
      </c>
      <c r="P50" s="1078">
        <f t="shared" si="41"/>
        <v>0</v>
      </c>
      <c r="Q50" s="1078">
        <f t="shared" ref="Q50:Z50" si="42">Q35*Q18</f>
        <v>0</v>
      </c>
      <c r="R50" s="1094">
        <f t="shared" si="42"/>
        <v>0</v>
      </c>
      <c r="S50" s="1093">
        <f t="shared" si="42"/>
        <v>0</v>
      </c>
      <c r="T50" s="1078">
        <f t="shared" si="42"/>
        <v>0</v>
      </c>
      <c r="U50" s="1078">
        <f t="shared" si="42"/>
        <v>0</v>
      </c>
      <c r="V50" s="1094">
        <f t="shared" si="42"/>
        <v>0</v>
      </c>
      <c r="W50" s="1093">
        <f t="shared" si="42"/>
        <v>0</v>
      </c>
      <c r="X50" s="1078">
        <f t="shared" si="42"/>
        <v>0</v>
      </c>
      <c r="Y50" s="1078">
        <f t="shared" si="42"/>
        <v>0</v>
      </c>
      <c r="Z50" s="1094">
        <f t="shared" si="42"/>
        <v>0</v>
      </c>
      <c r="AA50" s="2120">
        <f t="shared" ref="AA50:AD51" si="43">AA35*AA18</f>
        <v>0</v>
      </c>
      <c r="AB50" s="1078">
        <f t="shared" si="43"/>
        <v>0</v>
      </c>
      <c r="AC50" s="2122">
        <f t="shared" si="43"/>
        <v>0</v>
      </c>
      <c r="AD50" s="1094">
        <f t="shared" si="43"/>
        <v>0</v>
      </c>
    </row>
    <row r="51" spans="1:30">
      <c r="A51" s="1056" t="s">
        <v>452</v>
      </c>
      <c r="B51" s="258" t="str">
        <f t="shared" si="11"/>
        <v>Other</v>
      </c>
      <c r="C51" s="1093">
        <f t="shared" ref="C51:J51" si="44">C36*C19</f>
        <v>0</v>
      </c>
      <c r="D51" s="1078">
        <f t="shared" si="44"/>
        <v>0</v>
      </c>
      <c r="E51" s="1078">
        <f t="shared" si="44"/>
        <v>0</v>
      </c>
      <c r="F51" s="1094">
        <f t="shared" si="44"/>
        <v>0</v>
      </c>
      <c r="G51" s="1093">
        <f t="shared" si="44"/>
        <v>0</v>
      </c>
      <c r="H51" s="1078">
        <f t="shared" si="44"/>
        <v>0</v>
      </c>
      <c r="I51" s="1078">
        <f t="shared" si="44"/>
        <v>0</v>
      </c>
      <c r="J51" s="1094">
        <f t="shared" si="44"/>
        <v>0</v>
      </c>
      <c r="K51" s="1093">
        <f t="shared" ref="K51:P51" si="45">K36*K19</f>
        <v>1446246</v>
      </c>
      <c r="L51" s="1078">
        <f t="shared" si="45"/>
        <v>1248854.0000000007</v>
      </c>
      <c r="M51" s="1078">
        <f t="shared" si="45"/>
        <v>1350000</v>
      </c>
      <c r="N51" s="1094">
        <f t="shared" si="45"/>
        <v>1756000</v>
      </c>
      <c r="O51" s="1093">
        <f t="shared" si="45"/>
        <v>260000</v>
      </c>
      <c r="P51" s="1078">
        <f t="shared" si="45"/>
        <v>0</v>
      </c>
      <c r="Q51" s="1078">
        <f t="shared" ref="Q51:Z51" si="46">Q36*Q19</f>
        <v>0</v>
      </c>
      <c r="R51" s="1094">
        <f t="shared" si="46"/>
        <v>0</v>
      </c>
      <c r="S51" s="1093">
        <f t="shared" si="46"/>
        <v>0</v>
      </c>
      <c r="T51" s="1078">
        <f t="shared" si="46"/>
        <v>0</v>
      </c>
      <c r="U51" s="1078">
        <f t="shared" si="46"/>
        <v>0</v>
      </c>
      <c r="V51" s="1094">
        <f t="shared" si="46"/>
        <v>0</v>
      </c>
      <c r="W51" s="1093">
        <f t="shared" si="46"/>
        <v>0</v>
      </c>
      <c r="X51" s="1078">
        <f t="shared" si="46"/>
        <v>0</v>
      </c>
      <c r="Y51" s="1078">
        <f t="shared" si="46"/>
        <v>0</v>
      </c>
      <c r="Z51" s="1094">
        <f t="shared" si="46"/>
        <v>0</v>
      </c>
      <c r="AA51" s="2120">
        <f t="shared" ref="AA51:AB51" si="47">AA36*AA19</f>
        <v>0</v>
      </c>
      <c r="AB51" s="1078">
        <f t="shared" si="47"/>
        <v>0</v>
      </c>
      <c r="AC51" s="2122">
        <f t="shared" si="43"/>
        <v>0</v>
      </c>
      <c r="AD51" s="1094">
        <f t="shared" si="43"/>
        <v>0</v>
      </c>
    </row>
    <row r="52" spans="1:30" ht="13.8" thickBot="1">
      <c r="A52" s="949" t="s">
        <v>172</v>
      </c>
      <c r="B52" s="1057" t="str">
        <f>B20</f>
        <v>AOCs total</v>
      </c>
      <c r="C52" s="752">
        <f>SUM(C43:C51)</f>
        <v>49484678</v>
      </c>
      <c r="D52" s="753">
        <f>SUM(D43:D51)</f>
        <v>51530618</v>
      </c>
      <c r="E52" s="753">
        <f>SUM(E43:E51)</f>
        <v>58335138.949999981</v>
      </c>
      <c r="F52" s="754">
        <f>SUM(F43:F51)</f>
        <v>58788960.623799995</v>
      </c>
      <c r="G52" s="752">
        <f t="shared" ref="G52:O52" si="48">SUM(G43:G51)</f>
        <v>45763819.999999985</v>
      </c>
      <c r="H52" s="753">
        <f t="shared" si="48"/>
        <v>55947518.000000007</v>
      </c>
      <c r="I52" s="753">
        <f t="shared" si="48"/>
        <v>59031825.659999989</v>
      </c>
      <c r="J52" s="754">
        <f t="shared" si="48"/>
        <v>50566306.780000001</v>
      </c>
      <c r="K52" s="752">
        <f t="shared" si="48"/>
        <v>75344978.739999995</v>
      </c>
      <c r="L52" s="753">
        <f t="shared" si="48"/>
        <v>93028698.260000005</v>
      </c>
      <c r="M52" s="753">
        <f t="shared" si="48"/>
        <v>94625000</v>
      </c>
      <c r="N52" s="754">
        <f t="shared" si="48"/>
        <v>93748000</v>
      </c>
      <c r="O52" s="752">
        <f t="shared" si="48"/>
        <v>59618707.101490289</v>
      </c>
      <c r="P52" s="753">
        <f t="shared" ref="P52:Z52" si="49">SUM(P43:P51)</f>
        <v>0</v>
      </c>
      <c r="Q52" s="753">
        <f t="shared" si="49"/>
        <v>0</v>
      </c>
      <c r="R52" s="754">
        <f t="shared" si="49"/>
        <v>0</v>
      </c>
      <c r="S52" s="752">
        <f t="shared" si="49"/>
        <v>0</v>
      </c>
      <c r="T52" s="753">
        <f t="shared" si="49"/>
        <v>0</v>
      </c>
      <c r="U52" s="753">
        <f t="shared" si="49"/>
        <v>0</v>
      </c>
      <c r="V52" s="754">
        <f t="shared" si="49"/>
        <v>0</v>
      </c>
      <c r="W52" s="752">
        <f t="shared" si="49"/>
        <v>0</v>
      </c>
      <c r="X52" s="753">
        <f t="shared" si="49"/>
        <v>0</v>
      </c>
      <c r="Y52" s="753">
        <f t="shared" si="49"/>
        <v>0</v>
      </c>
      <c r="Z52" s="754">
        <f t="shared" si="49"/>
        <v>0</v>
      </c>
      <c r="AA52" s="2121">
        <f t="shared" ref="AA52:AD52" si="50">SUM(AA43:AA51)</f>
        <v>0</v>
      </c>
      <c r="AB52" s="753">
        <f t="shared" si="50"/>
        <v>0</v>
      </c>
      <c r="AC52" s="2123">
        <f t="shared" si="50"/>
        <v>0</v>
      </c>
      <c r="AD52" s="754">
        <f t="shared" si="50"/>
        <v>0</v>
      </c>
    </row>
    <row r="53" spans="1:30" ht="13.8" thickBot="1">
      <c r="A53" s="2235" t="s">
        <v>121</v>
      </c>
      <c r="B53" s="2236"/>
      <c r="C53" s="749">
        <f>SUM(C41:C51)</f>
        <v>62467817</v>
      </c>
      <c r="D53" s="141">
        <f t="shared" ref="D53:R53" si="51">SUM(D41:D51)</f>
        <v>64251953</v>
      </c>
      <c r="E53" s="141">
        <f t="shared" si="51"/>
        <v>67674736.949999973</v>
      </c>
      <c r="F53" s="750">
        <f t="shared" si="51"/>
        <v>66065607.623799995</v>
      </c>
      <c r="G53" s="749">
        <f t="shared" si="51"/>
        <v>51167143.999999985</v>
      </c>
      <c r="H53" s="141">
        <f t="shared" si="51"/>
        <v>62580782.000000007</v>
      </c>
      <c r="I53" s="141">
        <f t="shared" si="51"/>
        <v>71458957.599999994</v>
      </c>
      <c r="J53" s="750">
        <f t="shared" si="51"/>
        <v>65453749.080000006</v>
      </c>
      <c r="K53" s="749">
        <f t="shared" si="51"/>
        <v>84742637.640000001</v>
      </c>
      <c r="L53" s="141">
        <f t="shared" si="51"/>
        <v>103293525.70000002</v>
      </c>
      <c r="M53" s="141">
        <f t="shared" si="51"/>
        <v>104325000</v>
      </c>
      <c r="N53" s="750">
        <f t="shared" si="51"/>
        <v>103948000</v>
      </c>
      <c r="O53" s="2117">
        <f t="shared" si="51"/>
        <v>66098707.101490289</v>
      </c>
      <c r="P53" s="2118">
        <f t="shared" si="51"/>
        <v>0</v>
      </c>
      <c r="Q53" s="2118">
        <f t="shared" si="51"/>
        <v>0</v>
      </c>
      <c r="R53" s="2119">
        <f t="shared" si="51"/>
        <v>0</v>
      </c>
      <c r="S53" s="2117">
        <f t="shared" ref="S53:Z53" si="52">SUM(S41:S51)</f>
        <v>0</v>
      </c>
      <c r="T53" s="2118">
        <f t="shared" si="52"/>
        <v>0</v>
      </c>
      <c r="U53" s="2118">
        <f t="shared" si="52"/>
        <v>0</v>
      </c>
      <c r="V53" s="2119">
        <f t="shared" si="52"/>
        <v>0</v>
      </c>
      <c r="W53" s="2117">
        <f t="shared" si="52"/>
        <v>0</v>
      </c>
      <c r="X53" s="2118">
        <f t="shared" si="52"/>
        <v>0</v>
      </c>
      <c r="Y53" s="2118">
        <f t="shared" si="52"/>
        <v>0</v>
      </c>
      <c r="Z53" s="2119">
        <f t="shared" si="52"/>
        <v>0</v>
      </c>
      <c r="AA53" s="2117">
        <f t="shared" ref="AA53:AD53" si="53">SUM(AA41:AA51)</f>
        <v>0</v>
      </c>
      <c r="AB53" s="2118">
        <f t="shared" si="53"/>
        <v>0</v>
      </c>
      <c r="AC53" s="2118">
        <f t="shared" si="53"/>
        <v>0</v>
      </c>
      <c r="AD53" s="2119">
        <f t="shared" si="53"/>
        <v>0</v>
      </c>
    </row>
    <row r="54" spans="1:30">
      <c r="C54" s="691"/>
      <c r="D54" s="691"/>
      <c r="E54" s="691"/>
      <c r="F54" s="691"/>
      <c r="G54" s="691"/>
      <c r="H54" s="691"/>
      <c r="I54" s="691"/>
      <c r="J54" s="691"/>
      <c r="K54" s="45"/>
      <c r="L54" s="45"/>
      <c r="M54" s="45"/>
      <c r="N54" s="45"/>
      <c r="O54" s="45"/>
      <c r="P54" s="45"/>
      <c r="Q54" s="45"/>
      <c r="R54" s="45"/>
      <c r="S54" s="45"/>
      <c r="T54" s="45"/>
      <c r="U54" s="45"/>
      <c r="V54" s="45"/>
      <c r="W54" s="45"/>
      <c r="X54" s="45"/>
      <c r="Y54" s="45"/>
      <c r="Z54" s="45"/>
      <c r="AA54" s="45"/>
      <c r="AB54" s="45"/>
      <c r="AC54" s="45"/>
      <c r="AD54" s="45"/>
    </row>
    <row r="55" spans="1:3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row>
    <row r="56" spans="1:30">
      <c r="H56" s="15"/>
      <c r="V56" s="15"/>
      <c r="Z56" s="15"/>
      <c r="AA56" s="15"/>
      <c r="AB56" s="15"/>
      <c r="AC56" s="15"/>
      <c r="AD56" s="15"/>
    </row>
    <row r="57" spans="1:30">
      <c r="H57" s="946"/>
      <c r="Z57" s="5"/>
      <c r="AA57" s="5"/>
      <c r="AB57" s="5"/>
      <c r="AC57" s="5"/>
      <c r="AD57" s="5"/>
    </row>
    <row r="59" spans="1:30">
      <c r="H59" s="67"/>
      <c r="AA59" s="5"/>
      <c r="AB59" s="5"/>
      <c r="AC59" s="5"/>
      <c r="AD59" s="5"/>
    </row>
    <row r="60" spans="1:30">
      <c r="H60" s="67"/>
      <c r="AA60" s="5"/>
      <c r="AB60" s="5"/>
      <c r="AC60" s="5"/>
      <c r="AD60" s="5"/>
    </row>
    <row r="61" spans="1:30">
      <c r="H61" s="67"/>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CD274"/>
  <sheetViews>
    <sheetView zoomScale="90" zoomScaleNormal="90" zoomScalePageLayoutView="80" workbookViewId="0">
      <pane xSplit="4" topLeftCell="E1" activePane="topRight" state="frozen"/>
      <selection pane="topRight" activeCell="A2" sqref="A2"/>
    </sheetView>
  </sheetViews>
  <sheetFormatPr defaultColWidth="8.77734375" defaultRowHeight="13.2"/>
  <cols>
    <col min="1" max="1" width="4.44140625" customWidth="1"/>
    <col min="5" max="5" width="16" customWidth="1"/>
    <col min="6" max="6" width="12.77734375" customWidth="1"/>
    <col min="7" max="7" width="13.44140625" customWidth="1"/>
    <col min="8" max="8" width="9.77734375" customWidth="1"/>
    <col min="9" max="9" width="10.44140625" customWidth="1"/>
    <col min="10" max="10" width="13.77734375" customWidth="1"/>
    <col min="11" max="11" width="11.44140625" bestFit="1" customWidth="1"/>
    <col min="12" max="12" width="11.44140625" customWidth="1"/>
    <col min="13" max="21" width="11.44140625" bestFit="1" customWidth="1"/>
    <col min="22" max="23" width="10.44140625" customWidth="1"/>
    <col min="24" max="25" width="11.44140625" bestFit="1" customWidth="1"/>
    <col min="26" max="26" width="11.44140625" customWidth="1"/>
    <col min="27" max="29" width="11.44140625" bestFit="1" customWidth="1"/>
    <col min="30" max="63" width="9.109375" customWidth="1"/>
  </cols>
  <sheetData>
    <row r="2" spans="1:57" ht="17.399999999999999">
      <c r="B2" s="32" t="s">
        <v>617</v>
      </c>
    </row>
    <row r="3" spans="1:57" ht="18.75" customHeight="1">
      <c r="B3" s="225" t="str">
        <f>Introduction!$B$2</f>
        <v>December 2023 QMU - Sample template for illustrative purposes only</v>
      </c>
    </row>
    <row r="4" spans="1:57" ht="17.399999999999999">
      <c r="B4" s="33"/>
    </row>
    <row r="5" spans="1:57" ht="17.399999999999999">
      <c r="A5" s="28"/>
      <c r="B5" s="35" t="s">
        <v>574</v>
      </c>
      <c r="C5" s="28"/>
      <c r="D5" s="36"/>
      <c r="E5" s="28"/>
      <c r="F5" s="1657"/>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57">
      <c r="D6" s="7"/>
    </row>
    <row r="7" spans="1:57" ht="15.6">
      <c r="D7" s="7"/>
      <c r="E7" s="352" t="s">
        <v>70</v>
      </c>
      <c r="F7" s="1850"/>
      <c r="G7" s="29"/>
      <c r="H7" s="29"/>
      <c r="I7" s="29"/>
      <c r="J7" s="352" t="s">
        <v>71</v>
      </c>
      <c r="K7" s="1850"/>
      <c r="L7" s="29"/>
      <c r="M7" s="29"/>
    </row>
    <row r="8" spans="1:57" ht="46.95" customHeight="1">
      <c r="D8" s="7"/>
      <c r="E8" s="583" t="s">
        <v>27</v>
      </c>
      <c r="F8" s="584" t="s">
        <v>471</v>
      </c>
      <c r="G8" s="584" t="s">
        <v>620</v>
      </c>
      <c r="H8" s="29"/>
      <c r="I8" s="29"/>
      <c r="J8" s="584" t="s">
        <v>27</v>
      </c>
      <c r="K8" s="584" t="str">
        <f>$F$8</f>
        <v>10-yr revenue growth</v>
      </c>
      <c r="L8" s="584" t="s">
        <v>620</v>
      </c>
      <c r="M8" s="29"/>
    </row>
    <row r="9" spans="1:57" ht="30" customHeight="1">
      <c r="D9" s="7"/>
      <c r="E9" s="585" t="s">
        <v>324</v>
      </c>
      <c r="F9" s="587">
        <f>H39</f>
        <v>-1</v>
      </c>
      <c r="G9" s="589" t="e">
        <f>BG38</f>
        <v>#DIV/0!</v>
      </c>
      <c r="H9" s="645"/>
      <c r="I9" s="29"/>
      <c r="J9" s="586" t="s">
        <v>327</v>
      </c>
      <c r="K9" s="589">
        <f>H116</f>
        <v>-1</v>
      </c>
      <c r="L9" s="590" t="e">
        <f>BH119</f>
        <v>#DIV/0!</v>
      </c>
      <c r="M9" s="645"/>
    </row>
    <row r="10" spans="1:57" ht="30" customHeight="1">
      <c r="D10" s="7"/>
      <c r="E10" s="585" t="s">
        <v>326</v>
      </c>
      <c r="F10" s="588">
        <f>N39</f>
        <v>-1</v>
      </c>
      <c r="G10" s="1963" t="e">
        <f>BG39</f>
        <v>#DIV/0!</v>
      </c>
      <c r="H10" s="645"/>
      <c r="I10" s="29"/>
      <c r="J10" s="586" t="s">
        <v>587</v>
      </c>
      <c r="K10" s="590">
        <f>O116</f>
        <v>-1</v>
      </c>
      <c r="L10" s="590" t="e">
        <f>BH120</f>
        <v>#DIV/0!</v>
      </c>
      <c r="M10" s="645"/>
    </row>
    <row r="11" spans="1:57" ht="30" customHeight="1">
      <c r="D11" s="7"/>
      <c r="E11" s="585" t="s">
        <v>28</v>
      </c>
      <c r="F11" s="589">
        <f>H73</f>
        <v>-1</v>
      </c>
      <c r="G11" s="589" t="e">
        <f>BG77</f>
        <v>#DIV/0!</v>
      </c>
      <c r="H11" s="645"/>
      <c r="I11" s="29"/>
      <c r="J11" s="586" t="s">
        <v>29</v>
      </c>
      <c r="K11" s="590">
        <f>G149</f>
        <v>-1</v>
      </c>
      <c r="L11" s="590" t="e">
        <f>'Datacom equip'!AH22</f>
        <v>#DIV/0!</v>
      </c>
      <c r="M11" s="645"/>
    </row>
    <row r="12" spans="1:57" ht="30" customHeight="1">
      <c r="D12" s="7"/>
      <c r="E12" s="585" t="s">
        <v>68</v>
      </c>
      <c r="F12" s="589">
        <f>AF260</f>
        <v>-1</v>
      </c>
      <c r="G12" s="589" t="e">
        <f>BH272</f>
        <v>#DIV/0!</v>
      </c>
      <c r="H12" s="645"/>
      <c r="I12" s="29"/>
      <c r="J12" s="586" t="s">
        <v>69</v>
      </c>
      <c r="K12" s="591">
        <f>AF259</f>
        <v>-1</v>
      </c>
      <c r="L12" s="592" t="e">
        <f>BH271</f>
        <v>#DIV/0!</v>
      </c>
      <c r="M12" s="645"/>
    </row>
    <row r="13" spans="1:57" ht="13.8">
      <c r="D13" s="7"/>
      <c r="E13" s="645"/>
      <c r="F13" s="645"/>
      <c r="G13" s="21"/>
      <c r="H13" s="29"/>
      <c r="I13" s="29"/>
      <c r="J13" s="645"/>
      <c r="K13" s="29"/>
      <c r="L13" s="21"/>
      <c r="M13" s="29"/>
    </row>
    <row r="14" spans="1:57" ht="13.8">
      <c r="D14" s="7"/>
      <c r="E14" s="29"/>
      <c r="F14" s="29"/>
      <c r="G14" s="29"/>
      <c r="H14" s="29"/>
      <c r="I14" s="29"/>
      <c r="J14" s="29"/>
      <c r="K14" s="29"/>
      <c r="L14" s="29"/>
      <c r="M14" s="29"/>
    </row>
    <row r="15" spans="1:57" ht="46.95" customHeight="1">
      <c r="D15" s="7"/>
      <c r="E15" s="29"/>
      <c r="F15" s="584" t="s">
        <v>471</v>
      </c>
      <c r="G15" s="584" t="s">
        <v>620</v>
      </c>
      <c r="H15" s="29"/>
      <c r="J15" s="2061" t="s">
        <v>626</v>
      </c>
      <c r="K15" s="2" t="s">
        <v>10</v>
      </c>
      <c r="L15" s="244" t="s">
        <v>11</v>
      </c>
      <c r="N15" s="29"/>
    </row>
    <row r="16" spans="1:57" ht="30" customHeight="1">
      <c r="D16" s="7"/>
      <c r="E16" s="585" t="s">
        <v>562</v>
      </c>
      <c r="F16" s="589">
        <f>G201</f>
        <v>-1</v>
      </c>
      <c r="G16" s="589" t="e">
        <f>BG209</f>
        <v>#DIV/0!</v>
      </c>
      <c r="H16" s="645"/>
      <c r="J16" s="2" t="s">
        <v>625</v>
      </c>
      <c r="K16" s="41" t="e">
        <f>G10</f>
        <v>#DIV/0!</v>
      </c>
      <c r="L16" s="41" t="e">
        <f>L10</f>
        <v>#DIV/0!</v>
      </c>
      <c r="M16" s="645"/>
    </row>
    <row r="17" spans="1:61" ht="30" customHeight="1">
      <c r="D17" s="7"/>
      <c r="E17" s="585" t="s">
        <v>627</v>
      </c>
      <c r="F17" s="589">
        <f>AF257</f>
        <v>-1</v>
      </c>
      <c r="G17" s="589" t="e">
        <f>BH245</f>
        <v>#DIV/0!</v>
      </c>
      <c r="H17" s="645"/>
      <c r="J17" s="2" t="s">
        <v>477</v>
      </c>
      <c r="K17" s="41" t="e">
        <f>G11</f>
        <v>#DIV/0!</v>
      </c>
      <c r="L17" s="41" t="e">
        <f>L11</f>
        <v>#DIV/0!</v>
      </c>
      <c r="M17" s="645"/>
    </row>
    <row r="18" spans="1:61" ht="25.2" customHeight="1">
      <c r="D18" s="7"/>
      <c r="F18" s="2059"/>
      <c r="G18" s="2060"/>
      <c r="J18" s="2" t="s">
        <v>526</v>
      </c>
      <c r="K18" s="41" t="e">
        <f>G12</f>
        <v>#DIV/0!</v>
      </c>
      <c r="L18" s="41" t="e">
        <f>L12</f>
        <v>#DIV/0!</v>
      </c>
      <c r="M18" s="645"/>
    </row>
    <row r="19" spans="1:61">
      <c r="D19" s="7"/>
      <c r="G19" s="13"/>
      <c r="K19" s="41"/>
      <c r="L19" s="48"/>
    </row>
    <row r="20" spans="1:61">
      <c r="D20" s="7"/>
    </row>
    <row r="21" spans="1:61" ht="17.399999999999999">
      <c r="A21" s="28"/>
      <c r="B21" s="35" t="s">
        <v>322</v>
      </c>
      <c r="C21" s="28"/>
      <c r="D21" s="36"/>
      <c r="E21" s="28"/>
      <c r="F21" s="28"/>
      <c r="G21" s="646"/>
      <c r="H21" s="646"/>
      <c r="I21" s="28"/>
      <c r="J21" s="28"/>
      <c r="K21" s="28"/>
      <c r="L21" s="28"/>
      <c r="M21" s="28"/>
      <c r="N21" s="28"/>
      <c r="O21" s="28"/>
      <c r="P21" s="46"/>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row>
    <row r="22" spans="1:61">
      <c r="D22" s="7"/>
    </row>
    <row r="23" spans="1:61">
      <c r="D23" s="7"/>
    </row>
    <row r="24" spans="1:61" ht="14.4">
      <c r="A24" s="30" t="s">
        <v>67</v>
      </c>
      <c r="B24" s="30"/>
      <c r="D24" s="7"/>
    </row>
    <row r="25" spans="1:61" ht="14.4">
      <c r="A25" s="34" t="str">
        <f>CSPs!B30</f>
        <v>AT&amp;T</v>
      </c>
      <c r="D25" s="7"/>
    </row>
    <row r="26" spans="1:61" ht="14.4">
      <c r="A26" s="34" t="str">
        <f>CSPs!B31</f>
        <v>BT</v>
      </c>
      <c r="D26" s="7"/>
    </row>
    <row r="27" spans="1:61" ht="14.4">
      <c r="A27" s="34" t="str">
        <f>CSPs!B32</f>
        <v>China Mobile</v>
      </c>
      <c r="D27" s="7"/>
    </row>
    <row r="28" spans="1:61" ht="14.4">
      <c r="A28" s="34" t="str">
        <f>CSPs!B33</f>
        <v>China Telecom</v>
      </c>
      <c r="D28" s="7"/>
    </row>
    <row r="29" spans="1:61" ht="14.4">
      <c r="A29" s="34" t="str">
        <f>CSPs!B34</f>
        <v>China Unicom</v>
      </c>
      <c r="D29" s="7"/>
      <c r="U29" s="1656" t="s">
        <v>135</v>
      </c>
      <c r="V29" s="2" t="str">
        <f t="shared" ref="V29:BE29" si="0">U41</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si="0"/>
        <v>3Q 16</v>
      </c>
      <c r="AG29" s="2" t="str">
        <f t="shared" si="0"/>
        <v>4Q 16</v>
      </c>
      <c r="AH29" s="2" t="str">
        <f t="shared" si="0"/>
        <v>1Q 17</v>
      </c>
      <c r="AI29" s="2" t="str">
        <f t="shared" si="0"/>
        <v>2Q 17</v>
      </c>
      <c r="AJ29" s="2" t="str">
        <f t="shared" si="0"/>
        <v>3Q 17</v>
      </c>
      <c r="AK29" s="2" t="str">
        <f t="shared" si="0"/>
        <v>4Q 17</v>
      </c>
      <c r="AL29" s="2" t="str">
        <f t="shared" si="0"/>
        <v>1Q 18</v>
      </c>
      <c r="AM29" s="2" t="str">
        <f t="shared" si="0"/>
        <v>2Q 18</v>
      </c>
      <c r="AN29" s="2" t="str">
        <f t="shared" si="0"/>
        <v>3Q 18</v>
      </c>
      <c r="AO29" s="2" t="str">
        <f t="shared" si="0"/>
        <v>4Q 18</v>
      </c>
      <c r="AP29" s="2" t="str">
        <f t="shared" si="0"/>
        <v>1Q 19</v>
      </c>
      <c r="AQ29" s="2" t="str">
        <f t="shared" si="0"/>
        <v>2Q 19</v>
      </c>
      <c r="AR29" s="2" t="str">
        <f t="shared" si="0"/>
        <v>3Q 19</v>
      </c>
      <c r="AS29" s="2" t="str">
        <f t="shared" si="0"/>
        <v>4Q 19</v>
      </c>
      <c r="AT29" s="2" t="str">
        <f t="shared" si="0"/>
        <v>1Q 20</v>
      </c>
      <c r="AU29" s="2" t="str">
        <f t="shared" si="0"/>
        <v>2Q 20</v>
      </c>
      <c r="AV29" s="2" t="str">
        <f t="shared" si="0"/>
        <v>3Q 20</v>
      </c>
      <c r="AW29" s="2" t="str">
        <f t="shared" si="0"/>
        <v>4Q 20</v>
      </c>
      <c r="AX29" s="2" t="str">
        <f t="shared" si="0"/>
        <v>1Q 21</v>
      </c>
      <c r="AY29" s="2" t="str">
        <f t="shared" si="0"/>
        <v>2Q 21</v>
      </c>
      <c r="AZ29" s="2" t="str">
        <f t="shared" si="0"/>
        <v>3Q 21</v>
      </c>
      <c r="BA29" s="2" t="str">
        <f t="shared" si="0"/>
        <v>4Q 21</v>
      </c>
      <c r="BB29" s="2" t="str">
        <f t="shared" si="0"/>
        <v>1Q 22</v>
      </c>
      <c r="BC29" s="2" t="str">
        <f t="shared" si="0"/>
        <v>2Q 22</v>
      </c>
      <c r="BD29" s="2" t="str">
        <f t="shared" si="0"/>
        <v>3Q 22</v>
      </c>
      <c r="BE29" s="2" t="str">
        <f t="shared" si="0"/>
        <v>4Q 22</v>
      </c>
      <c r="BF29" s="2" t="str">
        <f>BE41</f>
        <v>1Q 23</v>
      </c>
      <c r="BG29" s="2" t="str">
        <f>BF41</f>
        <v>2Q 23</v>
      </c>
      <c r="BH29" s="2" t="str">
        <f>BG41</f>
        <v>3Q 23</v>
      </c>
      <c r="BI29" s="11" t="s">
        <v>135</v>
      </c>
    </row>
    <row r="30" spans="1:61" ht="14.4">
      <c r="A30" s="34" t="str">
        <f>CSPs!B35</f>
        <v>Comcast</v>
      </c>
      <c r="D30" s="7"/>
      <c r="U30" s="2" t="s">
        <v>303</v>
      </c>
      <c r="V30" s="5">
        <f t="shared" ref="V30:BC30" si="1">U43/Q43-1</f>
        <v>4.0202562387704477E-2</v>
      </c>
      <c r="W30" s="5">
        <f t="shared" si="1"/>
        <v>0.12455164512505768</v>
      </c>
      <c r="X30" s="5">
        <f t="shared" si="1"/>
        <v>-7.607003621134556E-2</v>
      </c>
      <c r="Y30" s="5">
        <f t="shared" si="1"/>
        <v>-5.5563585566848372E-2</v>
      </c>
      <c r="Z30" s="5">
        <f t="shared" si="1"/>
        <v>-0.12033516676227562</v>
      </c>
      <c r="AA30" s="5">
        <f t="shared" si="1"/>
        <v>-0.12359542930168566</v>
      </c>
      <c r="AB30" s="5">
        <f t="shared" si="1"/>
        <v>0.15246042320500131</v>
      </c>
      <c r="AC30" s="5">
        <f t="shared" si="1"/>
        <v>0.12907665023773518</v>
      </c>
      <c r="AD30" s="5">
        <f t="shared" si="1"/>
        <v>5.2744963972386927E-2</v>
      </c>
      <c r="AE30" s="5">
        <f t="shared" si="1"/>
        <v>-1.2103578964339889E-2</v>
      </c>
      <c r="AF30" s="5">
        <f t="shared" si="1"/>
        <v>-0.13577773311269659</v>
      </c>
      <c r="AG30" s="5">
        <f t="shared" si="1"/>
        <v>-0.10016515325697428</v>
      </c>
      <c r="AH30" s="5">
        <f t="shared" si="1"/>
        <v>-1.9657665802111146E-2</v>
      </c>
      <c r="AI30" s="5">
        <f t="shared" si="1"/>
        <v>3.227700431426106E-2</v>
      </c>
      <c r="AJ30" s="5">
        <f t="shared" si="1"/>
        <v>-2.6116325221698156E-2</v>
      </c>
      <c r="AK30" s="5">
        <f t="shared" si="1"/>
        <v>-8.1956789590797885E-2</v>
      </c>
      <c r="AL30" s="5">
        <f t="shared" si="1"/>
        <v>5.6584802142641166E-2</v>
      </c>
      <c r="AM30" s="5">
        <f t="shared" si="1"/>
        <v>-4.4435313932625897E-3</v>
      </c>
      <c r="AN30" s="5">
        <f t="shared" si="1"/>
        <v>-3.0504931515926925E-2</v>
      </c>
      <c r="AO30" s="5">
        <f t="shared" si="1"/>
        <v>-8.3428973516589622E-2</v>
      </c>
      <c r="AP30" s="26">
        <f t="shared" si="1"/>
        <v>2.7824470752758401E-2</v>
      </c>
      <c r="AQ30" s="26">
        <f t="shared" si="1"/>
        <v>-1</v>
      </c>
      <c r="AR30" s="26">
        <f t="shared" si="1"/>
        <v>-1</v>
      </c>
      <c r="AS30" s="26">
        <f t="shared" si="1"/>
        <v>-1</v>
      </c>
      <c r="AT30" s="26">
        <f t="shared" si="1"/>
        <v>-1</v>
      </c>
      <c r="AU30" s="26" t="e">
        <f t="shared" si="1"/>
        <v>#DIV/0!</v>
      </c>
      <c r="AV30" s="26" t="e">
        <f t="shared" si="1"/>
        <v>#DIV/0!</v>
      </c>
      <c r="AW30" s="26" t="e">
        <f t="shared" si="1"/>
        <v>#DIV/0!</v>
      </c>
      <c r="AX30" s="26" t="e">
        <f t="shared" si="1"/>
        <v>#DIV/0!</v>
      </c>
      <c r="AY30" s="26" t="e">
        <f t="shared" si="1"/>
        <v>#DIV/0!</v>
      </c>
      <c r="AZ30" s="26" t="e">
        <f t="shared" si="1"/>
        <v>#DIV/0!</v>
      </c>
      <c r="BA30" s="26" t="e">
        <f t="shared" si="1"/>
        <v>#DIV/0!</v>
      </c>
      <c r="BB30" s="26" t="e">
        <f t="shared" si="1"/>
        <v>#DIV/0!</v>
      </c>
      <c r="BC30" s="26" t="e">
        <f t="shared" si="1"/>
        <v>#DIV/0!</v>
      </c>
      <c r="BD30" s="26" t="e">
        <f>BC43/AY43-1</f>
        <v>#DIV/0!</v>
      </c>
      <c r="BE30" s="26" t="e">
        <f>BD43/AZ43-1</f>
        <v>#DIV/0!</v>
      </c>
      <c r="BF30" s="26" t="e">
        <f>BE43/BA43-1</f>
        <v>#DIV/0!</v>
      </c>
      <c r="BG30" s="26" t="e">
        <f>BF43/BB43-1</f>
        <v>#DIV/0!</v>
      </c>
      <c r="BH30" s="26" t="e">
        <f>BG43/BC43-1</f>
        <v>#DIV/0!</v>
      </c>
      <c r="BI30" t="s">
        <v>303</v>
      </c>
    </row>
    <row r="31" spans="1:61" ht="14.4">
      <c r="A31" s="34" t="str">
        <f>CSPs!B36</f>
        <v>Deutsche Telekom</v>
      </c>
      <c r="D31" s="7"/>
      <c r="U31" s="2" t="s">
        <v>304</v>
      </c>
      <c r="V31" s="11">
        <f t="shared" ref="V31:BD31" si="2">U122</f>
        <v>0.2647115180315962</v>
      </c>
      <c r="W31" s="11">
        <f t="shared" si="2"/>
        <v>0.2264248424026587</v>
      </c>
      <c r="X31" s="11">
        <f t="shared" si="2"/>
        <v>0.40159851827994353</v>
      </c>
      <c r="Y31" s="11">
        <f t="shared" si="2"/>
        <v>0.38366221434251835</v>
      </c>
      <c r="Z31" s="11">
        <f t="shared" si="2"/>
        <v>0.28624980949418211</v>
      </c>
      <c r="AA31" s="11">
        <f t="shared" si="2"/>
        <v>0.13827721282521077</v>
      </c>
      <c r="AB31" s="11">
        <f t="shared" si="2"/>
        <v>4.6632607062302656E-2</v>
      </c>
      <c r="AC31" s="11">
        <f t="shared" si="2"/>
        <v>1.207115884894927E-2</v>
      </c>
      <c r="AD31" s="11">
        <f t="shared" si="2"/>
        <v>0.12855702735155194</v>
      </c>
      <c r="AE31" s="11">
        <f t="shared" si="2"/>
        <v>0.13434028594697045</v>
      </c>
      <c r="AF31" s="11">
        <f t="shared" si="2"/>
        <v>0.16627299066169132</v>
      </c>
      <c r="AG31" s="11">
        <f t="shared" si="2"/>
        <v>0.21175590087091845</v>
      </c>
      <c r="AH31" s="11">
        <f t="shared" si="2"/>
        <v>0.11789395542640491</v>
      </c>
      <c r="AI31" s="11">
        <f t="shared" si="2"/>
        <v>0.2257423152019491</v>
      </c>
      <c r="AJ31" s="11">
        <f t="shared" si="2"/>
        <v>0.19355489169980711</v>
      </c>
      <c r="AK31" s="11">
        <f t="shared" si="2"/>
        <v>0.32597970081442695</v>
      </c>
      <c r="AL31" s="11">
        <f t="shared" si="2"/>
        <v>0.96061876078401132</v>
      </c>
      <c r="AM31" s="11">
        <f t="shared" si="2"/>
        <v>0.59144185739689159</v>
      </c>
      <c r="AN31" s="11">
        <f t="shared" si="2"/>
        <v>0.42587896969344641</v>
      </c>
      <c r="AO31" s="11">
        <f t="shared" si="2"/>
        <v>0.30464211169263167</v>
      </c>
      <c r="AP31" s="11">
        <f t="shared" si="2"/>
        <v>-0.14852762705252409</v>
      </c>
      <c r="AQ31" s="11">
        <f t="shared" si="2"/>
        <v>-1</v>
      </c>
      <c r="AR31" s="11">
        <f t="shared" si="2"/>
        <v>-1</v>
      </c>
      <c r="AS31" s="11">
        <f t="shared" si="2"/>
        <v>-1</v>
      </c>
      <c r="AT31" s="11">
        <f t="shared" si="2"/>
        <v>-1</v>
      </c>
      <c r="AU31" s="11" t="e">
        <f t="shared" si="2"/>
        <v>#DIV/0!</v>
      </c>
      <c r="AV31" s="11" t="e">
        <f t="shared" si="2"/>
        <v>#DIV/0!</v>
      </c>
      <c r="AW31" s="11" t="e">
        <f t="shared" si="2"/>
        <v>#DIV/0!</v>
      </c>
      <c r="AX31" s="11" t="e">
        <f t="shared" si="2"/>
        <v>#DIV/0!</v>
      </c>
      <c r="AY31" s="11" t="e">
        <f t="shared" si="2"/>
        <v>#DIV/0!</v>
      </c>
      <c r="AZ31" s="11" t="e">
        <f t="shared" si="2"/>
        <v>#DIV/0!</v>
      </c>
      <c r="BA31" s="11" t="e">
        <f t="shared" si="2"/>
        <v>#DIV/0!</v>
      </c>
      <c r="BB31" s="11" t="e">
        <f t="shared" si="2"/>
        <v>#DIV/0!</v>
      </c>
      <c r="BC31" s="11" t="e">
        <f t="shared" si="2"/>
        <v>#DIV/0!</v>
      </c>
      <c r="BD31" s="11" t="e">
        <f t="shared" si="2"/>
        <v>#DIV/0!</v>
      </c>
      <c r="BE31" s="11" t="e">
        <f>BD122</f>
        <v>#DIV/0!</v>
      </c>
      <c r="BF31" s="11" t="e">
        <f>BE122</f>
        <v>#DIV/0!</v>
      </c>
      <c r="BG31" s="11" t="e">
        <f>BF122</f>
        <v>#DIV/0!</v>
      </c>
      <c r="BH31" s="11" t="e">
        <f>BG122</f>
        <v>#DIV/0!</v>
      </c>
      <c r="BI31" t="s">
        <v>304</v>
      </c>
    </row>
    <row r="32" spans="1:61" ht="14.4">
      <c r="A32" s="34" t="str">
        <f>CSPs!B37</f>
        <v>Orange</v>
      </c>
      <c r="D32" s="7"/>
      <c r="BF32" s="2"/>
    </row>
    <row r="33" spans="1:62" ht="14.4">
      <c r="A33" s="34" t="str">
        <f>CSPs!B38</f>
        <v>KDDI</v>
      </c>
      <c r="D33" s="7"/>
      <c r="V33" s="3">
        <v>2010</v>
      </c>
      <c r="W33" s="3">
        <v>2011</v>
      </c>
      <c r="X33" s="3">
        <v>2012</v>
      </c>
      <c r="Y33" s="3">
        <v>2013</v>
      </c>
      <c r="Z33" s="3">
        <v>2014</v>
      </c>
      <c r="AA33" s="3">
        <v>2015</v>
      </c>
      <c r="AB33" s="3">
        <v>2016</v>
      </c>
      <c r="AC33" s="3">
        <v>2017</v>
      </c>
      <c r="AD33" s="3">
        <v>2018</v>
      </c>
      <c r="AE33" s="3">
        <v>2019</v>
      </c>
      <c r="AF33" s="3">
        <v>2020</v>
      </c>
      <c r="AG33" s="3">
        <v>2021</v>
      </c>
      <c r="AH33" s="3">
        <v>2022</v>
      </c>
    </row>
    <row r="34" spans="1:62" ht="14.4">
      <c r="A34" s="34" t="str">
        <f>CSPs!B39</f>
        <v>NTT</v>
      </c>
      <c r="D34" s="7"/>
      <c r="U34" s="2" t="s">
        <v>12</v>
      </c>
      <c r="V34" s="15">
        <f>SUM(E42:H42)</f>
        <v>950.1164248034471</v>
      </c>
      <c r="W34" s="15">
        <f>SUM(I42:L42)</f>
        <v>1020.1808574139789</v>
      </c>
      <c r="X34" s="15">
        <f>SUM(M42:P42)</f>
        <v>1026.5605907059658</v>
      </c>
      <c r="Y34" s="15">
        <f>SUM(Q42:T42)</f>
        <v>1039.4246746048786</v>
      </c>
      <c r="Z34" s="15">
        <f>SUM(U42:X42)</f>
        <v>1054.3749479085416</v>
      </c>
      <c r="AA34" s="15">
        <f>SUM(Y42:AB42)</f>
        <v>1021.2127521291349</v>
      </c>
      <c r="AB34" s="15">
        <f>SUM(AC42:AF42)</f>
        <v>1074.1992170126514</v>
      </c>
      <c r="AC34" s="15">
        <f>SUM(AG42:AJ42)</f>
        <v>1068.4588227246718</v>
      </c>
      <c r="AD34" s="15">
        <f>SUM(AK42:AN42)</f>
        <v>1112.4056507934154</v>
      </c>
      <c r="AE34" s="15">
        <f>SUM(AO42:AR42)</f>
        <v>278.37398347482076</v>
      </c>
      <c r="AF34" s="15">
        <f>SUM(AS42:AV42)</f>
        <v>0</v>
      </c>
      <c r="AG34" s="15">
        <f>SUM(AW42:AZ42)</f>
        <v>0</v>
      </c>
      <c r="AH34" s="15">
        <f>SUM(BA42:BD42)</f>
        <v>0</v>
      </c>
    </row>
    <row r="35" spans="1:62" ht="14.4">
      <c r="A35" s="34" t="str">
        <f>CSPs!B40</f>
        <v>Softbank</v>
      </c>
      <c r="D35" s="7"/>
      <c r="U35" s="2" t="s">
        <v>26</v>
      </c>
      <c r="V35" s="15">
        <f>SUM(E43:H43)</f>
        <v>160.68837236058459</v>
      </c>
      <c r="W35" s="15">
        <f>SUM(I43:L43)</f>
        <v>172.0472339565332</v>
      </c>
      <c r="X35" s="15">
        <f>SUM(M43:P43)</f>
        <v>173.54001356777343</v>
      </c>
      <c r="Y35" s="15">
        <f>SUM(Q43:T43)</f>
        <v>187.90737037424964</v>
      </c>
      <c r="Z35" s="15">
        <f>SUM(U43:X43)</f>
        <v>187.71378406541717</v>
      </c>
      <c r="AA35" s="15">
        <f>SUM(Y43:AB43)</f>
        <v>190.56491019906508</v>
      </c>
      <c r="AB35" s="15">
        <f>SUM(AC43:AF43)</f>
        <v>179.05101394446226</v>
      </c>
      <c r="AC35" s="15">
        <f>SUM(AG43:AJ43)</f>
        <v>173.95758147824517</v>
      </c>
      <c r="AD35" s="15">
        <f>SUM(AK43:AN43)</f>
        <v>170.67785593944461</v>
      </c>
      <c r="AE35" s="15">
        <f>SUM(AO43:AR43)</f>
        <v>44.228585234910057</v>
      </c>
      <c r="AF35" s="15">
        <f>SUM(AS43:AV43)</f>
        <v>0</v>
      </c>
      <c r="AG35" s="15">
        <f>SUM(AW43:AZ43)</f>
        <v>0</v>
      </c>
      <c r="AH35" s="15">
        <f>SUM(BA43:BD43)</f>
        <v>0</v>
      </c>
    </row>
    <row r="36" spans="1:62" ht="14.4">
      <c r="A36" s="34" t="str">
        <f>CSPs!B41</f>
        <v>Telecom Italia</v>
      </c>
      <c r="D36" s="7"/>
    </row>
    <row r="37" spans="1:62" ht="14.4">
      <c r="A37" s="34" t="str">
        <f>CSPs!B42</f>
        <v>Telefonica</v>
      </c>
      <c r="D37" s="7"/>
      <c r="P37" s="11"/>
      <c r="Z37" s="2"/>
      <c r="AA37" s="2"/>
    </row>
    <row r="38" spans="1:62" ht="14.4">
      <c r="A38" s="34" t="str">
        <f>CSPs!B43</f>
        <v>Verizon</v>
      </c>
      <c r="D38" s="7"/>
      <c r="I38" s="11"/>
      <c r="J38" s="11"/>
      <c r="K38" s="11"/>
      <c r="L38" s="11"/>
      <c r="M38" s="11"/>
      <c r="X38" s="2" t="s">
        <v>519</v>
      </c>
      <c r="Y38" s="26">
        <f t="shared" ref="Y38:AH39" si="3">Y42/U42-1</f>
        <v>-6.2485488423270841E-2</v>
      </c>
      <c r="Z38" s="26">
        <f t="shared" si="3"/>
        <v>-6.0449139506673299E-2</v>
      </c>
      <c r="AA38" s="26">
        <f t="shared" si="3"/>
        <v>-4.3614058053516036E-3</v>
      </c>
      <c r="AB38" s="26">
        <f t="shared" si="3"/>
        <v>3.2646342118285432E-3</v>
      </c>
      <c r="AC38" s="26">
        <f t="shared" si="3"/>
        <v>5.7098615583869972E-2</v>
      </c>
      <c r="AD38" s="26">
        <f t="shared" si="3"/>
        <v>6.8588673752922436E-2</v>
      </c>
      <c r="AE38" s="26">
        <f t="shared" si="3"/>
        <v>3.8374887672773861E-2</v>
      </c>
      <c r="AF38" s="26">
        <f t="shared" si="3"/>
        <v>4.4206551380093773E-2</v>
      </c>
      <c r="AG38" s="26">
        <f t="shared" si="3"/>
        <v>-2.8403778368063959E-2</v>
      </c>
      <c r="AH38" s="26">
        <f t="shared" si="3"/>
        <v>-1.0480344949688747E-2</v>
      </c>
      <c r="AI38" s="26">
        <f t="shared" ref="AI38:AR39" si="4">AI42/AE42-1</f>
        <v>-9.4279246640782688E-4</v>
      </c>
      <c r="AJ38" s="26">
        <f t="shared" si="4"/>
        <v>1.7880126304895549E-2</v>
      </c>
      <c r="AK38" s="26">
        <f t="shared" si="4"/>
        <v>8.0137447302339515E-2</v>
      </c>
      <c r="AL38" s="26">
        <f t="shared" si="4"/>
        <v>3.747841779110539E-2</v>
      </c>
      <c r="AM38" s="26">
        <f t="shared" si="4"/>
        <v>3.4854663180856837E-2</v>
      </c>
      <c r="AN38" s="26">
        <f t="shared" si="4"/>
        <v>1.4322502671296755E-2</v>
      </c>
      <c r="AO38" s="26">
        <f t="shared" si="4"/>
        <v>-3.3040762290141856E-3</v>
      </c>
      <c r="AP38" s="26">
        <f t="shared" si="4"/>
        <v>-1</v>
      </c>
      <c r="AQ38" s="26">
        <f t="shared" si="4"/>
        <v>-1</v>
      </c>
      <c r="AR38" s="26">
        <f t="shared" si="4"/>
        <v>-1</v>
      </c>
      <c r="AS38" s="26">
        <f t="shared" ref="AS38:BB39" si="5">AS42/AO42-1</f>
        <v>-1</v>
      </c>
      <c r="AT38" s="26" t="e">
        <f t="shared" si="5"/>
        <v>#DIV/0!</v>
      </c>
      <c r="AU38" s="26" t="e">
        <f t="shared" si="5"/>
        <v>#DIV/0!</v>
      </c>
      <c r="AV38" s="26" t="e">
        <f t="shared" si="5"/>
        <v>#DIV/0!</v>
      </c>
      <c r="AW38" s="26" t="e">
        <f t="shared" si="5"/>
        <v>#DIV/0!</v>
      </c>
      <c r="AX38" s="26" t="e">
        <f t="shared" si="5"/>
        <v>#DIV/0!</v>
      </c>
      <c r="AY38" s="26" t="e">
        <f t="shared" si="5"/>
        <v>#DIV/0!</v>
      </c>
      <c r="AZ38" s="26" t="e">
        <f t="shared" si="5"/>
        <v>#DIV/0!</v>
      </c>
      <c r="BA38" s="26" t="e">
        <f t="shared" si="5"/>
        <v>#DIV/0!</v>
      </c>
      <c r="BB38" s="26" t="e">
        <f t="shared" si="5"/>
        <v>#DIV/0!</v>
      </c>
      <c r="BC38" s="26" t="e">
        <f t="shared" ref="BC38:BD39" si="6">BC42/AY42-1</f>
        <v>#DIV/0!</v>
      </c>
      <c r="BD38" s="26" t="e">
        <f t="shared" si="6"/>
        <v>#DIV/0!</v>
      </c>
      <c r="BE38" s="26" t="e">
        <f t="shared" ref="BE38:BG39" si="7">BE42/BA42-1</f>
        <v>#DIV/0!</v>
      </c>
      <c r="BF38" s="26" t="e">
        <f t="shared" si="7"/>
        <v>#DIV/0!</v>
      </c>
      <c r="BG38" s="26" t="e">
        <f t="shared" si="7"/>
        <v>#DIV/0!</v>
      </c>
      <c r="BH38" t="str">
        <f>X38</f>
        <v>Revenue growth y-o-y</v>
      </c>
    </row>
    <row r="39" spans="1:62" ht="14.4">
      <c r="A39" s="34" t="str">
        <f>CSPs!B44</f>
        <v>Vodafone</v>
      </c>
      <c r="D39" s="7"/>
      <c r="F39" s="2"/>
      <c r="G39" s="2" t="s">
        <v>509</v>
      </c>
      <c r="H39" s="11">
        <f>(AH34/X34)^(1/10)-1</f>
        <v>-1</v>
      </c>
      <c r="I39" s="2"/>
      <c r="J39" s="2"/>
      <c r="K39" s="2"/>
      <c r="L39" s="2"/>
      <c r="M39" s="2" t="s">
        <v>509</v>
      </c>
      <c r="N39" s="11">
        <f>(AH35/X35)^(1/10)-1</f>
        <v>-1</v>
      </c>
      <c r="P39" s="2"/>
      <c r="Q39" s="2"/>
      <c r="R39" s="2"/>
      <c r="S39" s="2"/>
      <c r="T39" s="2"/>
      <c r="U39" s="2"/>
      <c r="V39" s="2"/>
      <c r="W39" s="2"/>
      <c r="X39" s="2" t="s">
        <v>560</v>
      </c>
      <c r="Y39" s="26">
        <f t="shared" si="3"/>
        <v>-0.12033516676227562</v>
      </c>
      <c r="Z39" s="26">
        <f t="shared" si="3"/>
        <v>-0.12359542930168566</v>
      </c>
      <c r="AA39" s="26">
        <f t="shared" si="3"/>
        <v>0.15246042320500131</v>
      </c>
      <c r="AB39" s="26">
        <f t="shared" si="3"/>
        <v>0.12907665023773518</v>
      </c>
      <c r="AC39" s="26">
        <f t="shared" si="3"/>
        <v>5.2744963972386927E-2</v>
      </c>
      <c r="AD39" s="26">
        <f t="shared" si="3"/>
        <v>-1.2103578964339889E-2</v>
      </c>
      <c r="AE39" s="26">
        <f t="shared" si="3"/>
        <v>-0.13577773311269659</v>
      </c>
      <c r="AF39" s="26">
        <f t="shared" si="3"/>
        <v>-0.10016515325697428</v>
      </c>
      <c r="AG39" s="26">
        <f t="shared" si="3"/>
        <v>-1.9657665802111146E-2</v>
      </c>
      <c r="AH39" s="26">
        <f t="shared" si="3"/>
        <v>3.227700431426106E-2</v>
      </c>
      <c r="AI39" s="26">
        <f t="shared" si="4"/>
        <v>-2.6116325221698156E-2</v>
      </c>
      <c r="AJ39" s="26">
        <f t="shared" si="4"/>
        <v>-8.1956789590797885E-2</v>
      </c>
      <c r="AK39" s="26">
        <f t="shared" si="4"/>
        <v>5.6584802142641166E-2</v>
      </c>
      <c r="AL39" s="26">
        <f t="shared" si="4"/>
        <v>-4.4435313932625897E-3</v>
      </c>
      <c r="AM39" s="26">
        <f t="shared" si="4"/>
        <v>-3.0504931515926925E-2</v>
      </c>
      <c r="AN39" s="26">
        <f t="shared" si="4"/>
        <v>-8.3428973516589622E-2</v>
      </c>
      <c r="AO39" s="26">
        <f t="shared" si="4"/>
        <v>2.7824470752758401E-2</v>
      </c>
      <c r="AP39" s="26">
        <f t="shared" si="4"/>
        <v>-1</v>
      </c>
      <c r="AQ39" s="26">
        <f t="shared" si="4"/>
        <v>-1</v>
      </c>
      <c r="AR39" s="26">
        <f t="shared" si="4"/>
        <v>-1</v>
      </c>
      <c r="AS39" s="26">
        <f t="shared" si="5"/>
        <v>-1</v>
      </c>
      <c r="AT39" s="26" t="e">
        <f t="shared" si="5"/>
        <v>#DIV/0!</v>
      </c>
      <c r="AU39" s="26" t="e">
        <f t="shared" si="5"/>
        <v>#DIV/0!</v>
      </c>
      <c r="AV39" s="26" t="e">
        <f t="shared" si="5"/>
        <v>#DIV/0!</v>
      </c>
      <c r="AW39" s="26" t="e">
        <f t="shared" si="5"/>
        <v>#DIV/0!</v>
      </c>
      <c r="AX39" s="26" t="e">
        <f t="shared" si="5"/>
        <v>#DIV/0!</v>
      </c>
      <c r="AY39" s="26" t="e">
        <f t="shared" si="5"/>
        <v>#DIV/0!</v>
      </c>
      <c r="AZ39" s="26" t="e">
        <f t="shared" si="5"/>
        <v>#DIV/0!</v>
      </c>
      <c r="BA39" s="26" t="e">
        <f t="shared" si="5"/>
        <v>#DIV/0!</v>
      </c>
      <c r="BB39" s="26" t="e">
        <f t="shared" si="5"/>
        <v>#DIV/0!</v>
      </c>
      <c r="BC39" s="26" t="e">
        <f t="shared" si="6"/>
        <v>#DIV/0!</v>
      </c>
      <c r="BD39" s="26" t="e">
        <f>BD43/AZ43-1</f>
        <v>#DIV/0!</v>
      </c>
      <c r="BE39" s="26" t="e">
        <f t="shared" si="7"/>
        <v>#DIV/0!</v>
      </c>
      <c r="BF39" s="26" t="e">
        <f t="shared" si="7"/>
        <v>#DIV/0!</v>
      </c>
      <c r="BG39" s="26" t="e">
        <f t="shared" si="7"/>
        <v>#DIV/0!</v>
      </c>
      <c r="BH39" t="str">
        <f>X39</f>
        <v>Capex growth y-o-y</v>
      </c>
    </row>
    <row r="40" spans="1:62" ht="14.4">
      <c r="B40" s="34"/>
      <c r="H40" s="2"/>
      <c r="I40" s="2"/>
      <c r="J40" s="2"/>
      <c r="K40" s="2"/>
      <c r="O40" s="2"/>
      <c r="P40" s="2"/>
      <c r="Q40" s="2"/>
      <c r="R40" s="2"/>
      <c r="S40" s="2"/>
      <c r="T40" s="2"/>
      <c r="U40" s="2"/>
      <c r="V40" s="2"/>
      <c r="W40" s="2"/>
      <c r="X40" s="2"/>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row>
    <row r="41" spans="1:62">
      <c r="D41" s="2"/>
      <c r="E41" s="10" t="s">
        <v>86</v>
      </c>
      <c r="F41" s="10" t="s">
        <v>87</v>
      </c>
      <c r="G41" s="10" t="s">
        <v>88</v>
      </c>
      <c r="H41" s="10" t="s">
        <v>89</v>
      </c>
      <c r="I41" s="10" t="s">
        <v>90</v>
      </c>
      <c r="J41" s="10" t="s">
        <v>91</v>
      </c>
      <c r="K41" s="10" t="s">
        <v>92</v>
      </c>
      <c r="L41" s="10" t="s">
        <v>93</v>
      </c>
      <c r="M41" s="10" t="s">
        <v>72</v>
      </c>
      <c r="N41" s="10" t="s">
        <v>73</v>
      </c>
      <c r="O41" s="10" t="s">
        <v>74</v>
      </c>
      <c r="P41" s="10" t="s">
        <v>75</v>
      </c>
      <c r="Q41" s="10" t="s">
        <v>76</v>
      </c>
      <c r="R41" s="10" t="s">
        <v>77</v>
      </c>
      <c r="S41" s="10" t="s">
        <v>78</v>
      </c>
      <c r="T41" s="10" t="s">
        <v>79</v>
      </c>
      <c r="U41" s="10" t="s">
        <v>80</v>
      </c>
      <c r="V41" s="10" t="s">
        <v>81</v>
      </c>
      <c r="W41" s="10" t="s">
        <v>82</v>
      </c>
      <c r="X41" s="10" t="s">
        <v>83</v>
      </c>
      <c r="Y41" s="10" t="s">
        <v>84</v>
      </c>
      <c r="Z41" s="10" t="s">
        <v>85</v>
      </c>
      <c r="AA41" s="10" t="s">
        <v>94</v>
      </c>
      <c r="AB41" s="10" t="s">
        <v>95</v>
      </c>
      <c r="AC41" s="10" t="s">
        <v>96</v>
      </c>
      <c r="AD41" s="10" t="s">
        <v>97</v>
      </c>
      <c r="AE41" s="10" t="s">
        <v>98</v>
      </c>
      <c r="AF41" s="10" t="s">
        <v>99</v>
      </c>
      <c r="AG41" s="10" t="s">
        <v>100</v>
      </c>
      <c r="AH41" s="10" t="s">
        <v>101</v>
      </c>
      <c r="AI41" s="10" t="s">
        <v>102</v>
      </c>
      <c r="AJ41" s="10" t="s">
        <v>103</v>
      </c>
      <c r="AK41" s="10" t="s">
        <v>104</v>
      </c>
      <c r="AL41" s="10" t="s">
        <v>105</v>
      </c>
      <c r="AM41" s="10" t="s">
        <v>106</v>
      </c>
      <c r="AN41" s="10" t="s">
        <v>107</v>
      </c>
      <c r="AO41" s="10" t="s">
        <v>108</v>
      </c>
      <c r="AP41" s="10" t="s">
        <v>109</v>
      </c>
      <c r="AQ41" s="10" t="s">
        <v>110</v>
      </c>
      <c r="AR41" s="10" t="s">
        <v>111</v>
      </c>
      <c r="AS41" s="10" t="s">
        <v>112</v>
      </c>
      <c r="AT41" s="10" t="s">
        <v>113</v>
      </c>
      <c r="AU41" s="10" t="s">
        <v>114</v>
      </c>
      <c r="AV41" s="10" t="s">
        <v>115</v>
      </c>
      <c r="AW41" s="10" t="s">
        <v>463</v>
      </c>
      <c r="AX41" s="10" t="s">
        <v>464</v>
      </c>
      <c r="AY41" s="10" t="s">
        <v>465</v>
      </c>
      <c r="AZ41" s="10" t="s">
        <v>466</v>
      </c>
      <c r="BA41" s="10" t="s">
        <v>467</v>
      </c>
      <c r="BB41" s="10" t="s">
        <v>468</v>
      </c>
      <c r="BC41" s="10" t="s">
        <v>469</v>
      </c>
      <c r="BD41" s="10" t="s">
        <v>470</v>
      </c>
      <c r="BE41" s="10" t="s">
        <v>568</v>
      </c>
      <c r="BF41" s="10" t="s">
        <v>594</v>
      </c>
      <c r="BG41" s="10" t="s">
        <v>595</v>
      </c>
      <c r="BH41" s="223" t="e">
        <f>BG42/BC42-1</f>
        <v>#DIV/0!</v>
      </c>
      <c r="BI41" s="1379" t="s">
        <v>520</v>
      </c>
    </row>
    <row r="42" spans="1:62">
      <c r="D42" s="2" t="s">
        <v>9</v>
      </c>
      <c r="E42" s="37">
        <v>228.60809635797696</v>
      </c>
      <c r="F42" s="37">
        <v>230.33528564203172</v>
      </c>
      <c r="G42" s="37">
        <v>241.33341306125129</v>
      </c>
      <c r="H42" s="37">
        <v>249.83962974218716</v>
      </c>
      <c r="I42" s="37">
        <v>248.54039385533795</v>
      </c>
      <c r="J42" s="37">
        <v>257.11682506777794</v>
      </c>
      <c r="K42" s="37">
        <v>253.30655447806231</v>
      </c>
      <c r="L42" s="37">
        <v>261.21708401280051</v>
      </c>
      <c r="M42" s="37">
        <v>255.98924592429833</v>
      </c>
      <c r="N42" s="37">
        <v>251.41857207868992</v>
      </c>
      <c r="O42" s="37">
        <v>256.0751665743224</v>
      </c>
      <c r="P42" s="37">
        <v>263.07760612865525</v>
      </c>
      <c r="Q42" s="37">
        <v>247.60170493693698</v>
      </c>
      <c r="R42" s="37">
        <v>253.19389128007066</v>
      </c>
      <c r="S42" s="37">
        <v>269.04524889610042</v>
      </c>
      <c r="T42" s="37">
        <v>269.58382949177047</v>
      </c>
      <c r="U42" s="37">
        <v>268.53915563856322</v>
      </c>
      <c r="V42" s="37">
        <v>266.35868403109487</v>
      </c>
      <c r="W42" s="37">
        <v>259.26233852863658</v>
      </c>
      <c r="X42" s="37">
        <v>260.2147697102468</v>
      </c>
      <c r="Y42" s="37">
        <v>251.75935533771485</v>
      </c>
      <c r="Z42" s="37">
        <v>250.25753078128531</v>
      </c>
      <c r="AA42" s="37">
        <v>258.13159026026875</v>
      </c>
      <c r="AB42" s="37">
        <v>261.06427574986594</v>
      </c>
      <c r="AC42" s="375">
        <f>(CSPs!C23)/1000</f>
        <v>266.13446598778597</v>
      </c>
      <c r="AD42" s="375">
        <f>(CSPs!D23)/1000</f>
        <v>267.42236291425485</v>
      </c>
      <c r="AE42" s="375">
        <f>(CSPs!E23)/1000</f>
        <v>268.03736104130104</v>
      </c>
      <c r="AF42" s="375">
        <f>(CSPs!F23)/1000</f>
        <v>272.60502706930936</v>
      </c>
      <c r="AG42" s="375">
        <f>(CSPs!G23)/1000</f>
        <v>258.57524159976583</v>
      </c>
      <c r="AH42" s="375">
        <f>(CSPs!H23)/1000</f>
        <v>264.6196843036526</v>
      </c>
      <c r="AI42" s="375">
        <f>(CSPs!I23)/1000</f>
        <v>267.78465743659547</v>
      </c>
      <c r="AJ42" s="375">
        <f>(CSPs!J23)/1000</f>
        <v>277.47923938465806</v>
      </c>
      <c r="AK42" s="375">
        <f>(CSPs!K23)/1000</f>
        <v>279.2968013971568</v>
      </c>
      <c r="AL42" s="375">
        <f>(CSPs!L23)/1000</f>
        <v>274.53721138773528</v>
      </c>
      <c r="AM42" s="375">
        <f>(CSPs!M23)/1000</f>
        <v>277.11820147654913</v>
      </c>
      <c r="AN42" s="375">
        <f>(CSPs!N23)/1000</f>
        <v>281.45343653197421</v>
      </c>
      <c r="AO42" s="375">
        <f>(CSPs!O23)/1000</f>
        <v>278.37398347482076</v>
      </c>
      <c r="AP42" s="375">
        <f>(CSPs!P23)/1000</f>
        <v>0</v>
      </c>
      <c r="AQ42" s="375">
        <f>(CSPs!Q23)/1000</f>
        <v>0</v>
      </c>
      <c r="AR42" s="375">
        <f>(CSPs!R23)/1000</f>
        <v>0</v>
      </c>
      <c r="AS42" s="375">
        <f>(CSPs!S23)/1000</f>
        <v>0</v>
      </c>
      <c r="AT42" s="375">
        <f>(CSPs!T23)/1000</f>
        <v>0</v>
      </c>
      <c r="AU42" s="375">
        <f>(CSPs!U23)/1000</f>
        <v>0</v>
      </c>
      <c r="AV42" s="375">
        <f>(CSPs!V23)/1000</f>
        <v>0</v>
      </c>
      <c r="AW42" s="375">
        <f>(CSPs!W23)/1000</f>
        <v>0</v>
      </c>
      <c r="AX42" s="375">
        <f>(CSPs!X23)/1000</f>
        <v>0</v>
      </c>
      <c r="AY42" s="375">
        <f>(CSPs!Y23)/1000</f>
        <v>0</v>
      </c>
      <c r="AZ42" s="375">
        <f>(CSPs!Z23)/1000</f>
        <v>0</v>
      </c>
      <c r="BA42" s="375">
        <f>(CSPs!AA23)/1000</f>
        <v>0</v>
      </c>
      <c r="BB42" s="375">
        <f>(CSPs!AB23)/1000</f>
        <v>0</v>
      </c>
      <c r="BC42" s="375">
        <f>(CSPs!AC23)/1000</f>
        <v>0</v>
      </c>
      <c r="BD42" s="375">
        <f>(CSPs!AD23)/1000</f>
        <v>0</v>
      </c>
      <c r="BE42" s="375">
        <f>(CSPs!AE23)/1000</f>
        <v>0</v>
      </c>
      <c r="BF42" s="375">
        <f>(CSPs!AF23)/1000</f>
        <v>0</v>
      </c>
      <c r="BG42" s="375">
        <f>(CSPs!AG23)/1000</f>
        <v>0</v>
      </c>
      <c r="BH42" s="223" t="e">
        <f>BG42/BF42-1</f>
        <v>#DIV/0!</v>
      </c>
      <c r="BI42" s="1379" t="s">
        <v>521</v>
      </c>
      <c r="BJ42" t="s">
        <v>332</v>
      </c>
    </row>
    <row r="43" spans="1:62">
      <c r="D43" s="2" t="s">
        <v>42</v>
      </c>
      <c r="E43" s="37">
        <v>34.728936726271193</v>
      </c>
      <c r="F43" s="37">
        <v>35.195084173639771</v>
      </c>
      <c r="G43" s="37">
        <v>41.757859752434477</v>
      </c>
      <c r="H43" s="37">
        <v>49.006491708239125</v>
      </c>
      <c r="I43" s="37">
        <v>40.802992378535876</v>
      </c>
      <c r="J43" s="37">
        <v>38.67971954480619</v>
      </c>
      <c r="K43" s="37">
        <v>43.444508998498812</v>
      </c>
      <c r="L43" s="37">
        <v>49.12001303469232</v>
      </c>
      <c r="M43" s="37">
        <v>41.66857376166098</v>
      </c>
      <c r="N43" s="37">
        <v>37.988977656145394</v>
      </c>
      <c r="O43" s="37">
        <v>43.261286405944581</v>
      </c>
      <c r="P43" s="37">
        <v>50.621175744022473</v>
      </c>
      <c r="Q43" s="37">
        <v>43.12644455701529</v>
      </c>
      <c r="R43" s="37">
        <v>39.678424341122017</v>
      </c>
      <c r="S43" s="37">
        <v>50.204742797414575</v>
      </c>
      <c r="T43" s="37">
        <v>54.897758678697755</v>
      </c>
      <c r="U43" s="37">
        <v>44.860238134878571</v>
      </c>
      <c r="V43" s="37">
        <v>44.620437368778894</v>
      </c>
      <c r="W43" s="37">
        <v>46.385666194833959</v>
      </c>
      <c r="X43" s="37">
        <v>51.84744236692574</v>
      </c>
      <c r="Y43" s="37">
        <v>39.461973897922562</v>
      </c>
      <c r="Z43" s="246">
        <v>39.105555256555689</v>
      </c>
      <c r="AA43" s="37">
        <v>53.457644493544272</v>
      </c>
      <c r="AB43" s="37">
        <v>58.539736551042552</v>
      </c>
      <c r="AC43" s="375">
        <f>CSPs!C45/1000</f>
        <v>41.543394289447761</v>
      </c>
      <c r="AD43" s="377">
        <f>CSPs!D45/1000</f>
        <v>38.63223808056361</v>
      </c>
      <c r="AE43" s="377">
        <f>CSPs!E45/1000</f>
        <v>46.199286706666406</v>
      </c>
      <c r="AF43" s="377">
        <f>CSPs!F45/1000</f>
        <v>52.676094867784478</v>
      </c>
      <c r="AG43" s="377">
        <f>CSPs!G45/1000</f>
        <v>40.726748128220464</v>
      </c>
      <c r="AH43" s="377">
        <f>CSPs!H45/1000</f>
        <v>39.879170995759523</v>
      </c>
      <c r="AI43" s="377">
        <f>CSPs!I45/1000</f>
        <v>44.992731110024629</v>
      </c>
      <c r="AJ43" s="377">
        <f>CSPs!J45/1000</f>
        <v>48.358931244240559</v>
      </c>
      <c r="AK43" s="377">
        <f>CSPs!K45/1000</f>
        <v>43.031263112969</v>
      </c>
      <c r="AL43" s="377">
        <f>CSPs!L45/1000</f>
        <v>39.70196664750258</v>
      </c>
      <c r="AM43" s="377">
        <f>CSPs!M45/1000</f>
        <v>43.620230928798811</v>
      </c>
      <c r="AN43" s="377">
        <f>CSPs!N45/1000</f>
        <v>44.324395250174234</v>
      </c>
      <c r="AO43" s="377">
        <f>CSPs!O45/1000</f>
        <v>44.228585234910057</v>
      </c>
      <c r="AP43" s="377">
        <f>CSPs!P45/1000</f>
        <v>0</v>
      </c>
      <c r="AQ43" s="377">
        <f>CSPs!Q45/1000</f>
        <v>0</v>
      </c>
      <c r="AR43" s="377">
        <f>CSPs!R45/1000</f>
        <v>0</v>
      </c>
      <c r="AS43" s="377">
        <f>CSPs!S45/1000</f>
        <v>0</v>
      </c>
      <c r="AT43" s="377">
        <f>CSPs!T45/1000</f>
        <v>0</v>
      </c>
      <c r="AU43" s="377">
        <f>CSPs!U45/1000</f>
        <v>0</v>
      </c>
      <c r="AV43" s="377">
        <f>CSPs!V45/1000</f>
        <v>0</v>
      </c>
      <c r="AW43" s="377">
        <f>CSPs!W45/1000</f>
        <v>0</v>
      </c>
      <c r="AX43" s="377">
        <f>CSPs!X45/1000</f>
        <v>0</v>
      </c>
      <c r="AY43" s="377">
        <f>CSPs!Y45/1000</f>
        <v>0</v>
      </c>
      <c r="AZ43" s="377">
        <f>CSPs!Z45/1000</f>
        <v>0</v>
      </c>
      <c r="BA43" s="377">
        <f>CSPs!AA45/1000</f>
        <v>0</v>
      </c>
      <c r="BB43" s="377">
        <f>CSPs!AB45/1000</f>
        <v>0</v>
      </c>
      <c r="BC43" s="377">
        <f>CSPs!AC45/1000</f>
        <v>0</v>
      </c>
      <c r="BD43" s="377">
        <f>CSPs!AD45/1000</f>
        <v>0</v>
      </c>
      <c r="BE43" s="377">
        <f>CSPs!AE45/1000</f>
        <v>0</v>
      </c>
      <c r="BF43" s="377">
        <f>CSPs!AF45/1000</f>
        <v>0</v>
      </c>
      <c r="BG43" s="377">
        <f>CSPs!AG45/1000</f>
        <v>0</v>
      </c>
      <c r="BH43" s="223" t="e">
        <f>BG43/BC43-1</f>
        <v>#DIV/0!</v>
      </c>
      <c r="BI43" s="1379" t="s">
        <v>522</v>
      </c>
      <c r="BJ43" t="s">
        <v>332</v>
      </c>
    </row>
    <row r="44" spans="1:62">
      <c r="D44" s="2" t="s">
        <v>51</v>
      </c>
      <c r="E44" s="26">
        <f>E43/E42</f>
        <v>0.15191472777888504</v>
      </c>
      <c r="F44" s="26">
        <f t="shared" ref="F44:X44" si="8">F43/F42</f>
        <v>0.15279935974871472</v>
      </c>
      <c r="G44" s="26">
        <f t="shared" si="8"/>
        <v>0.17302974844115837</v>
      </c>
      <c r="H44" s="26">
        <f t="shared" si="8"/>
        <v>0.1961517944883667</v>
      </c>
      <c r="I44" s="26">
        <f t="shared" si="8"/>
        <v>0.16417046640026295</v>
      </c>
      <c r="J44" s="26">
        <f t="shared" si="8"/>
        <v>0.15043636111565209</v>
      </c>
      <c r="K44" s="26">
        <f t="shared" si="8"/>
        <v>0.17150961248522029</v>
      </c>
      <c r="L44" s="26">
        <f t="shared" si="8"/>
        <v>0.18804288096365579</v>
      </c>
      <c r="M44" s="26">
        <f t="shared" si="8"/>
        <v>0.1627747041138724</v>
      </c>
      <c r="N44" s="26">
        <f t="shared" si="8"/>
        <v>0.15109853397884809</v>
      </c>
      <c r="O44" s="26">
        <f t="shared" si="8"/>
        <v>0.1689397960164504</v>
      </c>
      <c r="P44" s="26">
        <f t="shared" si="8"/>
        <v>0.19241917428451411</v>
      </c>
      <c r="Q44" s="26">
        <f t="shared" si="8"/>
        <v>0.17417668657814533</v>
      </c>
      <c r="R44" s="26">
        <f t="shared" si="8"/>
        <v>0.15671161788509222</v>
      </c>
      <c r="S44" s="26">
        <f t="shared" si="8"/>
        <v>0.18660334275890739</v>
      </c>
      <c r="T44" s="26">
        <f t="shared" si="8"/>
        <v>0.20363891551727367</v>
      </c>
      <c r="U44" s="26">
        <f t="shared" si="8"/>
        <v>0.16705287550415041</v>
      </c>
      <c r="V44" s="26">
        <f t="shared" si="8"/>
        <v>0.16752011495735533</v>
      </c>
      <c r="W44" s="26">
        <f t="shared" si="8"/>
        <v>0.17891401604290658</v>
      </c>
      <c r="X44" s="26">
        <f t="shared" si="8"/>
        <v>0.19924865304401698</v>
      </c>
      <c r="Y44" s="26">
        <f t="shared" ref="Y44:AD44" si="9">Y43/Y42</f>
        <v>0.15674481627500003</v>
      </c>
      <c r="Z44" s="26">
        <f t="shared" si="9"/>
        <v>0.15626125269625679</v>
      </c>
      <c r="AA44" s="26">
        <f t="shared" si="9"/>
        <v>0.20709454600130126</v>
      </c>
      <c r="AB44" s="26">
        <f t="shared" si="9"/>
        <v>0.22423495663240936</v>
      </c>
      <c r="AC44" s="26">
        <f t="shared" si="9"/>
        <v>0.15609926408913291</v>
      </c>
      <c r="AD44" s="26">
        <f t="shared" si="9"/>
        <v>0.14446150897616025</v>
      </c>
      <c r="AE44" s="26">
        <f t="shared" ref="AE44:AJ44" si="10">AE43/AE42</f>
        <v>0.17236136980003958</v>
      </c>
      <c r="AF44" s="26">
        <f t="shared" si="10"/>
        <v>0.19323229448146484</v>
      </c>
      <c r="AG44" s="26">
        <f t="shared" si="10"/>
        <v>0.15750443807477563</v>
      </c>
      <c r="AH44" s="26">
        <f t="shared" si="10"/>
        <v>0.15070372070279528</v>
      </c>
      <c r="AI44" s="26">
        <f t="shared" si="10"/>
        <v>0.1680183306270179</v>
      </c>
      <c r="AJ44" s="26">
        <f t="shared" si="10"/>
        <v>0.17427945727212607</v>
      </c>
      <c r="AK44" s="26">
        <f t="shared" ref="AK44:AP44" si="11">AK43/AK42</f>
        <v>0.1540700176217881</v>
      </c>
      <c r="AL44" s="26">
        <f t="shared" si="11"/>
        <v>0.14461415429557406</v>
      </c>
      <c r="AM44" s="26">
        <f t="shared" si="11"/>
        <v>0.15740658930514217</v>
      </c>
      <c r="AN44" s="26">
        <f t="shared" si="11"/>
        <v>0.15748393693938362</v>
      </c>
      <c r="AO44" s="26">
        <f t="shared" si="11"/>
        <v>0.15888189220423532</v>
      </c>
      <c r="AP44" s="26" t="e">
        <f t="shared" si="11"/>
        <v>#DIV/0!</v>
      </c>
      <c r="AQ44" s="26" t="e">
        <f t="shared" ref="AQ44:BC44" si="12">AQ43/AQ42</f>
        <v>#DIV/0!</v>
      </c>
      <c r="AR44" s="26" t="e">
        <f t="shared" si="12"/>
        <v>#DIV/0!</v>
      </c>
      <c r="AS44" s="26" t="e">
        <f t="shared" si="12"/>
        <v>#DIV/0!</v>
      </c>
      <c r="AT44" s="26" t="e">
        <f t="shared" si="12"/>
        <v>#DIV/0!</v>
      </c>
      <c r="AU44" s="26" t="e">
        <f t="shared" si="12"/>
        <v>#DIV/0!</v>
      </c>
      <c r="AV44" s="26" t="e">
        <f t="shared" si="12"/>
        <v>#DIV/0!</v>
      </c>
      <c r="AW44" s="26" t="e">
        <f t="shared" si="12"/>
        <v>#DIV/0!</v>
      </c>
      <c r="AX44" s="26" t="e">
        <f t="shared" si="12"/>
        <v>#DIV/0!</v>
      </c>
      <c r="AY44" s="26" t="e">
        <f t="shared" si="12"/>
        <v>#DIV/0!</v>
      </c>
      <c r="AZ44" s="26" t="e">
        <f t="shared" si="12"/>
        <v>#DIV/0!</v>
      </c>
      <c r="BA44" s="26" t="e">
        <f t="shared" si="12"/>
        <v>#DIV/0!</v>
      </c>
      <c r="BB44" s="26" t="e">
        <f t="shared" si="12"/>
        <v>#DIV/0!</v>
      </c>
      <c r="BC44" s="26" t="e">
        <f t="shared" si="12"/>
        <v>#DIV/0!</v>
      </c>
      <c r="BD44" s="26" t="e">
        <f>BD43/BD42</f>
        <v>#DIV/0!</v>
      </c>
      <c r="BE44" s="26" t="e">
        <f>BE43/BE42</f>
        <v>#DIV/0!</v>
      </c>
      <c r="BF44" s="26" t="e">
        <f>BF43/BF42</f>
        <v>#DIV/0!</v>
      </c>
      <c r="BG44" s="26" t="e">
        <f>BG43/BG42</f>
        <v>#DIV/0!</v>
      </c>
      <c r="BH44" s="223" t="e">
        <f>BG43/BF43-1</f>
        <v>#DIV/0!</v>
      </c>
      <c r="BI44" s="1379" t="s">
        <v>523</v>
      </c>
      <c r="BJ44" t="s">
        <v>332</v>
      </c>
    </row>
    <row r="45" spans="1:62">
      <c r="D45" s="2"/>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1:62">
      <c r="D46" s="2" t="s">
        <v>328</v>
      </c>
      <c r="E46" s="4">
        <v>28.613752452552827</v>
      </c>
      <c r="F46" s="4">
        <v>33.771588173343382</v>
      </c>
      <c r="G46" s="4">
        <v>32.505701671433243</v>
      </c>
      <c r="H46" s="4">
        <v>36.438378354209007</v>
      </c>
      <c r="I46" s="4">
        <v>33.378287359641632</v>
      </c>
      <c r="J46" s="4">
        <v>39.899819791433899</v>
      </c>
      <c r="K46" s="4">
        <v>38.200797933779974</v>
      </c>
      <c r="L46" s="4">
        <v>42.611491362173652</v>
      </c>
      <c r="M46" s="4">
        <v>40.655826943455487</v>
      </c>
      <c r="N46" s="4">
        <v>43.768589723093626</v>
      </c>
      <c r="O46" s="4">
        <v>42.736441742938794</v>
      </c>
      <c r="P46" s="4">
        <v>47.167611705579588</v>
      </c>
      <c r="Q46" s="4">
        <v>45.5259102930968</v>
      </c>
      <c r="R46" s="4">
        <v>52.382574308892359</v>
      </c>
      <c r="S46" s="4">
        <v>51.682499013116093</v>
      </c>
      <c r="T46" s="4">
        <v>53.578597909686742</v>
      </c>
      <c r="U46" s="4">
        <v>51.080057158171478</v>
      </c>
      <c r="V46" s="4">
        <v>52.398438730797629</v>
      </c>
      <c r="W46" s="4">
        <v>48.765900120212841</v>
      </c>
      <c r="X46" s="4">
        <v>50.108975239457543</v>
      </c>
      <c r="Y46" s="4">
        <v>50.772129570237333</v>
      </c>
      <c r="Z46" s="4">
        <v>53.797594867330815</v>
      </c>
      <c r="AA46" s="4">
        <v>51.260791711965211</v>
      </c>
      <c r="AB46" s="4">
        <v>47.827386541471043</v>
      </c>
      <c r="AC46" s="378">
        <f>CSPs!C59/1000</f>
        <v>54.065705275404923</v>
      </c>
      <c r="AD46" s="378">
        <f>CSPs!D59/1000</f>
        <v>54.065705275404923</v>
      </c>
      <c r="AE46" s="378">
        <f>CSPs!E59/1000</f>
        <v>48.952731092436984</v>
      </c>
      <c r="AF46" s="378">
        <f>CSPs!F59/1000</f>
        <v>53.479680322268798</v>
      </c>
      <c r="AG46" s="378">
        <f>CSPs!G59/1000</f>
        <v>50.026579520697169</v>
      </c>
      <c r="AH46" s="378">
        <f>CSPs!H59/1000</f>
        <v>53.476631425446591</v>
      </c>
      <c r="AI46" s="378">
        <f>CSPs!I59/1000</f>
        <v>50.807629444136211</v>
      </c>
      <c r="AJ46" s="378">
        <f>CSPs!J59/1000</f>
        <v>49.982684252635018</v>
      </c>
      <c r="AK46" s="378">
        <f>CSPs!K59/1000</f>
        <v>56.17141778365113</v>
      </c>
      <c r="AL46" s="378">
        <f>CSPs!L59/1000</f>
        <v>56.668495641813507</v>
      </c>
      <c r="AM46" s="378">
        <f>CSPs!M59/1000</f>
        <v>52.019581324238509</v>
      </c>
      <c r="AN46" s="378">
        <f>CSPs!N59/1000</f>
        <v>48.076850767206103</v>
      </c>
      <c r="AO46" s="378">
        <f>CSPs!O59/1000</f>
        <v>52.519679203047865</v>
      </c>
      <c r="AP46" s="378">
        <f>CSPs!P59/1000</f>
        <v>0</v>
      </c>
      <c r="AQ46" s="378">
        <f>CSPs!Q59/1000</f>
        <v>0</v>
      </c>
      <c r="AR46" s="378">
        <f>CSPs!R59/1000</f>
        <v>0</v>
      </c>
      <c r="AS46" s="378">
        <f>CSPs!S59/1000</f>
        <v>0</v>
      </c>
      <c r="AT46" s="378">
        <f>CSPs!T59/1000</f>
        <v>0</v>
      </c>
      <c r="AU46" s="378">
        <f>CSPs!U59/1000</f>
        <v>0</v>
      </c>
      <c r="AV46" s="378">
        <f>CSPs!V59/1000</f>
        <v>0</v>
      </c>
      <c r="AW46" s="378">
        <f>CSPs!W59/1000</f>
        <v>0</v>
      </c>
      <c r="AX46" s="378">
        <f>CSPs!X59/1000</f>
        <v>0</v>
      </c>
      <c r="AY46" s="378">
        <f>CSPs!Y59/1000</f>
        <v>0</v>
      </c>
      <c r="AZ46" s="378">
        <f>CSPs!Z59/1000</f>
        <v>0</v>
      </c>
      <c r="BA46" s="378">
        <f>CSPs!AA59/1000</f>
        <v>0</v>
      </c>
      <c r="BB46" s="378">
        <f>CSPs!AB59/1000</f>
        <v>0</v>
      </c>
      <c r="BC46" s="378">
        <f>CSPs!AC59/1000</f>
        <v>0</v>
      </c>
      <c r="BD46" s="378">
        <f>CSPs!AD59/1000</f>
        <v>0</v>
      </c>
      <c r="BE46" s="378">
        <f>CSPs!AE59/1000</f>
        <v>0</v>
      </c>
      <c r="BF46" s="378">
        <f>CSPs!AF59/1000</f>
        <v>0</v>
      </c>
      <c r="BG46" s="378">
        <f>CSPs!AG59/1000</f>
        <v>0</v>
      </c>
      <c r="BJ46" t="s">
        <v>321</v>
      </c>
    </row>
    <row r="47" spans="1:62">
      <c r="D47" s="2" t="s">
        <v>329</v>
      </c>
      <c r="E47" s="4">
        <v>7.2849954111438393</v>
      </c>
      <c r="F47" s="4">
        <v>7.2865358859845575</v>
      </c>
      <c r="G47" s="4">
        <v>10.751968204917004</v>
      </c>
      <c r="H47" s="4">
        <v>10.827837645833183</v>
      </c>
      <c r="I47" s="4">
        <v>8.0689960293810454</v>
      </c>
      <c r="J47" s="4">
        <v>8.2166286618638491</v>
      </c>
      <c r="K47" s="4">
        <v>11.88808214554928</v>
      </c>
      <c r="L47" s="4">
        <v>11.941993602055215</v>
      </c>
      <c r="M47" s="4">
        <v>8.822931578717041</v>
      </c>
      <c r="N47" s="4">
        <v>8.8402349301846019</v>
      </c>
      <c r="O47" s="4">
        <v>12.46939988799986</v>
      </c>
      <c r="P47" s="4">
        <v>12.598628715245054</v>
      </c>
      <c r="Q47" s="4">
        <v>10.581440245837769</v>
      </c>
      <c r="R47" s="4">
        <v>10.850246619295215</v>
      </c>
      <c r="S47" s="4">
        <v>16.988732362255366</v>
      </c>
      <c r="T47" s="4">
        <v>17.085589417988537</v>
      </c>
      <c r="U47" s="4">
        <v>13.730876665146953</v>
      </c>
      <c r="V47" s="4">
        <v>13.409018000325082</v>
      </c>
      <c r="W47" s="4">
        <v>16.624665261827015</v>
      </c>
      <c r="X47" s="4">
        <v>16.907806719096648</v>
      </c>
      <c r="Y47" s="4">
        <v>10.921664528543937</v>
      </c>
      <c r="Z47" s="4">
        <v>10.979059870393653</v>
      </c>
      <c r="AA47" s="4">
        <v>24.171756091321861</v>
      </c>
      <c r="AB47" s="4">
        <v>23.660328638497653</v>
      </c>
      <c r="AC47" s="378">
        <f>CSPs!C51/1000</f>
        <v>10.84383218151795</v>
      </c>
      <c r="AD47" s="378">
        <f>CSPs!D51/1000</f>
        <v>10.857444658767337</v>
      </c>
      <c r="AE47" s="378">
        <f>CSPs!E51/1000</f>
        <v>16.233043217286916</v>
      </c>
      <c r="AF47" s="378">
        <f>CSPs!F51/1000</f>
        <v>16.865778194165348</v>
      </c>
      <c r="AG47" s="378">
        <f>CSPs!G51/1000</f>
        <v>9.1791730223292944</v>
      </c>
      <c r="AH47" s="378">
        <f>CSPs!H51/1000</f>
        <v>9.8809332847247546</v>
      </c>
      <c r="AI47" s="378">
        <f>CSPs!I51/1000</f>
        <v>13.059350117710569</v>
      </c>
      <c r="AJ47" s="378">
        <f>CSPs!J51/1000</f>
        <v>13.07307110438729</v>
      </c>
      <c r="AK47" s="378">
        <f>CSPs!K51/1000</f>
        <v>9.0693146640322411</v>
      </c>
      <c r="AL47" s="378">
        <f>CSPs!L51/1000</f>
        <v>9.6920267134884313</v>
      </c>
      <c r="AM47" s="378">
        <f>CSPs!M51/1000</f>
        <v>12.308333223568152</v>
      </c>
      <c r="AN47" s="378">
        <f>CSPs!N51/1000</f>
        <v>11.805501323267821</v>
      </c>
      <c r="AO47" s="378">
        <f>CSPs!O51/1000</f>
        <v>10.672873089523694</v>
      </c>
      <c r="AP47" s="378">
        <f>CSPs!P51/1000</f>
        <v>0</v>
      </c>
      <c r="AQ47" s="378">
        <f>CSPs!Q51/1000</f>
        <v>0</v>
      </c>
      <c r="AR47" s="378">
        <f>CSPs!R51/1000</f>
        <v>0</v>
      </c>
      <c r="AS47" s="378">
        <f>CSPs!S51/1000</f>
        <v>0</v>
      </c>
      <c r="AT47" s="378">
        <f>CSPs!T51/1000</f>
        <v>0</v>
      </c>
      <c r="AU47" s="378">
        <f>CSPs!U51/1000</f>
        <v>0</v>
      </c>
      <c r="AV47" s="378">
        <f>CSPs!V51/1000</f>
        <v>0</v>
      </c>
      <c r="AW47" s="378">
        <f>CSPs!W51/1000</f>
        <v>0</v>
      </c>
      <c r="AX47" s="378">
        <f>CSPs!X51/1000</f>
        <v>0</v>
      </c>
      <c r="AY47" s="378">
        <f>CSPs!Y51/1000</f>
        <v>0</v>
      </c>
      <c r="AZ47" s="378">
        <f>CSPs!Z51/1000</f>
        <v>0</v>
      </c>
      <c r="BA47" s="378">
        <f>CSPs!AA51/1000</f>
        <v>0</v>
      </c>
      <c r="BB47" s="378">
        <f>CSPs!AB51/1000</f>
        <v>0</v>
      </c>
      <c r="BC47" s="378">
        <f>CSPs!AC51/1000</f>
        <v>0</v>
      </c>
      <c r="BD47" s="378">
        <f>CSPs!AD51/1000</f>
        <v>0</v>
      </c>
      <c r="BE47" s="378">
        <f>CSPs!AE51/1000</f>
        <v>0</v>
      </c>
      <c r="BF47" s="378">
        <f>CSPs!AF51/1000</f>
        <v>0</v>
      </c>
      <c r="BG47" s="378">
        <f>CSPs!AG51/1000</f>
        <v>0</v>
      </c>
      <c r="BJ47" t="s">
        <v>321</v>
      </c>
    </row>
    <row r="48" spans="1:62">
      <c r="D48" s="2"/>
      <c r="E48" s="4"/>
      <c r="F48" s="4"/>
      <c r="G48" s="4"/>
      <c r="H48" s="4"/>
      <c r="I48" s="4"/>
      <c r="J48" s="4"/>
      <c r="K48" s="4"/>
      <c r="L48" s="4"/>
      <c r="M48" s="4"/>
      <c r="N48" s="4"/>
      <c r="O48" s="4"/>
      <c r="P48" s="4"/>
      <c r="Q48" s="4"/>
      <c r="R48" s="4"/>
      <c r="S48" s="4"/>
      <c r="T48" s="4"/>
      <c r="U48" s="4"/>
      <c r="V48" s="4"/>
      <c r="W48" s="4"/>
      <c r="X48" s="4"/>
      <c r="Y48" s="4"/>
      <c r="Z48" s="4"/>
      <c r="AA48" s="4"/>
      <c r="AB48" s="4"/>
      <c r="AC48" s="378"/>
      <c r="AD48" s="378"/>
      <c r="AE48" s="378"/>
      <c r="AF48" s="378"/>
      <c r="AG48" s="378"/>
      <c r="AH48" s="378"/>
      <c r="AI48" s="378"/>
      <c r="AJ48" s="378"/>
      <c r="AK48" s="378"/>
      <c r="AL48" s="378"/>
      <c r="AM48" s="378"/>
    </row>
    <row r="49" spans="1:82">
      <c r="D49" s="2" t="s">
        <v>330</v>
      </c>
      <c r="E49" s="4">
        <f>E42-E46</f>
        <v>199.99434390542413</v>
      </c>
      <c r="F49" s="4">
        <f t="shared" ref="F49:AK49" si="13">F42-F46</f>
        <v>196.56369746868833</v>
      </c>
      <c r="G49" s="4">
        <f t="shared" si="13"/>
        <v>208.82771138981803</v>
      </c>
      <c r="H49" s="4">
        <f t="shared" si="13"/>
        <v>213.40125138797816</v>
      </c>
      <c r="I49" s="4">
        <f t="shared" si="13"/>
        <v>215.16210649569632</v>
      </c>
      <c r="J49" s="4">
        <f t="shared" si="13"/>
        <v>217.21700527634403</v>
      </c>
      <c r="K49" s="4">
        <f t="shared" si="13"/>
        <v>215.10575654428234</v>
      </c>
      <c r="L49" s="4">
        <f t="shared" si="13"/>
        <v>218.60559265062687</v>
      </c>
      <c r="M49" s="4">
        <f t="shared" si="13"/>
        <v>215.33341898084285</v>
      </c>
      <c r="N49" s="4">
        <f t="shared" si="13"/>
        <v>207.64998235559631</v>
      </c>
      <c r="O49" s="4">
        <f t="shared" si="13"/>
        <v>213.33872483138362</v>
      </c>
      <c r="P49" s="4">
        <f t="shared" si="13"/>
        <v>215.90999442307566</v>
      </c>
      <c r="Q49" s="4">
        <f t="shared" si="13"/>
        <v>202.0757946438402</v>
      </c>
      <c r="R49" s="4">
        <f t="shared" si="13"/>
        <v>200.81131697117831</v>
      </c>
      <c r="S49" s="4">
        <f t="shared" si="13"/>
        <v>217.36274988298433</v>
      </c>
      <c r="T49" s="4">
        <f t="shared" si="13"/>
        <v>216.00523158208372</v>
      </c>
      <c r="U49" s="4">
        <f t="shared" si="13"/>
        <v>217.45909848039173</v>
      </c>
      <c r="V49" s="4">
        <f t="shared" si="13"/>
        <v>213.96024530029723</v>
      </c>
      <c r="W49" s="4">
        <f t="shared" si="13"/>
        <v>210.49643840842373</v>
      </c>
      <c r="X49" s="4">
        <f t="shared" si="13"/>
        <v>210.10579447078925</v>
      </c>
      <c r="Y49" s="4">
        <f t="shared" si="13"/>
        <v>200.98722576747753</v>
      </c>
      <c r="Z49" s="4">
        <f t="shared" si="13"/>
        <v>196.4599359139545</v>
      </c>
      <c r="AA49" s="4">
        <f t="shared" si="13"/>
        <v>206.87079854830353</v>
      </c>
      <c r="AB49" s="4">
        <f t="shared" si="13"/>
        <v>213.2368892083949</v>
      </c>
      <c r="AC49" s="4">
        <f t="shared" si="13"/>
        <v>212.06876071238105</v>
      </c>
      <c r="AD49" s="4">
        <f t="shared" si="13"/>
        <v>213.35665763884992</v>
      </c>
      <c r="AE49" s="4">
        <f t="shared" si="13"/>
        <v>219.08462994886406</v>
      </c>
      <c r="AF49" s="4">
        <f t="shared" si="13"/>
        <v>219.12534674704057</v>
      </c>
      <c r="AG49" s="4">
        <f t="shared" si="13"/>
        <v>208.54866207906866</v>
      </c>
      <c r="AH49" s="4">
        <f t="shared" si="13"/>
        <v>211.14305287820602</v>
      </c>
      <c r="AI49" s="4">
        <f t="shared" si="13"/>
        <v>216.97702799245926</v>
      </c>
      <c r="AJ49" s="4">
        <f t="shared" si="13"/>
        <v>227.49655513202305</v>
      </c>
      <c r="AK49" s="4">
        <f t="shared" si="13"/>
        <v>223.12538361350568</v>
      </c>
      <c r="AL49" s="4">
        <f t="shared" ref="AL49:AW49" si="14">AL42-AL46</f>
        <v>217.86871574592178</v>
      </c>
      <c r="AM49" s="4">
        <f t="shared" si="14"/>
        <v>225.09862015231062</v>
      </c>
      <c r="AN49" s="4">
        <f t="shared" si="14"/>
        <v>233.37658576476809</v>
      </c>
      <c r="AO49" s="4">
        <f t="shared" si="14"/>
        <v>225.85430427177289</v>
      </c>
      <c r="AP49" s="4">
        <f t="shared" si="14"/>
        <v>0</v>
      </c>
      <c r="AQ49" s="4">
        <f t="shared" si="14"/>
        <v>0</v>
      </c>
      <c r="AR49" s="4">
        <f t="shared" si="14"/>
        <v>0</v>
      </c>
      <c r="AS49" s="4">
        <f t="shared" si="14"/>
        <v>0</v>
      </c>
      <c r="AT49" s="4">
        <f t="shared" si="14"/>
        <v>0</v>
      </c>
      <c r="AU49" s="4">
        <f t="shared" si="14"/>
        <v>0</v>
      </c>
      <c r="AV49" s="4">
        <f t="shared" si="14"/>
        <v>0</v>
      </c>
      <c r="AW49" s="4">
        <f t="shared" si="14"/>
        <v>0</v>
      </c>
      <c r="AX49" s="4">
        <f t="shared" ref="AX49:BC49" si="15">AX42-AX46</f>
        <v>0</v>
      </c>
      <c r="AY49" s="4">
        <f t="shared" si="15"/>
        <v>0</v>
      </c>
      <c r="AZ49" s="4">
        <f t="shared" si="15"/>
        <v>0</v>
      </c>
      <c r="BA49" s="4">
        <f t="shared" si="15"/>
        <v>0</v>
      </c>
      <c r="BB49" s="4">
        <f t="shared" si="15"/>
        <v>0</v>
      </c>
      <c r="BC49" s="4">
        <f t="shared" si="15"/>
        <v>0</v>
      </c>
      <c r="BD49" s="4">
        <f>BD42-BD46</f>
        <v>0</v>
      </c>
      <c r="BE49" s="4">
        <f>BE42-BE46</f>
        <v>0</v>
      </c>
      <c r="BF49" s="4">
        <f>BF42-BF46</f>
        <v>0</v>
      </c>
      <c r="BG49" s="4">
        <f>BG42-BG46</f>
        <v>0</v>
      </c>
      <c r="BJ49" t="s">
        <v>320</v>
      </c>
    </row>
    <row r="50" spans="1:82">
      <c r="D50" s="2" t="s">
        <v>331</v>
      </c>
      <c r="E50" s="4">
        <f>E43-E47</f>
        <v>27.443941315127354</v>
      </c>
      <c r="F50" s="4">
        <f t="shared" ref="F50:AK50" si="16">F43-F47</f>
        <v>27.908548287655215</v>
      </c>
      <c r="G50" s="4">
        <f t="shared" si="16"/>
        <v>31.005891547517471</v>
      </c>
      <c r="H50" s="4">
        <f t="shared" si="16"/>
        <v>38.17865406240594</v>
      </c>
      <c r="I50" s="4">
        <f t="shared" si="16"/>
        <v>32.733996349154829</v>
      </c>
      <c r="J50" s="4">
        <f t="shared" si="16"/>
        <v>30.463090882942339</v>
      </c>
      <c r="K50" s="4">
        <f t="shared" si="16"/>
        <v>31.556426852949532</v>
      </c>
      <c r="L50" s="4">
        <f t="shared" si="16"/>
        <v>37.178019432637107</v>
      </c>
      <c r="M50" s="4">
        <f t="shared" si="16"/>
        <v>32.845642182943941</v>
      </c>
      <c r="N50" s="4">
        <f t="shared" si="16"/>
        <v>29.148742725960794</v>
      </c>
      <c r="O50" s="4">
        <f t="shared" si="16"/>
        <v>30.791886517944722</v>
      </c>
      <c r="P50" s="4">
        <f t="shared" si="16"/>
        <v>38.022547028777417</v>
      </c>
      <c r="Q50" s="4">
        <f t="shared" si="16"/>
        <v>32.545004311177522</v>
      </c>
      <c r="R50" s="4">
        <f t="shared" si="16"/>
        <v>28.828177721826805</v>
      </c>
      <c r="S50" s="4">
        <f t="shared" si="16"/>
        <v>33.216010435159205</v>
      </c>
      <c r="T50" s="4">
        <f t="shared" si="16"/>
        <v>37.812169260709219</v>
      </c>
      <c r="U50" s="4">
        <f t="shared" si="16"/>
        <v>31.12936146973162</v>
      </c>
      <c r="V50" s="4">
        <f t="shared" si="16"/>
        <v>31.211419368453811</v>
      </c>
      <c r="W50" s="4">
        <f t="shared" si="16"/>
        <v>29.761000933006944</v>
      </c>
      <c r="X50" s="4">
        <f t="shared" si="16"/>
        <v>34.939635647829093</v>
      </c>
      <c r="Y50" s="4">
        <f t="shared" si="16"/>
        <v>28.540309369378626</v>
      </c>
      <c r="Z50" s="4">
        <f t="shared" si="16"/>
        <v>28.126495386162034</v>
      </c>
      <c r="AA50" s="4">
        <f t="shared" si="16"/>
        <v>29.285888402222412</v>
      </c>
      <c r="AB50" s="4">
        <f t="shared" si="16"/>
        <v>34.879407912544899</v>
      </c>
      <c r="AC50" s="4">
        <f t="shared" si="16"/>
        <v>30.699562107929811</v>
      </c>
      <c r="AD50" s="4">
        <f t="shared" si="16"/>
        <v>27.774793421796275</v>
      </c>
      <c r="AE50" s="4">
        <f t="shared" si="16"/>
        <v>29.96624348937949</v>
      </c>
      <c r="AF50" s="4">
        <f t="shared" si="16"/>
        <v>35.810316673619127</v>
      </c>
      <c r="AG50" s="4">
        <f t="shared" si="16"/>
        <v>31.54757510589117</v>
      </c>
      <c r="AH50" s="4">
        <f t="shared" si="16"/>
        <v>29.998237711034768</v>
      </c>
      <c r="AI50" s="4">
        <f t="shared" si="16"/>
        <v>31.93338099231406</v>
      </c>
      <c r="AJ50" s="4">
        <f t="shared" si="16"/>
        <v>35.28586013985327</v>
      </c>
      <c r="AK50" s="4">
        <f t="shared" si="16"/>
        <v>33.961948448936759</v>
      </c>
      <c r="AL50" s="4">
        <f t="shared" ref="AL50:AW50" si="17">AL43-AL47</f>
        <v>30.009939934014149</v>
      </c>
      <c r="AM50" s="4">
        <f t="shared" si="17"/>
        <v>31.31189770523066</v>
      </c>
      <c r="AN50" s="4">
        <f t="shared" si="17"/>
        <v>32.518893926906415</v>
      </c>
      <c r="AO50" s="4">
        <f t="shared" si="17"/>
        <v>33.555712145386366</v>
      </c>
      <c r="AP50" s="4">
        <f t="shared" si="17"/>
        <v>0</v>
      </c>
      <c r="AQ50" s="4">
        <f t="shared" si="17"/>
        <v>0</v>
      </c>
      <c r="AR50" s="4">
        <f t="shared" si="17"/>
        <v>0</v>
      </c>
      <c r="AS50" s="4">
        <f t="shared" si="17"/>
        <v>0</v>
      </c>
      <c r="AT50" s="4">
        <f t="shared" si="17"/>
        <v>0</v>
      </c>
      <c r="AU50" s="4">
        <f t="shared" si="17"/>
        <v>0</v>
      </c>
      <c r="AV50" s="4">
        <f t="shared" si="17"/>
        <v>0</v>
      </c>
      <c r="AW50" s="4">
        <f t="shared" si="17"/>
        <v>0</v>
      </c>
      <c r="AX50" s="4">
        <f t="shared" ref="AX50:BC50" si="18">AX43-AX47</f>
        <v>0</v>
      </c>
      <c r="AY50" s="4">
        <f t="shared" si="18"/>
        <v>0</v>
      </c>
      <c r="AZ50" s="4">
        <f t="shared" si="18"/>
        <v>0</v>
      </c>
      <c r="BA50" s="4">
        <f t="shared" si="18"/>
        <v>0</v>
      </c>
      <c r="BB50" s="4">
        <f t="shared" si="18"/>
        <v>0</v>
      </c>
      <c r="BC50" s="4">
        <f t="shared" si="18"/>
        <v>0</v>
      </c>
      <c r="BD50" s="4">
        <f t="shared" ref="BD50:BE50" si="19">BD43-BD47</f>
        <v>0</v>
      </c>
      <c r="BE50" s="4">
        <f t="shared" si="19"/>
        <v>0</v>
      </c>
      <c r="BF50" s="4">
        <f t="shared" ref="BF50:BG50" si="20">BF43-BF47</f>
        <v>0</v>
      </c>
      <c r="BG50" s="4">
        <f t="shared" si="20"/>
        <v>0</v>
      </c>
      <c r="BJ50" t="s">
        <v>320</v>
      </c>
    </row>
    <row r="51" spans="1:82" ht="17.399999999999999">
      <c r="A51" s="28"/>
      <c r="B51" s="35" t="s">
        <v>576</v>
      </c>
      <c r="C51" s="28"/>
      <c r="D51" s="36"/>
      <c r="E51" s="28"/>
      <c r="F51" s="28"/>
      <c r="G51" s="28"/>
      <c r="H51" s="646"/>
      <c r="I51" s="28"/>
      <c r="J51" s="28"/>
      <c r="K51" s="28"/>
      <c r="L51" s="28"/>
      <c r="M51" s="28"/>
      <c r="N51" s="28"/>
      <c r="O51" s="646"/>
      <c r="P51" s="28"/>
      <c r="Q51" s="28"/>
      <c r="R51" s="28"/>
      <c r="S51" s="28"/>
      <c r="T51" s="28"/>
      <c r="U51" s="28"/>
      <c r="V51" s="28"/>
      <c r="W51" s="28"/>
      <c r="X51" s="46"/>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row>
    <row r="52" spans="1:82">
      <c r="D52" s="7"/>
    </row>
    <row r="53" spans="1:82">
      <c r="D53" s="7"/>
    </row>
    <row r="54" spans="1:82" ht="14.4">
      <c r="A54" s="30" t="s">
        <v>67</v>
      </c>
      <c r="D54" s="7"/>
      <c r="AV54" t="s">
        <v>602</v>
      </c>
    </row>
    <row r="55" spans="1:82" ht="14.4">
      <c r="A55" s="1658" t="s">
        <v>8</v>
      </c>
      <c r="C55" s="1516"/>
      <c r="D55" s="7"/>
      <c r="AS55" s="1370" t="s">
        <v>501</v>
      </c>
      <c r="AT55" s="10" t="s">
        <v>568</v>
      </c>
      <c r="AU55" s="10" t="s">
        <v>594</v>
      </c>
      <c r="AV55" s="10" t="s">
        <v>595</v>
      </c>
      <c r="AW55" s="10"/>
    </row>
    <row r="56" spans="1:82" ht="14.4">
      <c r="A56" s="1658" t="s">
        <v>7</v>
      </c>
      <c r="C56" s="1516"/>
      <c r="D56" s="7"/>
      <c r="AS56" t="s">
        <v>3</v>
      </c>
      <c r="AT56" s="15">
        <f>'Network equip'!AE15</f>
        <v>0</v>
      </c>
      <c r="AU56" s="15">
        <f>'Network equip'!AF15</f>
        <v>0</v>
      </c>
      <c r="AV56" s="15">
        <f>'Network equip'!AG15</f>
        <v>0</v>
      </c>
      <c r="AW56" s="15"/>
    </row>
    <row r="57" spans="1:82" ht="14.4">
      <c r="A57" s="1658" t="s">
        <v>543</v>
      </c>
      <c r="C57" s="1516"/>
      <c r="D57" s="7"/>
      <c r="AS57" t="s">
        <v>259</v>
      </c>
      <c r="AT57" s="15">
        <f>'Network equip'!AE17</f>
        <v>0</v>
      </c>
      <c r="AU57" s="15">
        <f>'Network equip'!AF17</f>
        <v>0</v>
      </c>
      <c r="AV57" s="15">
        <f>'Network equip'!AG17</f>
        <v>0</v>
      </c>
      <c r="AW57" s="15"/>
    </row>
    <row r="58" spans="1:82" ht="14.4">
      <c r="A58" s="1658" t="s">
        <v>6</v>
      </c>
      <c r="C58" s="1516"/>
      <c r="D58" s="7"/>
      <c r="AS58" t="s">
        <v>5</v>
      </c>
      <c r="AT58" s="15">
        <f>'Network equip'!AE12</f>
        <v>0</v>
      </c>
      <c r="AU58" s="15">
        <f>'Network equip'!AF12</f>
        <v>0</v>
      </c>
      <c r="AV58" s="15">
        <f>'Network equip'!AG12</f>
        <v>0</v>
      </c>
      <c r="AW58" s="15"/>
    </row>
    <row r="59" spans="1:82" ht="14.4">
      <c r="A59" s="1705" t="s">
        <v>495</v>
      </c>
      <c r="C59" s="1516"/>
      <c r="D59" s="7"/>
      <c r="AS59" t="s">
        <v>1</v>
      </c>
      <c r="AT59" s="15">
        <f>'Network equip'!AE19</f>
        <v>0</v>
      </c>
      <c r="AU59" s="15">
        <f>'Network equip'!AF19</f>
        <v>0</v>
      </c>
      <c r="AV59" s="15">
        <f>'Network equip'!AG19</f>
        <v>0</v>
      </c>
      <c r="AW59" s="15"/>
    </row>
    <row r="60" spans="1:82" ht="14.4">
      <c r="A60" s="1658" t="s">
        <v>397</v>
      </c>
      <c r="C60" s="1516"/>
      <c r="D60" s="7"/>
      <c r="AS60" t="s">
        <v>4</v>
      </c>
      <c r="AT60" s="15">
        <f>'Network equip'!AE14</f>
        <v>0</v>
      </c>
      <c r="AU60" s="15">
        <f>'Network equip'!AF14</f>
        <v>0</v>
      </c>
      <c r="AV60" s="15">
        <f>'Network equip'!AG14</f>
        <v>0</v>
      </c>
      <c r="AW60" s="15"/>
    </row>
    <row r="61" spans="1:82" ht="14.4">
      <c r="A61" s="1705" t="s">
        <v>496</v>
      </c>
      <c r="C61" s="1516"/>
      <c r="D61" s="7"/>
      <c r="AS61" t="s">
        <v>375</v>
      </c>
      <c r="AT61" s="15">
        <f>'Network equip'!AE11</f>
        <v>0</v>
      </c>
      <c r="AU61" s="15">
        <f>'Network equip'!AF11</f>
        <v>0</v>
      </c>
      <c r="AV61" s="15">
        <f>'Network equip'!AG11</f>
        <v>0</v>
      </c>
      <c r="AW61" s="15"/>
    </row>
    <row r="62" spans="1:82" ht="14.4">
      <c r="A62" s="1705" t="s">
        <v>516</v>
      </c>
      <c r="C62" s="1516"/>
      <c r="D62" s="7"/>
      <c r="AS62" t="s">
        <v>397</v>
      </c>
      <c r="AT62" s="15">
        <f>'Network equip'!AE13</f>
        <v>0</v>
      </c>
      <c r="AU62" s="15">
        <f>'Network equip'!AF13</f>
        <v>0</v>
      </c>
      <c r="AV62" s="15">
        <f>'Network equip'!AG13</f>
        <v>0</v>
      </c>
      <c r="AW62" s="15"/>
    </row>
    <row r="63" spans="1:82" ht="14.4">
      <c r="A63" s="1658" t="s">
        <v>2</v>
      </c>
      <c r="C63" s="1516"/>
      <c r="D63" s="7"/>
      <c r="AS63" t="s">
        <v>502</v>
      </c>
      <c r="AT63" s="15">
        <f>'Network equip'!AE20-SUM(AT56:AT62)</f>
        <v>0</v>
      </c>
      <c r="AU63" s="15">
        <f>'Network equip'!AF20-SUM(AU56:AU62)</f>
        <v>0</v>
      </c>
      <c r="AV63" s="15">
        <f>'Network equip'!AG20-SUM(AV56:AV62)</f>
        <v>0</v>
      </c>
      <c r="AW63" s="15"/>
    </row>
    <row r="64" spans="1:82" ht="14.4">
      <c r="A64" s="1658" t="s">
        <v>259</v>
      </c>
      <c r="C64" s="1516"/>
      <c r="D64" s="7"/>
      <c r="AT64" s="45">
        <f>SUM(AT56:AT63)-'Network equip'!AE20</f>
        <v>0</v>
      </c>
      <c r="AU64" s="45">
        <f>SUM(AU56:AU63)-'Network equip'!AF20</f>
        <v>0</v>
      </c>
      <c r="AV64" s="45">
        <f>SUM(AV56:AV63)-'Network equip'!AG20</f>
        <v>0</v>
      </c>
      <c r="AW64" s="45"/>
    </row>
    <row r="65" spans="1:62" ht="14.4">
      <c r="A65" s="1705" t="s">
        <v>584</v>
      </c>
      <c r="C65" s="1516"/>
      <c r="D65" s="7"/>
      <c r="AS65" t="s">
        <v>586</v>
      </c>
    </row>
    <row r="66" spans="1:62" ht="14.4">
      <c r="A66" s="1705" t="s">
        <v>585</v>
      </c>
      <c r="C66" s="1516"/>
      <c r="D66" s="7"/>
    </row>
    <row r="67" spans="1:62">
      <c r="D67" s="7"/>
    </row>
    <row r="68" spans="1:62">
      <c r="D68" s="7"/>
    </row>
    <row r="69" spans="1:62">
      <c r="D69" s="7"/>
    </row>
    <row r="70" spans="1:62">
      <c r="D70" s="7"/>
    </row>
    <row r="71" spans="1:62">
      <c r="D71" s="7"/>
    </row>
    <row r="72" spans="1:62">
      <c r="D72" s="7"/>
      <c r="I72" s="3">
        <v>2010</v>
      </c>
      <c r="J72" s="3">
        <v>2011</v>
      </c>
      <c r="K72" s="3">
        <v>2012</v>
      </c>
      <c r="L72" s="3">
        <v>2013</v>
      </c>
      <c r="M72" s="3">
        <v>2014</v>
      </c>
      <c r="N72" s="3">
        <v>2015</v>
      </c>
      <c r="O72" s="3">
        <v>2016</v>
      </c>
      <c r="P72" s="3">
        <v>2017</v>
      </c>
      <c r="Q72" s="3">
        <v>2018</v>
      </c>
      <c r="R72" s="3">
        <v>2019</v>
      </c>
      <c r="S72" s="3">
        <v>2020</v>
      </c>
      <c r="T72" s="3">
        <v>2021</v>
      </c>
      <c r="U72" s="3">
        <v>2022</v>
      </c>
    </row>
    <row r="73" spans="1:62">
      <c r="D73" s="7"/>
      <c r="G73" s="2" t="s">
        <v>509</v>
      </c>
      <c r="H73" s="1475">
        <f>(U73/K73)^(1/10)-1</f>
        <v>-1</v>
      </c>
      <c r="I73" s="15">
        <f>SUM(E76:H76)</f>
        <v>99.175971872876161</v>
      </c>
      <c r="J73" s="15">
        <f>SUM(I76:L76)</f>
        <v>112.36961013199999</v>
      </c>
      <c r="K73" s="15">
        <f>SUM(M76:P76)</f>
        <v>105.7359142286291</v>
      </c>
      <c r="L73" s="15">
        <f>SUM(Q76:T76)</f>
        <v>98.612312580580749</v>
      </c>
      <c r="M73" s="15">
        <f>SUM(U76:X76)</f>
        <v>98.365543058509502</v>
      </c>
      <c r="N73" s="15">
        <f>SUM(Y76:AB76)</f>
        <v>100.90536780086512</v>
      </c>
      <c r="O73" s="15">
        <f>SUM(AC76:AF76)</f>
        <v>116.3143835902104</v>
      </c>
      <c r="P73" s="15">
        <f>SUM(AG76:AJ76)</f>
        <v>116.58157182961406</v>
      </c>
      <c r="Q73" s="15">
        <f>SUM(AK76:AN76)</f>
        <v>112.51098955482792</v>
      </c>
      <c r="R73" s="15">
        <f>SUM(AO76:AR76)</f>
        <v>27.282738899204237</v>
      </c>
      <c r="S73" s="15">
        <f>SUM(AS76:AV76)</f>
        <v>0</v>
      </c>
      <c r="T73" s="15">
        <f>SUM(AW76:AZ76)</f>
        <v>0</v>
      </c>
      <c r="U73" s="15">
        <f>SUM(BA76:BD76)</f>
        <v>0</v>
      </c>
    </row>
    <row r="74" spans="1:62">
      <c r="D74" s="7"/>
      <c r="P74" s="26">
        <f t="shared" ref="P74:T74" si="21">P73/O73-1</f>
        <v>2.2971212257376639E-3</v>
      </c>
      <c r="Q74" s="26">
        <f t="shared" si="21"/>
        <v>-3.4916172521120004E-2</v>
      </c>
      <c r="R74" s="26">
        <f t="shared" si="21"/>
        <v>-0.75751045291527686</v>
      </c>
      <c r="S74" s="26">
        <f t="shared" si="21"/>
        <v>-1</v>
      </c>
      <c r="T74" s="26" t="e">
        <f t="shared" si="21"/>
        <v>#DIV/0!</v>
      </c>
      <c r="U74" s="26" t="e">
        <f>U73/T73-1</f>
        <v>#DIV/0!</v>
      </c>
    </row>
    <row r="75" spans="1:62" s="1707" customFormat="1">
      <c r="D75" s="1708"/>
      <c r="E75" s="10" t="s">
        <v>86</v>
      </c>
      <c r="F75" s="10" t="s">
        <v>87</v>
      </c>
      <c r="G75" s="10" t="s">
        <v>88</v>
      </c>
      <c r="H75" s="10" t="s">
        <v>89</v>
      </c>
      <c r="I75" s="10" t="s">
        <v>90</v>
      </c>
      <c r="J75" s="10" t="s">
        <v>91</v>
      </c>
      <c r="K75" s="10" t="s">
        <v>92</v>
      </c>
      <c r="L75" s="10" t="s">
        <v>93</v>
      </c>
      <c r="M75" s="10" t="s">
        <v>72</v>
      </c>
      <c r="N75" s="10" t="s">
        <v>73</v>
      </c>
      <c r="O75" s="10" t="s">
        <v>74</v>
      </c>
      <c r="P75" s="10" t="s">
        <v>75</v>
      </c>
      <c r="Q75" s="10" t="s">
        <v>76</v>
      </c>
      <c r="R75" s="10" t="s">
        <v>77</v>
      </c>
      <c r="S75" s="10" t="s">
        <v>78</v>
      </c>
      <c r="T75" s="10" t="s">
        <v>79</v>
      </c>
      <c r="U75" s="10" t="s">
        <v>80</v>
      </c>
      <c r="V75" s="10" t="s">
        <v>81</v>
      </c>
      <c r="W75" s="10" t="s">
        <v>82</v>
      </c>
      <c r="X75" s="10" t="s">
        <v>83</v>
      </c>
      <c r="Y75" s="10" t="s">
        <v>84</v>
      </c>
      <c r="Z75" s="10" t="s">
        <v>85</v>
      </c>
      <c r="AA75" s="10" t="s">
        <v>94</v>
      </c>
      <c r="AB75" s="10" t="s">
        <v>95</v>
      </c>
      <c r="AC75" s="10" t="s">
        <v>96</v>
      </c>
      <c r="AD75" s="10" t="s">
        <v>97</v>
      </c>
      <c r="AE75" s="10" t="s">
        <v>98</v>
      </c>
      <c r="AF75" s="10" t="s">
        <v>99</v>
      </c>
      <c r="AG75" s="10" t="s">
        <v>100</v>
      </c>
      <c r="AH75" s="10" t="s">
        <v>101</v>
      </c>
      <c r="AI75" s="10" t="s">
        <v>102</v>
      </c>
      <c r="AJ75" s="10" t="s">
        <v>103</v>
      </c>
      <c r="AK75" s="10" t="s">
        <v>104</v>
      </c>
      <c r="AL75" s="10" t="s">
        <v>105</v>
      </c>
      <c r="AM75" s="10" t="s">
        <v>106</v>
      </c>
      <c r="AN75" s="10" t="s">
        <v>107</v>
      </c>
      <c r="AO75" s="10" t="s">
        <v>108</v>
      </c>
      <c r="AP75" s="10" t="s">
        <v>109</v>
      </c>
      <c r="AQ75" s="10" t="s">
        <v>110</v>
      </c>
      <c r="AR75" s="10" t="s">
        <v>111</v>
      </c>
      <c r="AS75" s="10" t="s">
        <v>112</v>
      </c>
      <c r="AT75" s="10" t="s">
        <v>113</v>
      </c>
      <c r="AU75" s="10" t="s">
        <v>114</v>
      </c>
      <c r="AV75" s="10" t="s">
        <v>115</v>
      </c>
      <c r="AW75" s="10" t="s">
        <v>463</v>
      </c>
      <c r="AX75" s="10" t="s">
        <v>464</v>
      </c>
      <c r="AY75" s="10" t="s">
        <v>465</v>
      </c>
      <c r="AZ75" s="10" t="s">
        <v>466</v>
      </c>
      <c r="BA75" s="10" t="s">
        <v>467</v>
      </c>
      <c r="BB75" s="10" t="s">
        <v>468</v>
      </c>
      <c r="BC75" s="10" t="s">
        <v>469</v>
      </c>
      <c r="BD75" s="10" t="s">
        <v>470</v>
      </c>
      <c r="BE75" s="10" t="s">
        <v>568</v>
      </c>
      <c r="BF75" s="10" t="s">
        <v>594</v>
      </c>
      <c r="BG75" s="10" t="s">
        <v>595</v>
      </c>
      <c r="BH75" s="45">
        <f>MAX(E76:BG76)</f>
        <v>35.888222687658761</v>
      </c>
      <c r="BI75" s="1706" t="s">
        <v>551</v>
      </c>
    </row>
    <row r="76" spans="1:62" s="1707" customFormat="1">
      <c r="D76" s="2" t="s">
        <v>9</v>
      </c>
      <c r="E76" s="1252">
        <v>21.325780839975234</v>
      </c>
      <c r="F76" s="1252">
        <v>23.002120788969041</v>
      </c>
      <c r="G76" s="1252">
        <v>24.630377599969041</v>
      </c>
      <c r="H76" s="1252">
        <v>30.217692643962849</v>
      </c>
      <c r="I76" s="1252">
        <v>26.376107184000002</v>
      </c>
      <c r="J76" s="1252">
        <v>28.871907587999999</v>
      </c>
      <c r="K76" s="1252">
        <v>27.136353085</v>
      </c>
      <c r="L76" s="1252">
        <v>29.985242274999997</v>
      </c>
      <c r="M76" s="1252">
        <v>23.887401476418976</v>
      </c>
      <c r="N76" s="1252">
        <v>26.226640441882765</v>
      </c>
      <c r="O76" s="1252">
        <v>25.360342601793008</v>
      </c>
      <c r="P76" s="1252">
        <v>30.261529708534351</v>
      </c>
      <c r="Q76" s="1252">
        <v>24.067650132721706</v>
      </c>
      <c r="R76" s="1252">
        <v>25.651934148911408</v>
      </c>
      <c r="S76" s="1252">
        <v>22.895238108629382</v>
      </c>
      <c r="T76" s="1252">
        <v>25.997490190318242</v>
      </c>
      <c r="U76" s="1252">
        <v>22.668790176438726</v>
      </c>
      <c r="V76" s="1252">
        <v>24.476015666495265</v>
      </c>
      <c r="W76" s="1252">
        <v>25.874016095184526</v>
      </c>
      <c r="X76" s="1252">
        <v>25.346721120390978</v>
      </c>
      <c r="Y76" s="1252">
        <v>23.157070769965355</v>
      </c>
      <c r="Z76" s="1252">
        <v>24.972164258433846</v>
      </c>
      <c r="AA76" s="1252">
        <v>26.088676599744389</v>
      </c>
      <c r="AB76" s="1252">
        <v>26.687456172721539</v>
      </c>
      <c r="AC76" s="1252">
        <v>27.980003749366777</v>
      </c>
      <c r="AD76" s="1252">
        <v>30.542272619302725</v>
      </c>
      <c r="AE76" s="1252">
        <v>28.402590375677327</v>
      </c>
      <c r="AF76" s="1252">
        <v>29.389516845863564</v>
      </c>
      <c r="AG76" s="1252">
        <v>27.544327362838878</v>
      </c>
      <c r="AH76" s="1252">
        <v>27.6255665610881</v>
      </c>
      <c r="AI76" s="1252">
        <v>25.523455218028321</v>
      </c>
      <c r="AJ76" s="1252">
        <v>35.888222687658761</v>
      </c>
      <c r="AK76" s="1252">
        <v>26.926814810845642</v>
      </c>
      <c r="AL76" s="1252">
        <v>27.449838113020569</v>
      </c>
      <c r="AM76" s="1252">
        <v>26.759306337834719</v>
      </c>
      <c r="AN76" s="1252">
        <v>31.375030293126979</v>
      </c>
      <c r="AO76" s="1252">
        <f>'Network equip'!O20/10^3</f>
        <v>27.282738899204237</v>
      </c>
      <c r="AP76" s="1252">
        <f>'Network equip'!P20/10^3</f>
        <v>0</v>
      </c>
      <c r="AQ76" s="1252">
        <f>'Network equip'!Q20/10^3</f>
        <v>0</v>
      </c>
      <c r="AR76" s="1252">
        <f>'Network equip'!R20/10^3</f>
        <v>0</v>
      </c>
      <c r="AS76" s="1252">
        <f>'Network equip'!S20/10^3</f>
        <v>0</v>
      </c>
      <c r="AT76" s="1363">
        <f>'Network equip'!T20/10^3</f>
        <v>0</v>
      </c>
      <c r="AU76" s="1363">
        <f>'Network equip'!U20/10^3</f>
        <v>0</v>
      </c>
      <c r="AV76" s="1363">
        <f>'Network equip'!V20/10^3</f>
        <v>0</v>
      </c>
      <c r="AW76" s="1363">
        <f>'Network equip'!W20/10^3</f>
        <v>0</v>
      </c>
      <c r="AX76" s="1363">
        <f>'Network equip'!X20/10^3</f>
        <v>0</v>
      </c>
      <c r="AY76" s="1363">
        <f>'Network equip'!Y20/10^3</f>
        <v>0</v>
      </c>
      <c r="AZ76" s="1363">
        <f>'Network equip'!Z20/10^3</f>
        <v>0</v>
      </c>
      <c r="BA76" s="1363">
        <f>'Network equip'!AA20/10^3</f>
        <v>0</v>
      </c>
      <c r="BB76" s="1363">
        <f>'Network equip'!AB20/10^3</f>
        <v>0</v>
      </c>
      <c r="BC76" s="1363">
        <f>'Network equip'!AC20/10^3</f>
        <v>0</v>
      </c>
      <c r="BD76" s="1363">
        <f>'Network equip'!AD20/10^3</f>
        <v>0</v>
      </c>
      <c r="BE76" s="1363">
        <f>'Network equip'!AE20/10^3</f>
        <v>0</v>
      </c>
      <c r="BF76" s="1363">
        <f>'Network equip'!AF20/10^3</f>
        <v>0</v>
      </c>
      <c r="BG76" s="1363">
        <f>'Network equip'!AG20/10^3</f>
        <v>0</v>
      </c>
      <c r="BH76" s="219" t="e">
        <f>BG76/BF76-1</f>
        <v>#DIV/0!</v>
      </c>
      <c r="BI76" s="2062" t="s">
        <v>552</v>
      </c>
    </row>
    <row r="77" spans="1:62" s="1707" customFormat="1">
      <c r="D77" s="1709" t="s">
        <v>563</v>
      </c>
      <c r="Y77" s="26"/>
      <c r="Z77" s="26"/>
      <c r="AA77" s="26"/>
      <c r="AB77" s="26"/>
      <c r="AC77" s="26"/>
      <c r="AD77" s="26"/>
      <c r="AE77" s="26"/>
      <c r="AF77" s="26"/>
      <c r="AG77" s="26"/>
      <c r="AH77" s="26"/>
      <c r="AI77" s="26"/>
      <c r="AJ77" s="26"/>
      <c r="AK77" s="26"/>
      <c r="AL77" s="26"/>
      <c r="AM77" s="26"/>
      <c r="AN77" s="26"/>
      <c r="AO77" s="26">
        <f t="shared" ref="AO77:BC77" si="22">AO76/AK76-1</f>
        <v>1.3218202407484059E-2</v>
      </c>
      <c r="AP77" s="26">
        <f t="shared" si="22"/>
        <v>-1</v>
      </c>
      <c r="AQ77" s="26">
        <f t="shared" si="22"/>
        <v>-1</v>
      </c>
      <c r="AR77" s="26">
        <f t="shared" si="22"/>
        <v>-1</v>
      </c>
      <c r="AS77" s="26">
        <f t="shared" si="22"/>
        <v>-1</v>
      </c>
      <c r="AT77" s="26" t="e">
        <f t="shared" si="22"/>
        <v>#DIV/0!</v>
      </c>
      <c r="AU77" s="26" t="e">
        <f t="shared" si="22"/>
        <v>#DIV/0!</v>
      </c>
      <c r="AV77" s="26" t="e">
        <f t="shared" si="22"/>
        <v>#DIV/0!</v>
      </c>
      <c r="AW77" s="26" t="e">
        <f t="shared" si="22"/>
        <v>#DIV/0!</v>
      </c>
      <c r="AX77" s="26" t="e">
        <f t="shared" si="22"/>
        <v>#DIV/0!</v>
      </c>
      <c r="AY77" s="26" t="e">
        <f t="shared" si="22"/>
        <v>#DIV/0!</v>
      </c>
      <c r="AZ77" s="26" t="e">
        <f t="shared" si="22"/>
        <v>#DIV/0!</v>
      </c>
      <c r="BA77" s="26" t="e">
        <f t="shared" si="22"/>
        <v>#DIV/0!</v>
      </c>
      <c r="BB77" s="26" t="e">
        <f t="shared" si="22"/>
        <v>#DIV/0!</v>
      </c>
      <c r="BC77" s="26" t="e">
        <f t="shared" si="22"/>
        <v>#DIV/0!</v>
      </c>
      <c r="BD77" s="26" t="e">
        <f>BD76/AZ76-1</f>
        <v>#DIV/0!</v>
      </c>
      <c r="BE77" s="26" t="e">
        <f>BE76/BA76-1</f>
        <v>#DIV/0!</v>
      </c>
      <c r="BF77" s="26" t="e">
        <f>BF76/BB76-1</f>
        <v>#DIV/0!</v>
      </c>
      <c r="BG77" s="26" t="e">
        <f>BG76/BC76-1</f>
        <v>#DIV/0!</v>
      </c>
      <c r="BH77" s="13" t="s">
        <v>561</v>
      </c>
      <c r="BI77" s="1706"/>
    </row>
    <row r="78" spans="1:62" ht="17.399999999999999">
      <c r="A78" s="28"/>
      <c r="B78" s="35" t="s">
        <v>577</v>
      </c>
      <c r="C78" s="28"/>
      <c r="D78" s="36"/>
      <c r="E78" s="28"/>
      <c r="F78" s="28"/>
      <c r="G78" s="28"/>
      <c r="H78" s="28"/>
      <c r="I78" s="646"/>
      <c r="J78" s="28"/>
      <c r="K78" s="28"/>
      <c r="L78" s="28"/>
      <c r="M78" s="646"/>
      <c r="N78" s="28"/>
      <c r="O78" s="46"/>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row>
    <row r="79" spans="1:62" s="6" customFormat="1" ht="14.4">
      <c r="D79" s="8"/>
      <c r="F79" s="14"/>
      <c r="G79" s="14"/>
      <c r="H79" s="14"/>
      <c r="I79" s="14"/>
      <c r="J79" s="14"/>
      <c r="K79" s="14"/>
      <c r="L79" s="14"/>
      <c r="M79" s="14"/>
      <c r="N79" s="14"/>
      <c r="O79" s="14"/>
      <c r="P79" s="14"/>
      <c r="Q79" s="14"/>
      <c r="R79" s="14"/>
      <c r="S79" s="14"/>
      <c r="T79" s="14"/>
      <c r="U79" s="14"/>
      <c r="V79" s="14"/>
      <c r="W79" s="14"/>
      <c r="X79" s="14"/>
      <c r="Y79" s="14"/>
      <c r="Z79" s="44"/>
      <c r="AA79" s="44"/>
      <c r="AB79" s="44"/>
      <c r="AC79" s="404"/>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4"/>
      <c r="AZ79" s="44"/>
      <c r="BA79" s="44"/>
      <c r="BB79" s="44"/>
    </row>
    <row r="80" spans="1:62" s="6" customFormat="1" ht="14.4">
      <c r="B80" s="1855"/>
      <c r="D80" s="8"/>
      <c r="E80" s="30" t="s">
        <v>529</v>
      </c>
      <c r="F80" s="1703"/>
      <c r="G80" s="1703"/>
      <c r="H80" s="1703"/>
      <c r="I80" s="1703"/>
      <c r="J80" s="14"/>
      <c r="K80" s="14"/>
      <c r="L80" s="14"/>
      <c r="M80" s="14"/>
      <c r="N80" s="14"/>
      <c r="O80" s="14"/>
      <c r="P80" s="14"/>
      <c r="Q80" s="14"/>
      <c r="R80" s="14"/>
      <c r="S80" s="14"/>
      <c r="T80" s="14"/>
      <c r="U80" s="14"/>
      <c r="V80" s="14"/>
      <c r="W80" s="14"/>
      <c r="X80" s="14"/>
      <c r="Y80" s="14"/>
      <c r="Z80" s="44"/>
      <c r="AA80" s="44"/>
      <c r="AB80" s="44"/>
      <c r="AC80" s="404"/>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4"/>
      <c r="AZ80" s="44"/>
      <c r="BA80" s="44"/>
      <c r="BB80" s="44"/>
    </row>
    <row r="81" spans="2:54" s="6" customFormat="1" ht="14.4">
      <c r="B81" s="1856"/>
      <c r="C81" s="1855"/>
      <c r="D81" s="1704"/>
      <c r="E81" s="403"/>
      <c r="F81" s="14"/>
      <c r="G81" s="14"/>
      <c r="H81" s="14"/>
      <c r="I81" s="14"/>
      <c r="J81" s="14"/>
      <c r="K81" s="14"/>
      <c r="L81" s="14"/>
      <c r="M81" s="14"/>
      <c r="N81" s="14"/>
      <c r="O81" s="14"/>
      <c r="P81" s="14"/>
      <c r="Q81" s="14"/>
      <c r="R81" s="14"/>
      <c r="S81" s="14"/>
      <c r="T81" s="14"/>
      <c r="U81" s="14"/>
      <c r="V81" s="14"/>
      <c r="W81" s="14"/>
      <c r="X81" s="14"/>
      <c r="Y81" s="14"/>
      <c r="Z81" s="44"/>
      <c r="AA81" s="44"/>
      <c r="AB81" s="44"/>
      <c r="AC81" s="404"/>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4"/>
      <c r="AZ81" s="44"/>
      <c r="BA81" s="44"/>
      <c r="BB81" s="44"/>
    </row>
    <row r="82" spans="2:54" s="6" customFormat="1" ht="14.4">
      <c r="D82" s="8"/>
      <c r="E82" s="403"/>
      <c r="F82" s="14"/>
      <c r="G82" s="14"/>
      <c r="H82" s="14"/>
      <c r="I82" s="14"/>
      <c r="J82" s="14"/>
      <c r="K82" s="14"/>
      <c r="L82" s="14"/>
      <c r="M82" s="14"/>
      <c r="N82" s="14"/>
      <c r="O82" s="14"/>
      <c r="P82" s="14"/>
      <c r="Q82" s="14"/>
      <c r="R82" s="14"/>
      <c r="S82" s="14"/>
      <c r="T82" s="14"/>
      <c r="U82" s="14"/>
      <c r="V82" s="14"/>
      <c r="W82" s="14"/>
      <c r="X82" s="14"/>
      <c r="Y82" s="14"/>
      <c r="Z82" s="44"/>
      <c r="AA82" s="44"/>
      <c r="AB82" s="44"/>
      <c r="AC82" s="404"/>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4"/>
      <c r="AZ82" s="44"/>
      <c r="BA82" s="44"/>
      <c r="BB82" s="44"/>
    </row>
    <row r="83" spans="2:54" s="6" customFormat="1" ht="14.4">
      <c r="B83" s="1855"/>
      <c r="C83" s="1855"/>
      <c r="D83" s="1704"/>
      <c r="E83" s="403"/>
      <c r="F83" s="14"/>
      <c r="G83" s="14"/>
      <c r="H83" s="14"/>
      <c r="I83" s="14"/>
      <c r="J83" s="14"/>
      <c r="K83" s="14"/>
      <c r="L83" s="14"/>
      <c r="M83" s="14"/>
      <c r="N83" s="14"/>
      <c r="O83" s="14"/>
      <c r="P83" s="14"/>
      <c r="Q83" s="14"/>
      <c r="R83" s="14"/>
      <c r="S83" s="14"/>
      <c r="T83" s="14"/>
      <c r="U83" s="14"/>
      <c r="V83" s="14"/>
      <c r="W83" s="14"/>
      <c r="X83" s="14"/>
      <c r="Y83" s="14"/>
      <c r="Z83" s="44"/>
      <c r="AA83" s="44"/>
      <c r="AB83" s="44"/>
      <c r="AC83" s="404"/>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4"/>
      <c r="AZ83" s="44"/>
      <c r="BA83" s="44"/>
      <c r="BB83" s="44"/>
    </row>
    <row r="84" spans="2:54" s="6" customFormat="1" ht="14.4">
      <c r="B84" s="1856"/>
      <c r="C84" s="1856"/>
      <c r="D84" s="2063"/>
      <c r="E84" s="403"/>
      <c r="F84" s="14"/>
      <c r="G84" s="14"/>
      <c r="H84" s="14"/>
      <c r="I84" s="14"/>
      <c r="J84" s="14"/>
      <c r="K84" s="14"/>
      <c r="L84" s="14"/>
      <c r="M84" s="14"/>
      <c r="N84" s="14"/>
      <c r="O84" s="14"/>
      <c r="P84" s="14"/>
      <c r="Q84" s="14"/>
      <c r="R84" s="14"/>
      <c r="S84" s="14"/>
      <c r="T84" s="14"/>
      <c r="U84" s="14"/>
      <c r="V84" s="14"/>
      <c r="W84" s="14"/>
      <c r="X84" s="14"/>
      <c r="Y84" s="14"/>
      <c r="Z84" s="44"/>
      <c r="AA84" s="44"/>
      <c r="AB84" s="44"/>
      <c r="AC84" s="404"/>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4"/>
      <c r="AZ84" s="44"/>
      <c r="BA84" s="44"/>
      <c r="BB84" s="44"/>
    </row>
    <row r="85" spans="2:54" s="6" customFormat="1" ht="14.4">
      <c r="D85" s="8"/>
      <c r="E85" s="403"/>
      <c r="F85" s="14"/>
      <c r="G85" s="14"/>
      <c r="H85" s="14"/>
      <c r="I85" s="14"/>
      <c r="J85" s="14"/>
      <c r="K85" s="14"/>
      <c r="L85" s="14"/>
      <c r="M85" s="14"/>
      <c r="N85" s="14"/>
      <c r="O85" s="14"/>
      <c r="P85" s="14"/>
      <c r="Q85" s="14"/>
      <c r="R85" s="14"/>
      <c r="S85" s="14"/>
      <c r="T85" s="14"/>
      <c r="U85" s="14"/>
      <c r="V85" s="14"/>
      <c r="W85" s="14"/>
      <c r="X85" s="14"/>
      <c r="Y85" s="14"/>
      <c r="Z85" s="44"/>
      <c r="AA85" s="44"/>
      <c r="AB85" s="44"/>
      <c r="AC85" s="404"/>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4"/>
      <c r="AZ85" s="44"/>
      <c r="BA85" s="44"/>
      <c r="BB85" s="44"/>
    </row>
    <row r="86" spans="2:54" s="6" customFormat="1" ht="14.4">
      <c r="D86" s="8"/>
      <c r="E86" s="403"/>
      <c r="F86" s="14"/>
      <c r="G86" s="14"/>
      <c r="H86" s="14"/>
      <c r="I86" s="14"/>
      <c r="J86" s="14"/>
      <c r="K86" s="14"/>
      <c r="L86" s="14"/>
      <c r="M86" s="14"/>
      <c r="N86" s="14"/>
      <c r="O86" s="14"/>
      <c r="P86" s="14"/>
      <c r="Q86" s="14"/>
      <c r="R86" s="14"/>
      <c r="S86" s="14"/>
      <c r="T86" s="14"/>
      <c r="U86" s="14"/>
      <c r="V86" s="14"/>
      <c r="W86" s="14"/>
      <c r="X86" s="14"/>
      <c r="Y86" s="14"/>
      <c r="Z86" s="44"/>
      <c r="AA86" s="44"/>
      <c r="AB86" s="44"/>
      <c r="AC86" s="404"/>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4"/>
      <c r="AZ86" s="44"/>
      <c r="BA86" s="44"/>
      <c r="BB86" s="44"/>
    </row>
    <row r="87" spans="2:54" s="6" customFormat="1" ht="14.4">
      <c r="D87" s="8"/>
      <c r="E87" s="403"/>
      <c r="F87" s="14"/>
      <c r="G87" s="14"/>
      <c r="H87" s="14"/>
      <c r="I87" s="14"/>
      <c r="J87" s="14"/>
      <c r="K87" s="14"/>
      <c r="L87" s="14"/>
      <c r="M87" s="14"/>
      <c r="N87" s="14"/>
      <c r="O87" s="14"/>
      <c r="P87" s="14"/>
      <c r="Q87" s="14"/>
      <c r="R87" s="14"/>
      <c r="S87" s="14"/>
      <c r="T87" s="14"/>
      <c r="U87" s="14"/>
      <c r="V87" s="14"/>
      <c r="W87" s="14"/>
      <c r="X87" s="14"/>
      <c r="Y87" s="14"/>
      <c r="Z87" s="44"/>
      <c r="AA87" s="44"/>
      <c r="AB87" s="44"/>
      <c r="AC87" s="404"/>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4"/>
      <c r="AZ87" s="44"/>
      <c r="BA87" s="44"/>
      <c r="BB87" s="44"/>
    </row>
    <row r="88" spans="2:54" s="6" customFormat="1" ht="14.4">
      <c r="D88" s="8"/>
      <c r="E88" s="403"/>
      <c r="F88" s="14"/>
      <c r="G88" s="14"/>
      <c r="H88" s="14"/>
      <c r="I88" s="14"/>
      <c r="J88" s="14"/>
      <c r="K88" s="14"/>
      <c r="L88" s="14"/>
      <c r="M88" s="14"/>
      <c r="N88" s="14"/>
      <c r="O88" s="14"/>
      <c r="P88" s="14"/>
      <c r="Q88" s="14"/>
      <c r="R88" s="14"/>
      <c r="S88" s="14"/>
      <c r="T88" s="14"/>
      <c r="U88" s="14"/>
      <c r="V88" s="14"/>
      <c r="W88" s="14"/>
      <c r="X88" s="14"/>
      <c r="Y88" s="14"/>
      <c r="Z88" s="44"/>
      <c r="AA88" s="44"/>
      <c r="AB88" s="44"/>
      <c r="AC88" s="404"/>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4"/>
      <c r="AZ88" s="44"/>
      <c r="BA88" s="44"/>
      <c r="BB88" s="44"/>
    </row>
    <row r="89" spans="2:54" s="6" customFormat="1" ht="14.4">
      <c r="D89" s="8"/>
      <c r="E89" s="403"/>
      <c r="F89" s="14"/>
      <c r="G89" s="14"/>
      <c r="H89" s="14"/>
      <c r="I89" s="14"/>
      <c r="J89" s="14"/>
      <c r="K89" s="14"/>
      <c r="L89" s="14"/>
      <c r="M89" s="14"/>
      <c r="N89" s="14"/>
      <c r="O89" s="14"/>
      <c r="P89" s="14"/>
      <c r="Q89" s="14"/>
      <c r="R89" s="14"/>
      <c r="S89" s="14"/>
      <c r="T89" s="14"/>
      <c r="U89" s="14"/>
      <c r="V89" s="14"/>
      <c r="W89" s="14"/>
      <c r="X89" s="14"/>
      <c r="Y89" s="14"/>
      <c r="Z89" s="44"/>
      <c r="AA89" s="44"/>
      <c r="AB89" s="44"/>
      <c r="AC89" s="404"/>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4"/>
      <c r="AZ89" s="44"/>
      <c r="BA89" s="44"/>
      <c r="BB89" s="44"/>
    </row>
    <row r="90" spans="2:54" s="6" customFormat="1" ht="14.4">
      <c r="D90" s="8"/>
      <c r="E90" s="403"/>
      <c r="F90" s="14"/>
      <c r="G90" s="14"/>
      <c r="H90" s="14"/>
      <c r="I90" s="14"/>
      <c r="J90" s="14"/>
      <c r="K90" s="14"/>
      <c r="L90" s="14"/>
      <c r="M90" s="14"/>
      <c r="N90" s="14"/>
      <c r="O90" s="14"/>
      <c r="P90" s="14"/>
      <c r="Q90" s="14"/>
      <c r="R90" s="14"/>
      <c r="S90" s="14"/>
      <c r="T90" s="14"/>
      <c r="U90" s="14"/>
      <c r="V90" s="14"/>
      <c r="W90" s="14"/>
      <c r="X90" s="14"/>
      <c r="Y90" s="14"/>
      <c r="Z90" s="44"/>
      <c r="AA90" s="44"/>
      <c r="AB90" s="44"/>
      <c r="AC90" s="404"/>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4"/>
      <c r="AZ90" s="44"/>
      <c r="BA90" s="44"/>
      <c r="BB90" s="44"/>
    </row>
    <row r="91" spans="2:54" s="6" customFormat="1" ht="14.4">
      <c r="D91" s="8"/>
      <c r="E91" s="403"/>
      <c r="F91" s="14"/>
      <c r="G91" s="14"/>
      <c r="H91" s="14"/>
      <c r="I91" s="14"/>
      <c r="J91" s="14"/>
      <c r="K91" s="14"/>
      <c r="L91" s="14"/>
      <c r="M91" s="14"/>
      <c r="N91" s="14"/>
      <c r="O91" s="14"/>
      <c r="P91" s="14"/>
      <c r="Q91" s="14"/>
      <c r="R91" s="14"/>
      <c r="S91" s="14"/>
      <c r="T91" s="14"/>
      <c r="U91" s="14"/>
      <c r="V91" s="14"/>
      <c r="W91" s="14"/>
      <c r="X91" s="14"/>
      <c r="Y91" s="14"/>
      <c r="Z91" s="44"/>
      <c r="AA91" s="44"/>
      <c r="AB91" s="44"/>
      <c r="AC91" s="404"/>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4"/>
      <c r="AZ91" s="44"/>
      <c r="BA91" s="44"/>
      <c r="BB91" s="44"/>
    </row>
    <row r="92" spans="2:54" s="6" customFormat="1" ht="14.4">
      <c r="D92" s="8"/>
      <c r="E92" s="403"/>
      <c r="F92" s="14"/>
      <c r="G92" s="14"/>
      <c r="H92" s="14"/>
      <c r="I92" s="14"/>
      <c r="J92" s="14"/>
      <c r="K92" s="14"/>
      <c r="L92" s="14"/>
      <c r="M92" s="14"/>
      <c r="N92" s="14"/>
      <c r="O92" s="14"/>
      <c r="P92" s="14"/>
      <c r="Q92" s="14"/>
      <c r="R92" s="14"/>
      <c r="S92" s="14"/>
      <c r="T92" s="14"/>
      <c r="U92" s="14"/>
      <c r="V92" s="14"/>
      <c r="W92" s="14"/>
      <c r="X92" s="14"/>
      <c r="Y92" s="14"/>
      <c r="Z92" s="44"/>
      <c r="AA92" s="44"/>
      <c r="AB92" s="44"/>
      <c r="AC92" s="404"/>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4"/>
      <c r="AZ92" s="44"/>
      <c r="BA92" s="44"/>
      <c r="BB92" s="44"/>
    </row>
    <row r="93" spans="2:54" s="6" customFormat="1" ht="14.4">
      <c r="D93" s="8"/>
      <c r="E93" s="403"/>
      <c r="F93" s="14"/>
      <c r="G93" s="14"/>
      <c r="H93" s="14"/>
      <c r="I93" s="14"/>
      <c r="J93" s="14"/>
      <c r="K93" s="14"/>
      <c r="L93" s="14"/>
      <c r="M93" s="14"/>
      <c r="N93" s="14"/>
      <c r="O93" s="14"/>
      <c r="P93" s="14"/>
      <c r="Q93" s="14"/>
      <c r="R93" s="14"/>
      <c r="S93" s="14"/>
      <c r="T93" s="14"/>
      <c r="U93" s="14"/>
      <c r="V93" s="14"/>
      <c r="W93" s="14"/>
      <c r="X93" s="14"/>
      <c r="Y93" s="14"/>
      <c r="Z93" s="44"/>
      <c r="AA93" s="44"/>
      <c r="AB93" s="44"/>
      <c r="AC93" s="404"/>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4"/>
      <c r="AZ93" s="44"/>
      <c r="BA93" s="44"/>
      <c r="BB93" s="44"/>
    </row>
    <row r="94" spans="2:54" s="6" customFormat="1" ht="14.4">
      <c r="D94" s="8"/>
      <c r="E94" s="403"/>
      <c r="F94" s="14"/>
      <c r="G94" s="14"/>
      <c r="H94" s="14"/>
      <c r="I94" s="14"/>
      <c r="J94" s="14"/>
      <c r="K94" s="14"/>
      <c r="L94" s="14"/>
      <c r="M94" s="14"/>
      <c r="N94" s="14"/>
      <c r="O94" s="14"/>
      <c r="P94" s="14"/>
      <c r="Q94" s="14"/>
      <c r="R94" s="14"/>
      <c r="S94" s="14"/>
      <c r="T94" s="14"/>
      <c r="U94" s="14"/>
      <c r="V94" s="14"/>
      <c r="W94" s="14"/>
      <c r="X94" s="14"/>
      <c r="Y94" s="14"/>
      <c r="Z94" s="44"/>
      <c r="AA94" s="44"/>
      <c r="AB94" s="44"/>
      <c r="AC94" s="404"/>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4"/>
      <c r="AZ94" s="44"/>
      <c r="BA94" s="44"/>
      <c r="BB94" s="44"/>
    </row>
    <row r="95" spans="2:54" s="6" customFormat="1" ht="14.4">
      <c r="D95" s="8"/>
      <c r="E95" s="403"/>
      <c r="F95" s="14"/>
      <c r="G95" s="14"/>
      <c r="H95" s="14"/>
      <c r="I95" s="14"/>
      <c r="J95" s="14"/>
      <c r="K95" s="14"/>
      <c r="L95" s="14"/>
      <c r="M95" s="14"/>
      <c r="N95" s="14"/>
      <c r="O95" s="14"/>
      <c r="P95" s="14"/>
      <c r="Q95" s="14"/>
      <c r="R95" s="14"/>
      <c r="S95" s="14"/>
      <c r="T95" s="14"/>
      <c r="U95" s="14"/>
      <c r="V95" s="14"/>
      <c r="W95" s="14"/>
      <c r="X95" s="14"/>
      <c r="Y95" s="14"/>
      <c r="Z95" s="44"/>
      <c r="AA95" s="44"/>
      <c r="AB95" s="44"/>
      <c r="AC95" s="404"/>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4"/>
      <c r="AZ95" s="44"/>
      <c r="BA95" s="44"/>
      <c r="BB95" s="44"/>
    </row>
    <row r="96" spans="2:54" s="6" customFormat="1" ht="14.4">
      <c r="D96" s="8"/>
      <c r="E96" s="403"/>
      <c r="F96" s="14"/>
      <c r="G96" s="14"/>
      <c r="H96" s="14"/>
      <c r="I96" s="14"/>
      <c r="J96" s="14"/>
      <c r="K96" s="14"/>
      <c r="L96" s="14"/>
      <c r="M96" s="14"/>
      <c r="N96" s="14"/>
      <c r="O96" s="14"/>
      <c r="P96" s="14"/>
      <c r="Q96" s="14"/>
      <c r="R96" s="14"/>
      <c r="S96" s="14"/>
      <c r="T96" s="14"/>
      <c r="U96" s="14"/>
      <c r="V96" s="14"/>
      <c r="W96" s="14"/>
      <c r="X96" s="14"/>
      <c r="Y96" s="14"/>
      <c r="Z96" s="44"/>
      <c r="AA96" s="44"/>
      <c r="AB96" s="44"/>
      <c r="AC96" s="404"/>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4"/>
      <c r="AZ96" s="44"/>
      <c r="BA96" s="44"/>
      <c r="BB96" s="44"/>
    </row>
    <row r="97" spans="1:62" s="6" customFormat="1" ht="14.4">
      <c r="D97" s="8"/>
      <c r="E97" s="403"/>
      <c r="F97" s="14"/>
      <c r="G97" s="14"/>
      <c r="H97" s="14"/>
      <c r="I97" s="14"/>
      <c r="J97" s="14"/>
      <c r="K97" s="14"/>
      <c r="L97" s="14"/>
      <c r="M97" s="14"/>
      <c r="N97" s="14"/>
      <c r="O97" s="14"/>
      <c r="P97" s="14"/>
      <c r="Q97" s="14"/>
      <c r="R97" s="14"/>
      <c r="S97" s="14"/>
      <c r="T97" s="14"/>
      <c r="U97" s="14"/>
      <c r="V97" s="14"/>
      <c r="W97" s="14"/>
      <c r="X97" s="14"/>
      <c r="Y97" s="14"/>
      <c r="Z97" s="44"/>
      <c r="AA97" s="44"/>
      <c r="AB97" s="44"/>
      <c r="AC97" s="404"/>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4"/>
      <c r="AZ97" s="44"/>
      <c r="BA97" s="44"/>
      <c r="BB97" s="44"/>
    </row>
    <row r="98" spans="1:62" ht="17.399999999999999">
      <c r="A98" s="28"/>
      <c r="B98" s="35" t="s">
        <v>242</v>
      </c>
      <c r="C98" s="28"/>
      <c r="D98" s="36"/>
      <c r="E98" s="28"/>
      <c r="F98" s="646"/>
      <c r="G98" s="28"/>
      <c r="H98" s="28"/>
      <c r="I98" s="28"/>
      <c r="J98" s="28"/>
      <c r="K98" s="28"/>
      <c r="L98" s="28"/>
      <c r="M98" s="28"/>
      <c r="N98" s="28"/>
      <c r="O98" s="46"/>
      <c r="P98" s="46"/>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row>
    <row r="99" spans="1:62">
      <c r="D99" s="7"/>
    </row>
    <row r="100" spans="1:62">
      <c r="D100" s="7"/>
    </row>
    <row r="101" spans="1:62" ht="14.4">
      <c r="A101" s="30" t="s">
        <v>67</v>
      </c>
      <c r="D101" s="7"/>
    </row>
    <row r="102" spans="1:62" ht="14.4">
      <c r="B102" s="30" t="str">
        <f>ICPs!B8</f>
        <v>Alibaba</v>
      </c>
      <c r="D102" s="7"/>
    </row>
    <row r="103" spans="1:62" ht="14.4">
      <c r="B103" s="30" t="str">
        <f>ICPs!B9</f>
        <v>Alphabet</v>
      </c>
      <c r="D103" s="7"/>
    </row>
    <row r="104" spans="1:62" ht="14.4">
      <c r="B104" s="30" t="str">
        <f>ICPs!B10</f>
        <v>Amazon</v>
      </c>
      <c r="D104" s="7"/>
    </row>
    <row r="105" spans="1:62" ht="14.4">
      <c r="B105" s="30" t="str">
        <f>ICPs!B11</f>
        <v>Apple</v>
      </c>
      <c r="D105" s="7"/>
    </row>
    <row r="106" spans="1:62" ht="14.4">
      <c r="B106" s="30" t="str">
        <f>ICPs!B12</f>
        <v>Baidu</v>
      </c>
      <c r="D106" s="7"/>
      <c r="AA106" s="2"/>
      <c r="AB106" s="3">
        <v>2010</v>
      </c>
      <c r="AC106" s="3">
        <v>2011</v>
      </c>
      <c r="AD106" s="3">
        <v>2012</v>
      </c>
      <c r="AE106" s="3">
        <v>2013</v>
      </c>
      <c r="AF106" s="3">
        <v>2014</v>
      </c>
      <c r="AG106" s="3">
        <v>2015</v>
      </c>
      <c r="AH106" s="3">
        <v>2016</v>
      </c>
      <c r="AI106" s="3">
        <v>2017</v>
      </c>
      <c r="AJ106" s="3">
        <v>2018</v>
      </c>
      <c r="AK106" s="3">
        <v>2019</v>
      </c>
      <c r="AL106" s="3">
        <v>2020</v>
      </c>
      <c r="AM106" s="3">
        <v>2021</v>
      </c>
      <c r="AN106" s="3">
        <v>2022</v>
      </c>
    </row>
    <row r="107" spans="1:62" ht="14.4">
      <c r="B107" s="30" t="str">
        <f>ICPs!B13</f>
        <v>eBay</v>
      </c>
      <c r="D107" s="7"/>
      <c r="AA107" s="2" t="s">
        <v>9</v>
      </c>
      <c r="AB107" s="15">
        <f>SUM(E119:H119)</f>
        <v>257.04860351026787</v>
      </c>
      <c r="AC107" s="15">
        <f>SUM(I119:L119)</f>
        <v>349.7317794238723</v>
      </c>
      <c r="AD107" s="15">
        <f>SUM(M119:P119)</f>
        <v>426.32401875330027</v>
      </c>
      <c r="AE107" s="15">
        <f>SUM(Q119:T119)</f>
        <v>495.94580193590309</v>
      </c>
      <c r="AF107" s="15">
        <f>SUM(U119:X119)</f>
        <v>585.54947561359063</v>
      </c>
      <c r="AG107" s="15">
        <f>SUM(Y119:AB119)</f>
        <v>672.45628746928912</v>
      </c>
      <c r="AH107" s="15">
        <f>SUM(AC119:AF119)</f>
        <v>724.03147580597181</v>
      </c>
      <c r="AI107" s="15">
        <f>SUM(AG119:AJ119)</f>
        <v>882.71145339102918</v>
      </c>
      <c r="AJ107" s="15">
        <f>SUM(AK119:AN119)</f>
        <v>1078.8185529918524</v>
      </c>
      <c r="AK107" s="15">
        <f>SUM(AO119:AR119)</f>
        <v>271.38513509911718</v>
      </c>
      <c r="AL107" s="15">
        <f>SUM(AS119:AV119)</f>
        <v>0</v>
      </c>
      <c r="AM107" s="15">
        <f>SUM(AW119:AZ119)</f>
        <v>0</v>
      </c>
      <c r="AN107" s="15">
        <f>SUM(BA119:BD119)</f>
        <v>0</v>
      </c>
    </row>
    <row r="108" spans="1:62" ht="14.4">
      <c r="B108" s="30" t="str">
        <f>ICPs!B14</f>
        <v>Equinix</v>
      </c>
      <c r="D108" s="7"/>
      <c r="AA108" s="2" t="s">
        <v>50</v>
      </c>
      <c r="AB108" s="15">
        <f>SUM(E120:H120)</f>
        <v>12.282921743650292</v>
      </c>
      <c r="AC108" s="15">
        <f>SUM(I120:L120)</f>
        <v>15.274938735233579</v>
      </c>
      <c r="AD108" s="15">
        <f>SUM(M120:P120)</f>
        <v>23.913355681767463</v>
      </c>
      <c r="AE108" s="15">
        <f>SUM(Q120:T120)</f>
        <v>30.264615535830949</v>
      </c>
      <c r="AF108" s="15">
        <f>SUM(U120:X120)</f>
        <v>40.127780439537247</v>
      </c>
      <c r="AG108" s="15">
        <f>SUM(Y120:AB120)</f>
        <v>44.225717122621973</v>
      </c>
      <c r="AH108" s="15">
        <f>SUM(AC120:AF120)</f>
        <v>51.432551036486977</v>
      </c>
      <c r="AI108" s="15">
        <f>SUM(AG120:AJ120)</f>
        <v>62.90483194330227</v>
      </c>
      <c r="AJ108" s="15">
        <f>SUM(AK120:AN120)</f>
        <v>96.244334378147371</v>
      </c>
      <c r="AK108" s="15">
        <f>SUM(AO120:AR120)</f>
        <v>20.252588296296295</v>
      </c>
      <c r="AL108" s="15">
        <f>SUM(AS120:AV120)</f>
        <v>0</v>
      </c>
      <c r="AM108" s="15">
        <f>SUM(AW120:AZ120)</f>
        <v>0</v>
      </c>
      <c r="AN108" s="15">
        <f>SUM(BA120:BD120)</f>
        <v>0</v>
      </c>
    </row>
    <row r="109" spans="1:62" ht="14.4">
      <c r="B109" s="30" t="str">
        <f>ICPs!B15</f>
        <v>Meta</v>
      </c>
      <c r="D109" s="7"/>
      <c r="AA109" s="2"/>
      <c r="AH109" s="5">
        <f t="shared" ref="AH109:AJ110" si="23">AH107/AG107-1</f>
        <v>7.6696715158660833E-2</v>
      </c>
      <c r="AI109" s="5">
        <f t="shared" si="23"/>
        <v>0.21916171173141219</v>
      </c>
      <c r="AJ109" s="5">
        <f t="shared" si="23"/>
        <v>0.22216444439171723</v>
      </c>
      <c r="AK109" s="5">
        <f t="shared" ref="AK109:AM110" si="24">AK107/AJ107-1</f>
        <v>-0.74844228035706872</v>
      </c>
      <c r="AL109" s="5">
        <f t="shared" si="24"/>
        <v>-1</v>
      </c>
      <c r="AM109" s="5" t="e">
        <f t="shared" si="24"/>
        <v>#DIV/0!</v>
      </c>
      <c r="AN109" s="5" t="e">
        <f>AN107/AM107-1</f>
        <v>#DIV/0!</v>
      </c>
    </row>
    <row r="110" spans="1:62" ht="14.4">
      <c r="B110" s="30" t="str">
        <f>ICPs!B16</f>
        <v>Microsoft</v>
      </c>
      <c r="D110" s="7"/>
      <c r="AH110" s="5">
        <f t="shared" si="23"/>
        <v>0.16295572763428701</v>
      </c>
      <c r="AI110" s="5">
        <f t="shared" si="23"/>
        <v>0.22305486847573808</v>
      </c>
      <c r="AJ110" s="5">
        <f t="shared" si="23"/>
        <v>0.52999907010155978</v>
      </c>
      <c r="AK110" s="5">
        <f t="shared" si="24"/>
        <v>-0.78957111161761306</v>
      </c>
      <c r="AL110" s="5">
        <f t="shared" si="24"/>
        <v>-1</v>
      </c>
      <c r="AM110" s="5" t="e">
        <f t="shared" si="24"/>
        <v>#DIV/0!</v>
      </c>
      <c r="AN110" s="5" t="e">
        <f>AN108/AM108-1</f>
        <v>#DIV/0!</v>
      </c>
    </row>
    <row r="111" spans="1:62" ht="14.4">
      <c r="B111" s="30" t="str">
        <f>ICPs!B17</f>
        <v>Oracle</v>
      </c>
      <c r="D111" s="7"/>
    </row>
    <row r="112" spans="1:62" ht="14.4">
      <c r="B112" s="30" t="str">
        <f>ICPs!B18</f>
        <v>PayPal</v>
      </c>
      <c r="D112" s="7"/>
    </row>
    <row r="113" spans="1:62" ht="14.4">
      <c r="B113" s="30" t="str">
        <f>ICPs!B19</f>
        <v>Tencent</v>
      </c>
      <c r="D113" s="7"/>
    </row>
    <row r="114" spans="1:62" ht="14.4">
      <c r="B114" s="30" t="str">
        <f>ICPs!B20</f>
        <v>JD.com</v>
      </c>
      <c r="D114" s="7"/>
      <c r="H114" s="1"/>
    </row>
    <row r="115" spans="1:62" ht="14.4">
      <c r="B115" s="30" t="str">
        <f>ICPs!B21</f>
        <v>NetEase</v>
      </c>
      <c r="D115" s="7"/>
      <c r="H115" s="1"/>
    </row>
    <row r="116" spans="1:62" ht="14.4">
      <c r="B116" s="30" t="str">
        <f>ICPs!B22</f>
        <v>VIPShop.com</v>
      </c>
      <c r="D116" s="7"/>
      <c r="G116" s="2" t="s">
        <v>509</v>
      </c>
      <c r="H116" s="5">
        <f>(AN107/AD107)^(1/10)-1</f>
        <v>-1</v>
      </c>
      <c r="I116" t="s">
        <v>24</v>
      </c>
      <c r="N116" s="2" t="s">
        <v>509</v>
      </c>
      <c r="O116" s="5">
        <f>(AN108/AD108)^(1/10)-1</f>
        <v>-1</v>
      </c>
      <c r="P116" t="s">
        <v>26</v>
      </c>
    </row>
    <row r="117" spans="1:62">
      <c r="D117" s="7"/>
    </row>
    <row r="118" spans="1:62">
      <c r="D118" s="7"/>
      <c r="E118" s="10" t="s">
        <v>86</v>
      </c>
      <c r="F118" s="10" t="s">
        <v>87</v>
      </c>
      <c r="G118" s="10" t="s">
        <v>88</v>
      </c>
      <c r="H118" s="10" t="s">
        <v>89</v>
      </c>
      <c r="I118" s="10" t="s">
        <v>90</v>
      </c>
      <c r="J118" s="10" t="s">
        <v>91</v>
      </c>
      <c r="K118" s="10" t="s">
        <v>92</v>
      </c>
      <c r="L118" s="10" t="s">
        <v>93</v>
      </c>
      <c r="M118" s="10" t="s">
        <v>72</v>
      </c>
      <c r="N118" s="10" t="s">
        <v>73</v>
      </c>
      <c r="O118" s="10" t="s">
        <v>74</v>
      </c>
      <c r="P118" s="10" t="s">
        <v>75</v>
      </c>
      <c r="Q118" s="10" t="s">
        <v>76</v>
      </c>
      <c r="R118" s="10" t="s">
        <v>77</v>
      </c>
      <c r="S118" s="10" t="s">
        <v>78</v>
      </c>
      <c r="T118" s="10" t="s">
        <v>79</v>
      </c>
      <c r="U118" s="10" t="s">
        <v>80</v>
      </c>
      <c r="V118" s="10" t="s">
        <v>81</v>
      </c>
      <c r="W118" s="10" t="s">
        <v>82</v>
      </c>
      <c r="X118" s="10" t="s">
        <v>83</v>
      </c>
      <c r="Y118" s="10" t="s">
        <v>84</v>
      </c>
      <c r="Z118" s="10" t="s">
        <v>85</v>
      </c>
      <c r="AA118" s="10" t="s">
        <v>94</v>
      </c>
      <c r="AB118" s="10" t="s">
        <v>95</v>
      </c>
      <c r="AC118" s="10" t="s">
        <v>96</v>
      </c>
      <c r="AD118" s="10" t="s">
        <v>97</v>
      </c>
      <c r="AE118" s="10" t="s">
        <v>98</v>
      </c>
      <c r="AF118" s="10" t="s">
        <v>99</v>
      </c>
      <c r="AG118" s="10" t="s">
        <v>100</v>
      </c>
      <c r="AH118" s="10" t="s">
        <v>101</v>
      </c>
      <c r="AI118" s="10" t="s">
        <v>102</v>
      </c>
      <c r="AJ118" s="10" t="s">
        <v>103</v>
      </c>
      <c r="AK118" s="10" t="s">
        <v>104</v>
      </c>
      <c r="AL118" s="10" t="s">
        <v>105</v>
      </c>
      <c r="AM118" s="10" t="s">
        <v>106</v>
      </c>
      <c r="AN118" s="10" t="s">
        <v>107</v>
      </c>
      <c r="AO118" s="10" t="s">
        <v>108</v>
      </c>
      <c r="AP118" s="10" t="s">
        <v>109</v>
      </c>
      <c r="AQ118" s="10" t="s">
        <v>110</v>
      </c>
      <c r="AR118" s="10" t="s">
        <v>111</v>
      </c>
      <c r="AS118" s="10" t="s">
        <v>112</v>
      </c>
      <c r="AT118" s="10" t="s">
        <v>113</v>
      </c>
      <c r="AU118" s="10" t="s">
        <v>114</v>
      </c>
      <c r="AV118" s="10" t="s">
        <v>115</v>
      </c>
      <c r="AW118" s="10" t="s">
        <v>463</v>
      </c>
      <c r="AX118" s="10" t="s">
        <v>464</v>
      </c>
      <c r="AY118" s="10" t="s">
        <v>465</v>
      </c>
      <c r="AZ118" s="10" t="s">
        <v>466</v>
      </c>
      <c r="BA118" s="10" t="s">
        <v>467</v>
      </c>
      <c r="BB118" s="10" t="s">
        <v>468</v>
      </c>
      <c r="BC118" s="10" t="s">
        <v>469</v>
      </c>
      <c r="BD118" s="10" t="s">
        <v>470</v>
      </c>
      <c r="BE118" s="10" t="s">
        <v>568</v>
      </c>
      <c r="BF118" s="10" t="s">
        <v>594</v>
      </c>
      <c r="BG118" s="10" t="s">
        <v>595</v>
      </c>
      <c r="BH118" s="21" t="s">
        <v>251</v>
      </c>
      <c r="BI118" s="21" t="s">
        <v>279</v>
      </c>
    </row>
    <row r="119" spans="1:62">
      <c r="B119" s="224"/>
      <c r="D119" s="2" t="s">
        <v>9</v>
      </c>
      <c r="E119" s="1363">
        <v>53.501341696083173</v>
      </c>
      <c r="F119" s="1363">
        <v>60.382184714208151</v>
      </c>
      <c r="G119" s="1363">
        <v>62.538742460725004</v>
      </c>
      <c r="H119" s="1363">
        <v>80.626334639251539</v>
      </c>
      <c r="I119" s="1363">
        <v>72.516456094288799</v>
      </c>
      <c r="J119" s="1363">
        <v>81.948929514353821</v>
      </c>
      <c r="K119" s="1363">
        <v>81.951138846865774</v>
      </c>
      <c r="L119" s="1363">
        <v>113.31525496836389</v>
      </c>
      <c r="M119" s="1363">
        <v>98.488891157205245</v>
      </c>
      <c r="N119" s="1363">
        <v>99.149912695202772</v>
      </c>
      <c r="O119" s="1363">
        <v>96.555889974683524</v>
      </c>
      <c r="P119" s="1363">
        <v>132.12932492620868</v>
      </c>
      <c r="Q119" s="1363">
        <v>114.42069219147987</v>
      </c>
      <c r="R119" s="1363">
        <v>112.56686624425633</v>
      </c>
      <c r="S119" s="1363">
        <v>113.92516220933855</v>
      </c>
      <c r="T119" s="1363">
        <v>155.03308129082831</v>
      </c>
      <c r="U119" s="1363">
        <v>132.66609034867719</v>
      </c>
      <c r="V119" s="1363">
        <v>130.49149758108217</v>
      </c>
      <c r="W119" s="1363">
        <v>135.27333782949265</v>
      </c>
      <c r="X119" s="1363">
        <v>187.11854985433868</v>
      </c>
      <c r="Y119" s="1363">
        <v>156.02661363694673</v>
      </c>
      <c r="Z119" s="1363">
        <v>154.36970656720507</v>
      </c>
      <c r="AA119" s="1363">
        <v>156.86957500895315</v>
      </c>
      <c r="AB119" s="1363">
        <v>205.19039225618414</v>
      </c>
      <c r="AC119" s="1363">
        <f>ICPs!C23/10^3</f>
        <v>163.39930527184882</v>
      </c>
      <c r="AD119" s="1363">
        <f>ICPs!D23/10^3</f>
        <v>163.33121217966382</v>
      </c>
      <c r="AE119" s="1363">
        <f>ICPs!E23/10^3</f>
        <v>169.10857217887155</v>
      </c>
      <c r="AF119" s="1363">
        <f>ICPs!F23/10^3</f>
        <v>228.19238617558759</v>
      </c>
      <c r="AG119" s="1363">
        <f>ICPs!G23/10^3</f>
        <v>188.35600610021788</v>
      </c>
      <c r="AH119" s="1363">
        <f>ICPs!H23/10^3</f>
        <v>195.07993838862561</v>
      </c>
      <c r="AI119" s="1363">
        <f>ICPs!I23/10^3</f>
        <v>212.08691124473302</v>
      </c>
      <c r="AJ119" s="1363">
        <f>ICPs!J23/10^3</f>
        <v>287.1885976574527</v>
      </c>
      <c r="AK119" s="1363">
        <f>ICPs!K23/10^3</f>
        <v>243.72466114112751</v>
      </c>
      <c r="AL119" s="1363">
        <f>ICPs!L23/10^3</f>
        <v>253.04329716323252</v>
      </c>
      <c r="AM119" s="1363">
        <f>ICPs!M23/10^3</f>
        <v>260.61329792624559</v>
      </c>
      <c r="AN119" s="1363">
        <f>ICPs!N23/10^3</f>
        <v>321.43729676124661</v>
      </c>
      <c r="AO119" s="1363">
        <f>ICPs!O23/10^3</f>
        <v>271.38513509911718</v>
      </c>
      <c r="AP119" s="1363">
        <f>ICPs!P23/10^3</f>
        <v>0</v>
      </c>
      <c r="AQ119" s="1363">
        <f>ICPs!Q23/10^3</f>
        <v>0</v>
      </c>
      <c r="AR119" s="1363">
        <f>ICPs!R23/10^3</f>
        <v>0</v>
      </c>
      <c r="AS119" s="1363">
        <f>ICPs!S23/10^3</f>
        <v>0</v>
      </c>
      <c r="AT119" s="1363">
        <f>ICPs!T23/10^3</f>
        <v>0</v>
      </c>
      <c r="AU119" s="1363">
        <f>ICPs!U23/10^3</f>
        <v>0</v>
      </c>
      <c r="AV119" s="1363">
        <f>ICPs!V23/10^3</f>
        <v>0</v>
      </c>
      <c r="AW119" s="1363">
        <f>ICPs!W23/10^3</f>
        <v>0</v>
      </c>
      <c r="AX119" s="1363">
        <f>ICPs!X23/10^3</f>
        <v>0</v>
      </c>
      <c r="AY119" s="1363">
        <f>ICPs!Y23/10^3</f>
        <v>0</v>
      </c>
      <c r="AZ119" s="1363">
        <f>ICPs!Z23/10^3</f>
        <v>0</v>
      </c>
      <c r="BA119" s="1363">
        <f>ICPs!AA23/10^3</f>
        <v>0</v>
      </c>
      <c r="BB119" s="1363">
        <f>ICPs!AB23/10^3</f>
        <v>0</v>
      </c>
      <c r="BC119" s="1363">
        <f>ICPs!AC23/10^3</f>
        <v>0</v>
      </c>
      <c r="BD119" s="1363">
        <f>ICPs!AD23/10^3</f>
        <v>0</v>
      </c>
      <c r="BE119" s="1363">
        <f>ICPs!AE23/10^3</f>
        <v>0</v>
      </c>
      <c r="BF119" s="1363">
        <f>ICPs!AF23/10^3</f>
        <v>0</v>
      </c>
      <c r="BG119" s="1363">
        <f>ICPs!AG23/10^3</f>
        <v>0</v>
      </c>
      <c r="BH119" s="223" t="e">
        <f>BG119/BC119-1</f>
        <v>#DIV/0!</v>
      </c>
      <c r="BI119" s="223" t="e">
        <f>BG119/BF119-1</f>
        <v>#DIV/0!</v>
      </c>
    </row>
    <row r="120" spans="1:62">
      <c r="B120" s="224"/>
      <c r="D120" s="2" t="s">
        <v>50</v>
      </c>
      <c r="E120" s="27">
        <v>1.4057760933746863</v>
      </c>
      <c r="F120" s="27">
        <v>2.5239091046132858</v>
      </c>
      <c r="G120" s="27">
        <v>3.0568355329374532</v>
      </c>
      <c r="H120" s="27">
        <v>5.296401012724866</v>
      </c>
      <c r="I120" s="27">
        <v>3.1482440007532757</v>
      </c>
      <c r="J120" s="27">
        <v>3.6319602908939683</v>
      </c>
      <c r="K120" s="27">
        <v>4.2122011728300599</v>
      </c>
      <c r="L120" s="27">
        <v>4.2825332707562751</v>
      </c>
      <c r="M120" s="27">
        <v>4.281497414185524</v>
      </c>
      <c r="N120" s="27">
        <v>5.4025956166333753</v>
      </c>
      <c r="O120" s="27">
        <v>6.7361447552742622</v>
      </c>
      <c r="P120" s="27">
        <v>7.4931178956743008</v>
      </c>
      <c r="Q120" s="27">
        <v>5.9112034146314265</v>
      </c>
      <c r="R120" s="27">
        <v>7.5698916748622871</v>
      </c>
      <c r="S120" s="27">
        <v>8.0945955499867459</v>
      </c>
      <c r="T120" s="27">
        <v>8.6889248963504908</v>
      </c>
      <c r="U120" s="27">
        <v>7.4759670439120658</v>
      </c>
      <c r="V120" s="27">
        <v>9.283903204348178</v>
      </c>
      <c r="W120" s="27">
        <v>11.345373128936847</v>
      </c>
      <c r="X120" s="27">
        <v>12.022537062340156</v>
      </c>
      <c r="Y120" s="27">
        <v>9.615961186016678</v>
      </c>
      <c r="Z120" s="27">
        <v>10.567655463584487</v>
      </c>
      <c r="AA120" s="27">
        <v>11.874437456033768</v>
      </c>
      <c r="AB120" s="27">
        <v>12.167663016987044</v>
      </c>
      <c r="AC120" s="27">
        <f>ICPs!C44/10^3</f>
        <v>10.852160571218885</v>
      </c>
      <c r="AD120" s="27">
        <f>ICPs!D44/10^3</f>
        <v>11.98731732035149</v>
      </c>
      <c r="AE120" s="27">
        <f>ICPs!E44/10^3</f>
        <v>13.848835684273709</v>
      </c>
      <c r="AF120" s="27">
        <f>ICPs!F44/10^3</f>
        <v>14.744237460642893</v>
      </c>
      <c r="AG120" s="27">
        <f>ICPs!G44/10^3</f>
        <v>12.131564705882353</v>
      </c>
      <c r="AH120" s="27">
        <f>ICPs!H44/10^3</f>
        <v>14.69336208530806</v>
      </c>
      <c r="AI120" s="27">
        <f>ICPs!I44/10^3</f>
        <v>16.52934557531173</v>
      </c>
      <c r="AJ120" s="27">
        <f>ICPs!J44/10^3</f>
        <v>19.550559576800129</v>
      </c>
      <c r="AK120" s="27">
        <f>ICPs!K44/10^3</f>
        <v>23.785373360018106</v>
      </c>
      <c r="AL120" s="27">
        <f>ICPs!L44/10^3</f>
        <v>23.383631448447723</v>
      </c>
      <c r="AM120" s="27">
        <f>ICPs!M44/10^3</f>
        <v>23.568846238632418</v>
      </c>
      <c r="AN120" s="27">
        <f>ICPs!N44/10^3</f>
        <v>25.506483331049125</v>
      </c>
      <c r="AO120" s="27">
        <f>ICPs!O44/10^3</f>
        <v>20.252588296296295</v>
      </c>
      <c r="AP120" s="27">
        <f>ICPs!P44/10^3</f>
        <v>0</v>
      </c>
      <c r="AQ120" s="27">
        <f>ICPs!Q44/10^3</f>
        <v>0</v>
      </c>
      <c r="AR120" s="27">
        <f>ICPs!R44/10^3</f>
        <v>0</v>
      </c>
      <c r="AS120" s="27">
        <f>ICPs!S44/10^3</f>
        <v>0</v>
      </c>
      <c r="AT120" s="27">
        <f>ICPs!T44/10^3</f>
        <v>0</v>
      </c>
      <c r="AU120" s="27">
        <f>ICPs!U44/10^3</f>
        <v>0</v>
      </c>
      <c r="AV120" s="27">
        <f>ICPs!V44/10^3</f>
        <v>0</v>
      </c>
      <c r="AW120" s="27">
        <f>ICPs!W44/10^3</f>
        <v>0</v>
      </c>
      <c r="AX120" s="27">
        <f>ICPs!X44/10^3</f>
        <v>0</v>
      </c>
      <c r="AY120" s="27">
        <f>ICPs!Y44/10^3</f>
        <v>0</v>
      </c>
      <c r="AZ120" s="27">
        <f>ICPs!Z44/10^3</f>
        <v>0</v>
      </c>
      <c r="BA120" s="27">
        <f>ICPs!AA44/10^3</f>
        <v>0</v>
      </c>
      <c r="BB120" s="27">
        <f>ICPs!AB44/10^3</f>
        <v>0</v>
      </c>
      <c r="BC120" s="27">
        <f>ICPs!AC44/10^3</f>
        <v>0</v>
      </c>
      <c r="BD120" s="27">
        <f>ICPs!AD44/10^3</f>
        <v>0</v>
      </c>
      <c r="BE120" s="27">
        <f>ICPs!AE44/10^3</f>
        <v>0</v>
      </c>
      <c r="BF120" s="27">
        <f>ICPs!AF44/10^3</f>
        <v>0</v>
      </c>
      <c r="BG120" s="27">
        <f>ICPs!AG44/10^3</f>
        <v>0</v>
      </c>
      <c r="BH120" s="223" t="e">
        <f>BG120/BC120-1</f>
        <v>#DIV/0!</v>
      </c>
      <c r="BI120" s="223" t="e">
        <f>BG120/BF120-1</f>
        <v>#DIV/0!</v>
      </c>
    </row>
    <row r="121" spans="1:62">
      <c r="D121" s="2" t="s">
        <v>51</v>
      </c>
      <c r="E121" s="26">
        <f>E120/E119</f>
        <v>2.6275529712138097E-2</v>
      </c>
      <c r="F121" s="26">
        <f t="shared" ref="F121:X121" si="25">F120/F119</f>
        <v>4.1798903377860068E-2</v>
      </c>
      <c r="G121" s="26">
        <f t="shared" si="25"/>
        <v>4.8879069400175078E-2</v>
      </c>
      <c r="H121" s="26">
        <f t="shared" si="25"/>
        <v>6.569070808468086E-2</v>
      </c>
      <c r="I121" s="26">
        <f t="shared" si="25"/>
        <v>4.3414201000939741E-2</v>
      </c>
      <c r="J121" s="26">
        <f t="shared" si="25"/>
        <v>4.4319801520504423E-2</v>
      </c>
      <c r="K121" s="26">
        <f t="shared" si="25"/>
        <v>5.1398933951375535E-2</v>
      </c>
      <c r="L121" s="26">
        <f t="shared" si="25"/>
        <v>3.7793086835059421E-2</v>
      </c>
      <c r="M121" s="26">
        <f t="shared" si="25"/>
        <v>4.3471881588670908E-2</v>
      </c>
      <c r="N121" s="26">
        <f t="shared" si="25"/>
        <v>5.4489161611685134E-2</v>
      </c>
      <c r="O121" s="26">
        <f t="shared" si="25"/>
        <v>6.976420347883952E-2</v>
      </c>
      <c r="P121" s="26">
        <f t="shared" si="25"/>
        <v>5.6710483458982643E-2</v>
      </c>
      <c r="Q121" s="26">
        <f t="shared" si="25"/>
        <v>5.166201411139159E-2</v>
      </c>
      <c r="R121" s="26">
        <f t="shared" si="25"/>
        <v>6.7247956058726452E-2</v>
      </c>
      <c r="S121" s="26">
        <f t="shared" si="25"/>
        <v>7.1051867673559685E-2</v>
      </c>
      <c r="T121" s="26">
        <f t="shared" si="25"/>
        <v>5.6045618290014108E-2</v>
      </c>
      <c r="U121" s="26">
        <f t="shared" si="25"/>
        <v>5.6351755179213425E-2</v>
      </c>
      <c r="V121" s="26">
        <f t="shared" si="25"/>
        <v>7.1145656049962439E-2</v>
      </c>
      <c r="W121" s="26">
        <f t="shared" si="25"/>
        <v>8.3869987323276496E-2</v>
      </c>
      <c r="X121" s="26">
        <f t="shared" si="25"/>
        <v>6.4250909766557229E-2</v>
      </c>
      <c r="Y121" s="26">
        <f t="shared" ref="Y121:AD121" si="26">Y120/Y119</f>
        <v>6.1630262696027914E-2</v>
      </c>
      <c r="Z121" s="26">
        <f t="shared" si="26"/>
        <v>6.845679569251395E-2</v>
      </c>
      <c r="AA121" s="26">
        <f t="shared" si="26"/>
        <v>7.5696242916168083E-2</v>
      </c>
      <c r="AB121" s="26">
        <f t="shared" si="26"/>
        <v>5.9299379874450865E-2</v>
      </c>
      <c r="AC121" s="26">
        <f t="shared" si="26"/>
        <v>6.6414973755023338E-2</v>
      </c>
      <c r="AD121" s="26">
        <f t="shared" si="26"/>
        <v>7.3392691821606501E-2</v>
      </c>
      <c r="AE121" s="26">
        <f t="shared" ref="AE121:AJ121" si="27">AE120/AE119</f>
        <v>8.1893161924549582E-2</v>
      </c>
      <c r="AF121" s="26">
        <f t="shared" si="27"/>
        <v>6.4613187616600051E-2</v>
      </c>
      <c r="AG121" s="26">
        <f t="shared" si="27"/>
        <v>6.4407634017401891E-2</v>
      </c>
      <c r="AH121" s="26">
        <f t="shared" si="27"/>
        <v>7.53196982051373E-2</v>
      </c>
      <c r="AI121" s="26">
        <f t="shared" si="27"/>
        <v>7.7936660392201457E-2</v>
      </c>
      <c r="AJ121" s="26">
        <f t="shared" si="27"/>
        <v>6.8075681751541092E-2</v>
      </c>
      <c r="AK121" s="26">
        <f t="shared" ref="AK121:AP121" si="28">AK120/AK119</f>
        <v>9.7591163933326008E-2</v>
      </c>
      <c r="AL121" s="26">
        <f t="shared" si="28"/>
        <v>9.2409606223884555E-2</v>
      </c>
      <c r="AM121" s="26">
        <f t="shared" si="28"/>
        <v>9.0436084521298976E-2</v>
      </c>
      <c r="AN121" s="26">
        <f t="shared" si="28"/>
        <v>7.9351349666166859E-2</v>
      </c>
      <c r="AO121" s="26">
        <f t="shared" si="28"/>
        <v>7.4626741397974886E-2</v>
      </c>
      <c r="AP121" s="26" t="e">
        <f t="shared" si="28"/>
        <v>#DIV/0!</v>
      </c>
      <c r="AQ121" s="26" t="e">
        <f>AQ120/AQ119</f>
        <v>#DIV/0!</v>
      </c>
      <c r="AR121" s="26" t="e">
        <f>AR120/AR119</f>
        <v>#DIV/0!</v>
      </c>
      <c r="AS121" s="26" t="e">
        <f t="shared" ref="AS121:AX121" si="29">AS120/AS119</f>
        <v>#DIV/0!</v>
      </c>
      <c r="AT121" s="26" t="e">
        <f t="shared" si="29"/>
        <v>#DIV/0!</v>
      </c>
      <c r="AU121" s="26" t="e">
        <f t="shared" si="29"/>
        <v>#DIV/0!</v>
      </c>
      <c r="AV121" s="26" t="e">
        <f t="shared" si="29"/>
        <v>#DIV/0!</v>
      </c>
      <c r="AW121" s="26" t="e">
        <f t="shared" si="29"/>
        <v>#DIV/0!</v>
      </c>
      <c r="AX121" s="26" t="e">
        <f t="shared" si="29"/>
        <v>#DIV/0!</v>
      </c>
      <c r="AY121" s="26" t="e">
        <f t="shared" ref="AY121:BD121" si="30">AY120/AY119</f>
        <v>#DIV/0!</v>
      </c>
      <c r="AZ121" s="26" t="e">
        <f t="shared" si="30"/>
        <v>#DIV/0!</v>
      </c>
      <c r="BA121" s="26" t="e">
        <f t="shared" si="30"/>
        <v>#DIV/0!</v>
      </c>
      <c r="BB121" s="26" t="e">
        <f t="shared" si="30"/>
        <v>#DIV/0!</v>
      </c>
      <c r="BC121" s="26" t="e">
        <f t="shared" si="30"/>
        <v>#DIV/0!</v>
      </c>
      <c r="BD121" s="26" t="e">
        <f t="shared" si="30"/>
        <v>#DIV/0!</v>
      </c>
      <c r="BE121" s="26" t="e">
        <f>BE120/BE119</f>
        <v>#DIV/0!</v>
      </c>
      <c r="BF121" s="26" t="e">
        <f>BF120/BF119</f>
        <v>#DIV/0!</v>
      </c>
      <c r="BG121" s="26" t="e">
        <f>BG120/BG119</f>
        <v>#DIV/0!</v>
      </c>
    </row>
    <row r="122" spans="1:62">
      <c r="D122" s="2" t="s">
        <v>135</v>
      </c>
      <c r="E122" s="26"/>
      <c r="F122" s="26"/>
      <c r="G122" s="26"/>
      <c r="H122" s="26"/>
      <c r="I122" s="26">
        <f>I120/E120-1</f>
        <v>1.2395060035454475</v>
      </c>
      <c r="J122" s="26">
        <f t="shared" ref="J122:AB122" si="31">J120/F120-1</f>
        <v>0.43902182699660197</v>
      </c>
      <c r="K122" s="26">
        <f t="shared" si="31"/>
        <v>0.37796133532325271</v>
      </c>
      <c r="L122" s="26">
        <f t="shared" si="31"/>
        <v>-0.19142578885789108</v>
      </c>
      <c r="M122" s="26">
        <f t="shared" si="31"/>
        <v>0.35996365375780792</v>
      </c>
      <c r="N122" s="26">
        <f t="shared" si="31"/>
        <v>0.48751505631235403</v>
      </c>
      <c r="O122" s="26">
        <f t="shared" si="31"/>
        <v>0.5991982526201225</v>
      </c>
      <c r="P122" s="26">
        <f t="shared" si="31"/>
        <v>0.74969286212948716</v>
      </c>
      <c r="Q122" s="26">
        <f t="shared" si="31"/>
        <v>0.38063925836935808</v>
      </c>
      <c r="R122" s="26">
        <f t="shared" si="31"/>
        <v>0.40115829723703467</v>
      </c>
      <c r="S122" s="26">
        <f t="shared" si="31"/>
        <v>0.2016659148615898</v>
      </c>
      <c r="T122" s="26">
        <f t="shared" si="31"/>
        <v>0.15958737301684756</v>
      </c>
      <c r="U122" s="26">
        <f t="shared" si="31"/>
        <v>0.2647115180315962</v>
      </c>
      <c r="V122" s="26">
        <f t="shared" si="31"/>
        <v>0.2264248424026587</v>
      </c>
      <c r="W122" s="26">
        <f t="shared" si="31"/>
        <v>0.40159851827994353</v>
      </c>
      <c r="X122" s="26">
        <f t="shared" si="31"/>
        <v>0.38366221434251835</v>
      </c>
      <c r="Y122" s="26">
        <f t="shared" si="31"/>
        <v>0.28624980949418211</v>
      </c>
      <c r="Z122" s="26">
        <f t="shared" si="31"/>
        <v>0.13827721282521077</v>
      </c>
      <c r="AA122" s="26">
        <f t="shared" si="31"/>
        <v>4.6632607062302656E-2</v>
      </c>
      <c r="AB122" s="26">
        <f t="shared" si="31"/>
        <v>1.207115884894927E-2</v>
      </c>
      <c r="AC122" s="26">
        <f t="shared" ref="AC122:AO122" si="32">AC120/Y120-1</f>
        <v>0.12855702735155194</v>
      </c>
      <c r="AD122" s="26">
        <f t="shared" si="32"/>
        <v>0.13434028594697045</v>
      </c>
      <c r="AE122" s="26">
        <f t="shared" si="32"/>
        <v>0.16627299066169132</v>
      </c>
      <c r="AF122" s="26">
        <f t="shared" si="32"/>
        <v>0.21175590087091845</v>
      </c>
      <c r="AG122" s="26">
        <f t="shared" si="32"/>
        <v>0.11789395542640491</v>
      </c>
      <c r="AH122" s="26">
        <f t="shared" si="32"/>
        <v>0.2257423152019491</v>
      </c>
      <c r="AI122" s="26">
        <f t="shared" si="32"/>
        <v>0.19355489169980711</v>
      </c>
      <c r="AJ122" s="26">
        <f t="shared" si="32"/>
        <v>0.32597970081442695</v>
      </c>
      <c r="AK122" s="26">
        <f t="shared" si="32"/>
        <v>0.96061876078401132</v>
      </c>
      <c r="AL122" s="26">
        <f t="shared" si="32"/>
        <v>0.59144185739689159</v>
      </c>
      <c r="AM122" s="26">
        <f t="shared" si="32"/>
        <v>0.42587896969344641</v>
      </c>
      <c r="AN122" s="26">
        <f t="shared" si="32"/>
        <v>0.30464211169263167</v>
      </c>
      <c r="AO122" s="26">
        <f t="shared" si="32"/>
        <v>-0.14852762705252409</v>
      </c>
      <c r="AP122" s="26">
        <f>AP120/AL120-1</f>
        <v>-1</v>
      </c>
      <c r="AQ122" s="26">
        <f>AQ120/AM120-1</f>
        <v>-1</v>
      </c>
      <c r="AR122" s="26">
        <f>AR120/AN120-1</f>
        <v>-1</v>
      </c>
      <c r="AS122" s="26">
        <f>AS120/AO120-1</f>
        <v>-1</v>
      </c>
      <c r="AT122" s="26" t="e">
        <f>AT120/AP120-1</f>
        <v>#DIV/0!</v>
      </c>
      <c r="AU122" s="26" t="e">
        <f t="shared" ref="AU122:BC122" si="33">AU120/AQ120-1</f>
        <v>#DIV/0!</v>
      </c>
      <c r="AV122" s="26" t="e">
        <f t="shared" si="33"/>
        <v>#DIV/0!</v>
      </c>
      <c r="AW122" s="26" t="e">
        <f t="shared" si="33"/>
        <v>#DIV/0!</v>
      </c>
      <c r="AX122" s="26" t="e">
        <f t="shared" si="33"/>
        <v>#DIV/0!</v>
      </c>
      <c r="AY122" s="26" t="e">
        <f t="shared" si="33"/>
        <v>#DIV/0!</v>
      </c>
      <c r="AZ122" s="26" t="e">
        <f t="shared" si="33"/>
        <v>#DIV/0!</v>
      </c>
      <c r="BA122" s="26" t="e">
        <f t="shared" si="33"/>
        <v>#DIV/0!</v>
      </c>
      <c r="BB122" s="26" t="e">
        <f t="shared" si="33"/>
        <v>#DIV/0!</v>
      </c>
      <c r="BC122" s="26" t="e">
        <f t="shared" si="33"/>
        <v>#DIV/0!</v>
      </c>
      <c r="BD122" s="26" t="e">
        <f>BD120/AZ120-1</f>
        <v>#DIV/0!</v>
      </c>
      <c r="BE122" s="26" t="e">
        <f>BE120/BA120-1</f>
        <v>#DIV/0!</v>
      </c>
      <c r="BF122" s="26" t="e">
        <f>BF120/BB120-1</f>
        <v>#DIV/0!</v>
      </c>
      <c r="BG122" s="26" t="e">
        <f>BG120/BC120-1</f>
        <v>#DIV/0!</v>
      </c>
    </row>
    <row r="123" spans="1:62">
      <c r="D123" s="2" t="s">
        <v>301</v>
      </c>
      <c r="I123" s="26">
        <f t="shared" ref="I123:U123" si="34">I119/E119-1</f>
        <v>0.35541378581161309</v>
      </c>
      <c r="J123" s="26">
        <f t="shared" si="34"/>
        <v>0.35717066055529689</v>
      </c>
      <c r="K123" s="26">
        <f t="shared" si="34"/>
        <v>0.31040592794669575</v>
      </c>
      <c r="L123" s="26">
        <f t="shared" si="34"/>
        <v>0.40543726160159976</v>
      </c>
      <c r="M123" s="26">
        <f t="shared" si="34"/>
        <v>0.35815918843505057</v>
      </c>
      <c r="N123" s="26">
        <f t="shared" si="34"/>
        <v>0.2098988148202241</v>
      </c>
      <c r="O123" s="26">
        <f t="shared" si="34"/>
        <v>0.17821291239293502</v>
      </c>
      <c r="P123" s="26">
        <f t="shared" si="34"/>
        <v>0.16603298437705871</v>
      </c>
      <c r="Q123" s="26">
        <f t="shared" si="34"/>
        <v>0.16176241652314594</v>
      </c>
      <c r="R123" s="26">
        <f t="shared" si="34"/>
        <v>0.13531987254793343</v>
      </c>
      <c r="S123" s="26">
        <f t="shared" si="34"/>
        <v>0.17988827236960026</v>
      </c>
      <c r="T123" s="26">
        <f t="shared" si="34"/>
        <v>0.17334347524602034</v>
      </c>
      <c r="U123" s="26">
        <f t="shared" si="34"/>
        <v>0.15945890387259798</v>
      </c>
      <c r="V123" s="26">
        <f t="shared" ref="V123:AA123" si="35">V119/R119-1</f>
        <v>0.15923541211435688</v>
      </c>
      <c r="W123" s="26">
        <f t="shared" si="35"/>
        <v>0.18738771318075131</v>
      </c>
      <c r="X123" s="26">
        <f t="shared" si="35"/>
        <v>0.20695885224212818</v>
      </c>
      <c r="Y123" s="26">
        <f t="shared" si="35"/>
        <v>0.17608511132628313</v>
      </c>
      <c r="Z123" s="26">
        <f t="shared" si="35"/>
        <v>0.18298670356883551</v>
      </c>
      <c r="AA123" s="26">
        <f t="shared" si="35"/>
        <v>0.15964888222601425</v>
      </c>
      <c r="AB123" s="26">
        <f t="shared" ref="AB123:AN123" si="36">AB119/X119-1</f>
        <v>9.6579641173541564E-2</v>
      </c>
      <c r="AC123" s="26">
        <f t="shared" si="36"/>
        <v>4.7252782477593014E-2</v>
      </c>
      <c r="AD123" s="26">
        <f t="shared" si="36"/>
        <v>5.8052229363779739E-2</v>
      </c>
      <c r="AE123" s="26">
        <f t="shared" si="36"/>
        <v>7.8020209905074855E-2</v>
      </c>
      <c r="AF123" s="26">
        <f t="shared" si="36"/>
        <v>0.11210073564597023</v>
      </c>
      <c r="AG123" s="26">
        <f t="shared" si="36"/>
        <v>0.15273443658067198</v>
      </c>
      <c r="AH123" s="26">
        <f t="shared" si="36"/>
        <v>0.19438248075963749</v>
      </c>
      <c r="AI123" s="26">
        <f t="shared" si="36"/>
        <v>0.2541464250576364</v>
      </c>
      <c r="AJ123" s="26">
        <f t="shared" si="36"/>
        <v>0.25853716011571559</v>
      </c>
      <c r="AK123" s="26">
        <f t="shared" si="36"/>
        <v>0.29395747015069884</v>
      </c>
      <c r="AL123" s="26">
        <f t="shared" si="36"/>
        <v>0.29712618967069826</v>
      </c>
      <c r="AM123" s="26">
        <f t="shared" si="36"/>
        <v>0.22880425009121197</v>
      </c>
      <c r="AN123" s="26">
        <f t="shared" si="36"/>
        <v>0.11925507970425908</v>
      </c>
      <c r="AO123" s="26">
        <f t="shared" ref="AO123:AU123" si="37">AO119/AK119-1</f>
        <v>0.11349066536181596</v>
      </c>
      <c r="AP123" s="26">
        <f t="shared" si="37"/>
        <v>-1</v>
      </c>
      <c r="AQ123" s="26">
        <f t="shared" si="37"/>
        <v>-1</v>
      </c>
      <c r="AR123" s="26">
        <f t="shared" si="37"/>
        <v>-1</v>
      </c>
      <c r="AS123" s="26">
        <f t="shared" si="37"/>
        <v>-1</v>
      </c>
      <c r="AT123" s="26" t="e">
        <f t="shared" si="37"/>
        <v>#DIV/0!</v>
      </c>
      <c r="AU123" s="26" t="e">
        <f t="shared" si="37"/>
        <v>#DIV/0!</v>
      </c>
      <c r="AV123" s="26" t="e">
        <f t="shared" ref="AV123:BC123" si="38">AV119/AR119-1</f>
        <v>#DIV/0!</v>
      </c>
      <c r="AW123" s="26" t="e">
        <f t="shared" si="38"/>
        <v>#DIV/0!</v>
      </c>
      <c r="AX123" s="26" t="e">
        <f t="shared" si="38"/>
        <v>#DIV/0!</v>
      </c>
      <c r="AY123" s="26" t="e">
        <f t="shared" si="38"/>
        <v>#DIV/0!</v>
      </c>
      <c r="AZ123" s="26" t="e">
        <f t="shared" si="38"/>
        <v>#DIV/0!</v>
      </c>
      <c r="BA123" s="26" t="e">
        <f t="shared" si="38"/>
        <v>#DIV/0!</v>
      </c>
      <c r="BB123" s="26" t="e">
        <f t="shared" si="38"/>
        <v>#DIV/0!</v>
      </c>
      <c r="BC123" s="26" t="e">
        <f t="shared" si="38"/>
        <v>#DIV/0!</v>
      </c>
      <c r="BD123" s="26" t="e">
        <f>BD119/AZ119-1</f>
        <v>#DIV/0!</v>
      </c>
      <c r="BE123" s="26" t="e">
        <f>BE119/BA119-1</f>
        <v>#DIV/0!</v>
      </c>
      <c r="BF123" s="26" t="e">
        <f>BF119/BB119-1</f>
        <v>#DIV/0!</v>
      </c>
      <c r="BG123" s="26" t="e">
        <f>BG119/BC119-1</f>
        <v>#DIV/0!</v>
      </c>
    </row>
    <row r="124" spans="1:62">
      <c r="D124" s="2" t="s">
        <v>390</v>
      </c>
      <c r="E124" s="5">
        <v>0.27936544709601208</v>
      </c>
      <c r="F124" s="5">
        <v>0.28723305577438885</v>
      </c>
      <c r="G124" s="5">
        <v>0.29513465541640344</v>
      </c>
      <c r="H124" s="5">
        <v>0.28716831396694231</v>
      </c>
      <c r="I124" s="5">
        <v>0.3148402076532768</v>
      </c>
      <c r="J124" s="5">
        <v>0.74536484636771672</v>
      </c>
      <c r="K124" s="5">
        <v>0.25952194232530545</v>
      </c>
      <c r="L124" s="5">
        <v>0.50092628333336942</v>
      </c>
      <c r="M124" s="5">
        <v>0.577896861833191</v>
      </c>
      <c r="N124" s="5">
        <v>-0.30111533376974753</v>
      </c>
      <c r="O124" s="5">
        <v>2.0650347084835818E-2</v>
      </c>
      <c r="P124" s="5">
        <v>2.6208416914312638E-2</v>
      </c>
      <c r="Q124" s="5">
        <v>-8.7936103822405798E-4</v>
      </c>
      <c r="R124" s="5">
        <v>0.28529490620742326</v>
      </c>
      <c r="S124" s="5">
        <v>0.12838763101334827</v>
      </c>
      <c r="T124" s="5">
        <v>6.8637032492398387E-2</v>
      </c>
      <c r="U124" s="5">
        <v>5.7249618668960833E-2</v>
      </c>
      <c r="V124" s="5">
        <v>0.14257785991620198</v>
      </c>
      <c r="W124" s="5">
        <v>5.6210412817429889E-2</v>
      </c>
      <c r="X124" s="5">
        <v>0.2194213144171806</v>
      </c>
      <c r="Y124" s="5">
        <v>0.14403426789945839</v>
      </c>
      <c r="Z124" s="5">
        <v>-0.13919827787207095</v>
      </c>
      <c r="AA124" s="5">
        <v>0.20855862490534638</v>
      </c>
      <c r="AB124" s="5">
        <v>2.6768695820512001E-2</v>
      </c>
      <c r="AC124" s="5">
        <v>-2.2088126167204569E-3</v>
      </c>
      <c r="AD124" s="5">
        <v>0.23157505792974531</v>
      </c>
      <c r="AE124" s="5">
        <v>1.8276222300873224E-2</v>
      </c>
      <c r="AF124" s="5">
        <v>0.13773365771403068</v>
      </c>
      <c r="AG124" s="5">
        <v>8.2468228241937336E-2</v>
      </c>
      <c r="AH124" s="5">
        <v>0.14523361177611083</v>
      </c>
      <c r="AI124" s="5">
        <v>0.31201420738432928</v>
      </c>
      <c r="AJ124" s="5">
        <v>0.21726946428303107</v>
      </c>
      <c r="AK124" s="5">
        <v>0.20634287983276611</v>
      </c>
      <c r="AL124" s="5">
        <v>0.18062346581477515</v>
      </c>
      <c r="AM124" s="351">
        <v>0.21101552986999755</v>
      </c>
      <c r="AN124" s="351">
        <v>0.20156501274433677</v>
      </c>
      <c r="AO124" s="351">
        <v>0.18516505205271644</v>
      </c>
      <c r="AP124" s="351">
        <v>0.19195344961995692</v>
      </c>
      <c r="AQ124" s="351">
        <v>0.20001417065276783</v>
      </c>
      <c r="AR124" s="351">
        <v>0.20632050593185114</v>
      </c>
      <c r="AS124" s="351">
        <v>0.18108955950126973</v>
      </c>
      <c r="AT124" s="351">
        <v>0.18778110981737037</v>
      </c>
      <c r="AU124" s="351">
        <v>0.19863784554242064</v>
      </c>
      <c r="AW124" s="351"/>
      <c r="AX124" s="351"/>
      <c r="AY124" s="351"/>
      <c r="AZ124" s="351"/>
      <c r="BA124" s="351"/>
      <c r="BB124" s="351"/>
      <c r="BC124" s="351"/>
      <c r="BD124" s="351"/>
    </row>
    <row r="125" spans="1:62">
      <c r="D125" s="2" t="s">
        <v>391</v>
      </c>
      <c r="E125" s="5">
        <v>0.21616863067907766</v>
      </c>
      <c r="F125" s="5">
        <v>0.22002459674929095</v>
      </c>
      <c r="G125" s="5">
        <v>0.23421381930370072</v>
      </c>
      <c r="H125" s="5">
        <v>0.230024605213419</v>
      </c>
      <c r="I125" s="5">
        <v>0.36637290978432691</v>
      </c>
      <c r="J125" s="5">
        <v>0.49916723362995841</v>
      </c>
      <c r="K125" s="5">
        <v>0.27135692214699203</v>
      </c>
      <c r="L125" s="5">
        <v>0.52283463131837427</v>
      </c>
      <c r="M125" s="5">
        <v>0.54420602104717819</v>
      </c>
      <c r="N125" s="5">
        <v>-0.17458834264302603</v>
      </c>
      <c r="O125" s="5">
        <v>-1.1526942758167014E-2</v>
      </c>
      <c r="P125" s="5">
        <v>-1.8674290372914792E-2</v>
      </c>
      <c r="Q125" s="5">
        <v>1.9402211797112656E-2</v>
      </c>
      <c r="R125" s="5">
        <v>0.31700197352579673</v>
      </c>
      <c r="S125" s="5">
        <v>0.17482901957246844</v>
      </c>
      <c r="T125" s="5">
        <v>7.5999884188197253E-2</v>
      </c>
      <c r="U125" s="5">
        <v>-6.0635830571521221E-2</v>
      </c>
      <c r="V125" s="5">
        <v>8.075221477466199E-2</v>
      </c>
      <c r="W125" s="5">
        <v>5.2051244983615241E-3</v>
      </c>
      <c r="X125" s="5">
        <v>0.2133659959225469</v>
      </c>
      <c r="Y125" s="5">
        <v>0.22084485561057154</v>
      </c>
      <c r="Z125" s="5">
        <v>-4.2991683546187653E-2</v>
      </c>
      <c r="AA125" s="5">
        <v>0.35720752049574456</v>
      </c>
      <c r="AB125" s="5">
        <v>0.14069719572316641</v>
      </c>
      <c r="AC125" s="5">
        <v>-4.4505181803646821E-3</v>
      </c>
      <c r="AD125" s="5">
        <v>0.1823273917668895</v>
      </c>
      <c r="AE125" s="5">
        <v>-3.9307018891714618E-2</v>
      </c>
      <c r="AF125" s="5">
        <v>2.8813951621690759E-2</v>
      </c>
      <c r="AG125" s="5">
        <v>0.2039759470537037</v>
      </c>
      <c r="AH125" s="5">
        <v>0.24273845290274121</v>
      </c>
      <c r="AI125" s="5">
        <v>0.42823323169533034</v>
      </c>
      <c r="AJ125" s="5">
        <v>-0.3289675680438463</v>
      </c>
      <c r="AK125" s="5">
        <v>0.42368975799052033</v>
      </c>
      <c r="AL125" s="5">
        <v>0.26917180569662014</v>
      </c>
      <c r="AM125" s="26">
        <v>0.30866727072841682</v>
      </c>
      <c r="AN125" s="1251">
        <v>0.17956558213522206</v>
      </c>
      <c r="AO125" s="1251">
        <v>0.16461382045236089</v>
      </c>
      <c r="AP125" s="1251">
        <v>0.18097571418434236</v>
      </c>
      <c r="AQ125" s="1251">
        <v>0.19001698230898156</v>
      </c>
      <c r="AR125" s="1251">
        <v>0.19045890682906327</v>
      </c>
      <c r="AS125" s="1251">
        <v>0.14663426538635949</v>
      </c>
      <c r="AT125" s="1251">
        <v>0.17515790285567442</v>
      </c>
      <c r="AU125" s="1251">
        <v>0.19183092768690335</v>
      </c>
      <c r="AV125" s="1251"/>
      <c r="AW125" s="1251"/>
      <c r="AX125" s="1251"/>
      <c r="AY125" s="1251"/>
      <c r="AZ125" s="1251"/>
      <c r="BA125" s="1251"/>
      <c r="BB125" s="1916">
        <f>BB120+BA120</f>
        <v>0</v>
      </c>
      <c r="BC125" s="351"/>
      <c r="BD125" s="351"/>
      <c r="BF125" s="1916">
        <f>BF120+BE120</f>
        <v>0</v>
      </c>
      <c r="BG125" s="1916"/>
    </row>
    <row r="126" spans="1:62">
      <c r="D126" s="2" t="s">
        <v>389</v>
      </c>
      <c r="E126" s="4">
        <v>103.81819099760973</v>
      </c>
      <c r="F126" s="4">
        <v>104.04922394095465</v>
      </c>
      <c r="G126" s="4">
        <v>92.404022991140749</v>
      </c>
      <c r="H126" s="4">
        <v>124.74860095662115</v>
      </c>
      <c r="I126" s="4">
        <v>137.78087105747721</v>
      </c>
      <c r="J126" s="4">
        <v>136.73322943749614</v>
      </c>
      <c r="K126" s="4">
        <v>142.23344841802793</v>
      </c>
      <c r="L126" s="4">
        <v>152.80350240025183</v>
      </c>
      <c r="M126" s="4">
        <v>160.39930055061529</v>
      </c>
      <c r="N126" s="4">
        <v>162.95862414788039</v>
      </c>
      <c r="O126" s="4">
        <v>187.69013924050631</v>
      </c>
      <c r="P126" s="4">
        <v>195.74355890585241</v>
      </c>
      <c r="Q126" s="4">
        <v>216.1220557122146</v>
      </c>
      <c r="R126" s="4">
        <v>225.23583877468761</v>
      </c>
      <c r="S126" s="4">
        <v>227.72029891419021</v>
      </c>
      <c r="T126" s="4">
        <v>240.34859250065327</v>
      </c>
      <c r="U126" s="4">
        <v>242.98101747524288</v>
      </c>
      <c r="V126" s="4">
        <v>246.97533820069765</v>
      </c>
      <c r="W126" s="4">
        <v>238.11557847999481</v>
      </c>
      <c r="X126" s="4">
        <v>273.93709031269447</v>
      </c>
      <c r="Y126" s="4">
        <v>268.34409400256578</v>
      </c>
      <c r="Z126" s="4">
        <v>277.9812148241287</v>
      </c>
      <c r="AA126" s="4">
        <v>296.98108024582717</v>
      </c>
      <c r="AB126" s="4">
        <v>360.32421779655704</v>
      </c>
      <c r="AC126" s="4">
        <v>384.83828579291787</v>
      </c>
      <c r="AD126" s="4">
        <v>406.8235308778053</v>
      </c>
      <c r="AE126" s="4">
        <v>460.96429201680672</v>
      </c>
      <c r="AF126" s="4">
        <v>450.54053014571275</v>
      </c>
      <c r="AG126" s="4">
        <v>468.60620377358492</v>
      </c>
      <c r="AH126" s="4">
        <v>502.51936151603491</v>
      </c>
      <c r="AI126" s="4">
        <v>523.06312893553229</v>
      </c>
      <c r="AJ126" s="4">
        <v>524.82912420574894</v>
      </c>
      <c r="AK126" s="4">
        <v>558.68113333333326</v>
      </c>
      <c r="AL126" s="4">
        <v>539.06045118204054</v>
      </c>
      <c r="AM126" s="4">
        <v>536.1224136187227</v>
      </c>
      <c r="AN126" s="1252">
        <v>549.47840558520249</v>
      </c>
      <c r="AO126" s="1252">
        <v>539.05808740740736</v>
      </c>
      <c r="AP126" s="1252">
        <v>582.63655377762143</v>
      </c>
      <c r="AQ126" s="1252">
        <v>595.36622295231598</v>
      </c>
      <c r="AR126" s="1252">
        <v>627.32794497757095</v>
      </c>
      <c r="AS126" s="1252">
        <v>615.31065616045851</v>
      </c>
      <c r="AT126" s="1252">
        <v>678.98536389280673</v>
      </c>
      <c r="AU126" s="1252">
        <v>687.06468080554009</v>
      </c>
      <c r="AV126" s="1252"/>
      <c r="AW126" s="1252"/>
      <c r="AX126" s="1252"/>
      <c r="AY126" s="1252"/>
      <c r="AZ126" s="1252"/>
      <c r="BA126" s="1252"/>
      <c r="BB126" s="1252"/>
      <c r="BC126" s="1252"/>
      <c r="BD126" s="1252"/>
      <c r="BF126" s="5"/>
      <c r="BG126" s="1962"/>
    </row>
    <row r="127" spans="1:62" ht="17.399999999999999">
      <c r="A127" s="28"/>
      <c r="B127" s="35" t="s">
        <v>575</v>
      </c>
      <c r="C127" s="28"/>
      <c r="D127" s="36"/>
      <c r="E127" s="28"/>
      <c r="F127" s="646"/>
      <c r="G127" s="28"/>
      <c r="H127" s="28"/>
      <c r="I127" s="28"/>
      <c r="J127" s="28"/>
      <c r="K127" s="28"/>
      <c r="L127" s="28"/>
      <c r="M127" s="28"/>
      <c r="N127" s="28"/>
      <c r="O127" s="646"/>
      <c r="P127" s="46"/>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row>
    <row r="128" spans="1:62">
      <c r="D128" s="7"/>
    </row>
    <row r="129" spans="1:39">
      <c r="D129" s="7"/>
    </row>
    <row r="130" spans="1:39" ht="14.4">
      <c r="A130" s="30" t="s">
        <v>67</v>
      </c>
      <c r="D130" s="7"/>
      <c r="AM130" t="s">
        <v>604</v>
      </c>
    </row>
    <row r="131" spans="1:39" ht="14.4">
      <c r="A131" s="34" t="str">
        <f>'Datacom equip'!B8</f>
        <v>Arista Networks - Product</v>
      </c>
      <c r="D131" s="1516"/>
      <c r="AJ131" s="1" t="s">
        <v>501</v>
      </c>
      <c r="AK131" s="10" t="s">
        <v>568</v>
      </c>
      <c r="AL131" s="10" t="s">
        <v>594</v>
      </c>
      <c r="AM131" s="10" t="s">
        <v>595</v>
      </c>
    </row>
    <row r="132" spans="1:39" ht="14.4">
      <c r="A132" s="34" t="str">
        <f>'Datacom equip'!B10</f>
        <v>Cisco - Infrastructure Platforms</v>
      </c>
      <c r="D132" s="1516"/>
      <c r="AJ132" s="31" t="s">
        <v>315</v>
      </c>
      <c r="AK132" s="43">
        <f>'Datacom equip'!AE10</f>
        <v>0</v>
      </c>
      <c r="AL132" s="43">
        <f>'Datacom equip'!AF10</f>
        <v>0</v>
      </c>
      <c r="AM132" s="43">
        <f>'Datacom equip'!AG10</f>
        <v>0</v>
      </c>
    </row>
    <row r="133" spans="1:39" ht="14.4">
      <c r="A133" s="34" t="str">
        <f>'Datacom equip'!B11</f>
        <v>Dell - Servers, Networking, Storage</v>
      </c>
      <c r="D133" s="1516"/>
      <c r="AJ133" s="31" t="s">
        <v>503</v>
      </c>
      <c r="AK133" s="43">
        <f>'Datacom equip'!AE11</f>
        <v>0</v>
      </c>
      <c r="AL133" s="43">
        <f>'Datacom equip'!AF11</f>
        <v>0</v>
      </c>
      <c r="AM133" s="43">
        <f>'Datacom equip'!AG11</f>
        <v>0</v>
      </c>
    </row>
    <row r="134" spans="1:39" ht="14.4">
      <c r="A134" s="34" t="str">
        <f>'Datacom equip'!B12</f>
        <v>Extreme - Product</v>
      </c>
      <c r="D134" s="1516"/>
      <c r="AE134" t="s">
        <v>532</v>
      </c>
      <c r="AJ134" s="31" t="s">
        <v>506</v>
      </c>
      <c r="AK134" s="43">
        <f>'Datacom equip'!AE14</f>
        <v>0</v>
      </c>
      <c r="AL134" s="43">
        <f>'Datacom equip'!AF14</f>
        <v>0</v>
      </c>
      <c r="AM134" s="43">
        <f>'Datacom equip'!AG14</f>
        <v>0</v>
      </c>
    </row>
    <row r="135" spans="1:39" ht="14.4">
      <c r="A135" s="34" t="str">
        <f>'Datacom equip'!B13</f>
        <v>H3C</v>
      </c>
      <c r="D135" s="31"/>
      <c r="AJ135" s="31" t="s">
        <v>338</v>
      </c>
      <c r="AK135" s="43">
        <f>'Datacom equip'!AE16</f>
        <v>0</v>
      </c>
      <c r="AL135" s="43">
        <f>'Datacom equip'!AF16</f>
        <v>0</v>
      </c>
      <c r="AM135" s="43">
        <f>'Datacom equip'!AG16</f>
        <v>0</v>
      </c>
    </row>
    <row r="136" spans="1:39" ht="14.4">
      <c r="A136" s="34" t="str">
        <f>'Datacom equip'!B14</f>
        <v>HPE - Hybrid IT &amp; IE</v>
      </c>
      <c r="D136" s="31"/>
      <c r="AJ136" s="31" t="s">
        <v>339</v>
      </c>
      <c r="AK136" s="43">
        <f>'Datacom equip'!AE13</f>
        <v>0</v>
      </c>
      <c r="AL136" s="43">
        <f>'Datacom equip'!AF13</f>
        <v>0</v>
      </c>
      <c r="AM136" s="43">
        <f>'Datacom equip'!AG13</f>
        <v>0</v>
      </c>
    </row>
    <row r="137" spans="1:39" ht="14.4">
      <c r="A137" s="34" t="str">
        <f>'Datacom equip'!B15</f>
        <v>IBM - Systems</v>
      </c>
      <c r="D137" s="31"/>
      <c r="AJ137" s="31" t="s">
        <v>505</v>
      </c>
      <c r="AK137" s="43">
        <f>'Datacom equip'!AE18</f>
        <v>0</v>
      </c>
      <c r="AL137" s="43">
        <f>'Datacom equip'!AF18</f>
        <v>0</v>
      </c>
      <c r="AM137" s="43">
        <f>'Datacom equip'!AG18</f>
        <v>0</v>
      </c>
    </row>
    <row r="138" spans="1:39" ht="14.4">
      <c r="A138" s="34" t="str">
        <f>'Datacom equip'!B16</f>
        <v>Inspur</v>
      </c>
      <c r="D138" s="31"/>
      <c r="AJ138" s="31" t="s">
        <v>504</v>
      </c>
      <c r="AK138" s="43">
        <f>'Datacom equip'!AE15</f>
        <v>0</v>
      </c>
      <c r="AL138" s="43">
        <f>'Datacom equip'!AF15</f>
        <v>0</v>
      </c>
      <c r="AM138" s="43">
        <f>'Datacom equip'!AG15</f>
        <v>0</v>
      </c>
    </row>
    <row r="139" spans="1:39" ht="14.4">
      <c r="A139" s="34" t="str">
        <f>'Datacom equip'!B17</f>
        <v>Juniper (Routers &amp; Switches)</v>
      </c>
      <c r="D139" s="31"/>
      <c r="AJ139" s="31" t="s">
        <v>502</v>
      </c>
      <c r="AK139" s="43">
        <f>'Datacom equip'!AE22-SUM('Charts for slides'!AK132:AK138)</f>
        <v>0</v>
      </c>
      <c r="AL139" s="43">
        <f>'Datacom equip'!AF22-SUM('Charts for slides'!AL132:AL138)</f>
        <v>0</v>
      </c>
      <c r="AM139" s="43">
        <f>'Datacom equip'!AG22-SUM('Charts for slides'!AM132:AM138)</f>
        <v>0</v>
      </c>
    </row>
    <row r="140" spans="1:39" ht="14.4">
      <c r="A140" s="34" t="str">
        <f>'Datacom equip'!B18</f>
        <v>Lenovo - Datacenter Group</v>
      </c>
      <c r="D140" s="1516"/>
      <c r="AK140" s="1365">
        <f>SUM(AK132:AK139)-'Datacom equip'!AE22</f>
        <v>0</v>
      </c>
      <c r="AL140" s="1365">
        <f>SUM(AL132:AL139)-'Datacom equip'!AF22</f>
        <v>0</v>
      </c>
      <c r="AM140" s="1365">
        <f>SUM(AM132:AM139)-'Datacom equip'!AG22</f>
        <v>0</v>
      </c>
    </row>
    <row r="141" spans="1:39" ht="14.4">
      <c r="A141" s="34" t="str">
        <f>'Datacom equip'!B19</f>
        <v>Mellanox</v>
      </c>
      <c r="D141" s="1516"/>
      <c r="AJ141" s="31" t="s">
        <v>507</v>
      </c>
    </row>
    <row r="142" spans="1:39" ht="14.4">
      <c r="A142" s="34" t="str">
        <f>'Datacom equip'!B20</f>
        <v>NetApp - Product</v>
      </c>
      <c r="D142" s="1516"/>
      <c r="AJ142" s="40" t="s">
        <v>583</v>
      </c>
    </row>
    <row r="143" spans="1:39" ht="14.4">
      <c r="A143" s="34" t="str">
        <f>'Datacom equip'!B21</f>
        <v>Oracle - Hardware</v>
      </c>
      <c r="D143" s="1516"/>
      <c r="AI143" s="40"/>
    </row>
    <row r="144" spans="1:39">
      <c r="D144" s="1516"/>
    </row>
    <row r="145" spans="1:62" ht="14.4">
      <c r="A145" s="34"/>
    </row>
    <row r="146" spans="1:62">
      <c r="D146" s="7"/>
    </row>
    <row r="147" spans="1:62">
      <c r="D147" s="7"/>
    </row>
    <row r="148" spans="1:62">
      <c r="D148" s="7"/>
      <c r="H148" s="16"/>
    </row>
    <row r="149" spans="1:62">
      <c r="D149" s="7"/>
      <c r="F149" s="2" t="s">
        <v>509</v>
      </c>
      <c r="G149" s="1592">
        <f>(R151/H151)^(1/10)-1</f>
        <v>-1</v>
      </c>
    </row>
    <row r="150" spans="1:62">
      <c r="D150" s="7"/>
      <c r="F150" s="3">
        <v>2010</v>
      </c>
      <c r="G150" s="3">
        <v>2011</v>
      </c>
      <c r="H150" s="3">
        <v>2012</v>
      </c>
      <c r="I150" s="3">
        <v>2013</v>
      </c>
      <c r="J150" s="3">
        <v>2014</v>
      </c>
      <c r="K150" s="3">
        <v>2015</v>
      </c>
      <c r="L150" s="3">
        <v>2016</v>
      </c>
      <c r="M150" s="3">
        <v>2017</v>
      </c>
      <c r="N150" s="3">
        <v>2018</v>
      </c>
      <c r="O150" s="3">
        <v>2019</v>
      </c>
      <c r="P150" s="3">
        <v>2020</v>
      </c>
      <c r="Q150" s="3">
        <v>2021</v>
      </c>
      <c r="R150" s="3">
        <v>2022</v>
      </c>
      <c r="T150" t="s">
        <v>532</v>
      </c>
    </row>
    <row r="151" spans="1:62">
      <c r="D151" s="7"/>
      <c r="F151" s="15">
        <v>67.802097000000003</v>
      </c>
      <c r="G151" s="15">
        <v>102.2773</v>
      </c>
      <c r="H151" s="15">
        <v>103.294839</v>
      </c>
      <c r="I151" s="15">
        <v>102.40771899999999</v>
      </c>
      <c r="J151" s="15">
        <v>102.33451900000001</v>
      </c>
      <c r="K151" s="15">
        <v>104.304393</v>
      </c>
      <c r="L151" s="15">
        <v>109.82201408742768</v>
      </c>
      <c r="M151" s="15">
        <v>120.21082601853618</v>
      </c>
      <c r="N151" s="15">
        <f>'Datacom equip'!N25/1000</f>
        <v>134.59642480827449</v>
      </c>
      <c r="O151" s="15">
        <f>'Datacom equip'!R25/1000</f>
        <v>0</v>
      </c>
      <c r="P151" s="15">
        <f>'Datacom equip'!V25/1000</f>
        <v>0</v>
      </c>
      <c r="Q151" s="15">
        <f>'Datacom equip'!Z25/1000</f>
        <v>0</v>
      </c>
      <c r="R151" s="15">
        <f>'Datacom equip'!AD25/1000</f>
        <v>0</v>
      </c>
    </row>
    <row r="152" spans="1:62">
      <c r="D152" s="7"/>
      <c r="M152" s="26">
        <f t="shared" ref="M152:R152" si="39">M151/L151-1</f>
        <v>9.4596807547511652E-2</v>
      </c>
      <c r="N152" s="26">
        <f t="shared" si="39"/>
        <v>0.11966974411705733</v>
      </c>
      <c r="O152" s="26">
        <f t="shared" si="39"/>
        <v>-1</v>
      </c>
      <c r="P152" s="26" t="e">
        <f t="shared" si="39"/>
        <v>#DIV/0!</v>
      </c>
      <c r="Q152" s="26" t="e">
        <f t="shared" si="39"/>
        <v>#DIV/0!</v>
      </c>
      <c r="R152" s="26" t="e">
        <f t="shared" si="39"/>
        <v>#DIV/0!</v>
      </c>
    </row>
    <row r="153" spans="1:62" ht="17.399999999999999">
      <c r="A153" s="28"/>
      <c r="B153" s="35" t="s">
        <v>273</v>
      </c>
      <c r="C153" s="28"/>
      <c r="D153" s="36"/>
      <c r="E153" s="28"/>
      <c r="F153" s="646"/>
      <c r="G153" s="28"/>
      <c r="H153" s="28"/>
      <c r="I153" s="28"/>
      <c r="J153" s="28"/>
      <c r="K153" s="28"/>
      <c r="L153" s="28"/>
      <c r="M153" s="28"/>
      <c r="N153" s="28"/>
      <c r="O153" s="646"/>
      <c r="P153" s="46"/>
      <c r="Q153" s="646"/>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row>
    <row r="154" spans="1:62">
      <c r="D154" s="7"/>
    </row>
    <row r="155" spans="1:62">
      <c r="D155" s="7"/>
    </row>
    <row r="156" spans="1:62" ht="14.4">
      <c r="A156" s="30" t="s">
        <v>30</v>
      </c>
      <c r="B156" s="30"/>
      <c r="D156" s="18"/>
      <c r="AI156" s="1"/>
      <c r="AL156" t="s">
        <v>604</v>
      </c>
    </row>
    <row r="157" spans="1:62" ht="14.55" customHeight="1">
      <c r="A157" s="34" t="s">
        <v>439</v>
      </c>
      <c r="AI157" s="1" t="s">
        <v>501</v>
      </c>
      <c r="AJ157" s="10" t="s">
        <v>568</v>
      </c>
      <c r="AK157" s="10" t="s">
        <v>594</v>
      </c>
      <c r="AL157" s="10" t="s">
        <v>595</v>
      </c>
      <c r="AM157" s="10"/>
    </row>
    <row r="158" spans="1:62" ht="14.4">
      <c r="A158" s="34" t="s">
        <v>260</v>
      </c>
      <c r="B158" s="30"/>
      <c r="AI158" s="2" t="s">
        <v>440</v>
      </c>
      <c r="AJ158" s="43">
        <f>'Semiconductor vendors'!AE24</f>
        <v>0</v>
      </c>
      <c r="AK158" s="43">
        <f>'Semiconductor vendors'!AF24</f>
        <v>0</v>
      </c>
      <c r="AL158" s="43">
        <f>'Semiconductor vendors'!AG24</f>
        <v>0</v>
      </c>
      <c r="AM158" s="43"/>
    </row>
    <row r="159" spans="1:62" ht="14.4">
      <c r="A159" s="34" t="s">
        <v>262</v>
      </c>
      <c r="B159" s="30"/>
      <c r="AI159" s="2" t="s">
        <v>262</v>
      </c>
      <c r="AJ159" s="43">
        <f>'Semiconductor vendors'!AE11</f>
        <v>0</v>
      </c>
      <c r="AK159" s="43">
        <f>'Semiconductor vendors'!AF11</f>
        <v>0</v>
      </c>
      <c r="AL159" s="43">
        <f>'Semiconductor vendors'!AG11</f>
        <v>0</v>
      </c>
      <c r="AM159" s="43"/>
    </row>
    <row r="160" spans="1:62" ht="14.4">
      <c r="A160" s="34" t="s">
        <v>524</v>
      </c>
      <c r="B160" s="30"/>
      <c r="AI160" s="2" t="s">
        <v>439</v>
      </c>
      <c r="AJ160" s="43">
        <f>'Semiconductor vendors'!AE8</f>
        <v>0</v>
      </c>
      <c r="AK160" s="43">
        <f>'Semiconductor vendors'!AF8</f>
        <v>0</v>
      </c>
      <c r="AL160" s="43">
        <f>'Semiconductor vendors'!AG8</f>
        <v>0</v>
      </c>
      <c r="AM160" s="43"/>
    </row>
    <row r="161" spans="1:39" ht="14.4">
      <c r="A161" s="34" t="s">
        <v>264</v>
      </c>
      <c r="B161" s="30"/>
      <c r="AI161" s="2" t="s">
        <v>546</v>
      </c>
      <c r="AJ161" s="43">
        <f>'Semiconductor vendors'!AE16</f>
        <v>0</v>
      </c>
      <c r="AK161" s="43">
        <f>'Semiconductor vendors'!AF16</f>
        <v>0</v>
      </c>
      <c r="AL161" s="43">
        <f>'Semiconductor vendors'!AG16</f>
        <v>0</v>
      </c>
      <c r="AM161" s="43"/>
    </row>
    <row r="162" spans="1:39" ht="14.4">
      <c r="A162" s="34" t="s">
        <v>277</v>
      </c>
      <c r="B162" s="30"/>
      <c r="AI162" s="2" t="s">
        <v>260</v>
      </c>
      <c r="AJ162" s="43">
        <f>'Semiconductor vendors'!AE9</f>
        <v>0</v>
      </c>
      <c r="AK162" s="43">
        <f>'Semiconductor vendors'!AF9</f>
        <v>0</v>
      </c>
      <c r="AL162" s="43">
        <f>'Semiconductor vendors'!AG9</f>
        <v>0</v>
      </c>
      <c r="AM162" s="43"/>
    </row>
    <row r="163" spans="1:39" ht="14.4">
      <c r="A163" s="34" t="s">
        <v>265</v>
      </c>
      <c r="B163" s="30"/>
      <c r="AH163" s="15"/>
      <c r="AI163" s="2" t="s">
        <v>479</v>
      </c>
      <c r="AJ163" s="43">
        <f>'Semiconductor vendors'!AE22</f>
        <v>0</v>
      </c>
      <c r="AK163" s="43">
        <f>'Semiconductor vendors'!AF22</f>
        <v>0</v>
      </c>
      <c r="AL163" s="43">
        <f>'Semiconductor vendors'!AG22</f>
        <v>0</v>
      </c>
      <c r="AM163" s="43"/>
    </row>
    <row r="164" spans="1:39" ht="14.4">
      <c r="A164" s="34" t="s">
        <v>478</v>
      </c>
      <c r="B164" s="30"/>
      <c r="AI164" s="2" t="s">
        <v>265</v>
      </c>
      <c r="AJ164" s="43">
        <f>'Semiconductor vendors'!AE19</f>
        <v>0</v>
      </c>
      <c r="AK164" s="43">
        <f>'Semiconductor vendors'!AF19</f>
        <v>0</v>
      </c>
      <c r="AL164" s="43">
        <f>'Semiconductor vendors'!AG19</f>
        <v>0</v>
      </c>
      <c r="AM164" s="43"/>
    </row>
    <row r="165" spans="1:39" ht="14.4">
      <c r="A165" s="34" t="s">
        <v>479</v>
      </c>
      <c r="B165" s="30"/>
      <c r="AI165" s="2" t="s">
        <v>502</v>
      </c>
      <c r="AJ165" s="43">
        <f>'Semiconductor vendors'!AE27-SUM('Charts for slides'!AJ158:AJ164)</f>
        <v>0</v>
      </c>
      <c r="AK165" s="43">
        <f>'Semiconductor vendors'!AF27-SUM('Charts for slides'!AK158:AK164)</f>
        <v>0</v>
      </c>
      <c r="AL165" s="43">
        <f>'Semiconductor vendors'!AG27-SUM('Charts for slides'!AL158:AL164)</f>
        <v>0</v>
      </c>
      <c r="AM165" s="43"/>
    </row>
    <row r="166" spans="1:39" ht="14.4">
      <c r="A166" s="34" t="s">
        <v>440</v>
      </c>
      <c r="B166" s="30"/>
      <c r="AJ166" s="1365">
        <f>SUM(AJ158:AJ165)-'Semiconductor vendors'!AE27</f>
        <v>0</v>
      </c>
      <c r="AK166" s="1365">
        <f>SUM(AK158:AK165)-'Semiconductor vendors'!AF27</f>
        <v>0</v>
      </c>
      <c r="AL166" s="1365">
        <f>SUM(AL158:AL165)-'Semiconductor vendors'!AG27</f>
        <v>0</v>
      </c>
      <c r="AM166" s="1365"/>
    </row>
    <row r="167" spans="1:39" ht="14.4">
      <c r="A167" s="34" t="s">
        <v>268</v>
      </c>
      <c r="B167" s="30"/>
      <c r="AI167" s="31" t="s">
        <v>507</v>
      </c>
    </row>
    <row r="168" spans="1:39">
      <c r="AI168" s="40" t="s">
        <v>603</v>
      </c>
    </row>
    <row r="170" spans="1:39" ht="14.4">
      <c r="A170" s="34"/>
      <c r="B170" s="30"/>
      <c r="AI170" s="40"/>
    </row>
    <row r="171" spans="1:39" ht="14.4">
      <c r="B171" s="30"/>
    </row>
    <row r="172" spans="1:39" ht="14.4">
      <c r="A172" s="34"/>
    </row>
    <row r="175" spans="1:39">
      <c r="F175" s="2" t="s">
        <v>509</v>
      </c>
      <c r="G175" s="1339">
        <f>(R177/H177)^(1/10)-1</f>
        <v>-1</v>
      </c>
    </row>
    <row r="176" spans="1:39">
      <c r="F176" s="3">
        <v>2010</v>
      </c>
      <c r="G176" s="3">
        <v>2011</v>
      </c>
      <c r="H176" s="3">
        <v>2012</v>
      </c>
      <c r="I176" s="3">
        <v>2013</v>
      </c>
      <c r="J176" s="3">
        <v>2014</v>
      </c>
      <c r="K176" s="3">
        <v>2015</v>
      </c>
      <c r="L176" s="3">
        <v>2016</v>
      </c>
      <c r="M176" s="3">
        <v>2017</v>
      </c>
      <c r="N176" s="3">
        <v>2018</v>
      </c>
      <c r="O176" s="3">
        <v>2019</v>
      </c>
      <c r="P176" s="3">
        <v>2020</v>
      </c>
      <c r="Q176" s="3">
        <v>2021</v>
      </c>
      <c r="R176" s="3">
        <v>2022</v>
      </c>
    </row>
    <row r="177" spans="1:62">
      <c r="D177" s="7"/>
      <c r="F177" s="15">
        <v>72.035203999999993</v>
      </c>
      <c r="G177" s="15">
        <v>76.536000000000001</v>
      </c>
      <c r="H177" s="15">
        <v>78.506</v>
      </c>
      <c r="I177" s="15">
        <v>84.745000000000005</v>
      </c>
      <c r="J177" s="15">
        <v>88.108000000000004</v>
      </c>
      <c r="K177" s="15">
        <v>82.804000000000002</v>
      </c>
      <c r="L177" s="15">
        <v>76.5</v>
      </c>
      <c r="M177" s="15">
        <v>82.6</v>
      </c>
      <c r="N177" s="15">
        <v>106.3</v>
      </c>
      <c r="O177" s="15">
        <v>104.4</v>
      </c>
      <c r="P177" s="43">
        <f>'Semiconductor vendors'!$V$29/1000</f>
        <v>0</v>
      </c>
      <c r="Q177" s="43">
        <f>'Semiconductor vendors'!$Z$29/1000</f>
        <v>0</v>
      </c>
      <c r="R177" s="43">
        <f>'Semiconductor vendors'!$AD$29/1000</f>
        <v>0</v>
      </c>
      <c r="Z177" s="43"/>
      <c r="AA177" s="43"/>
      <c r="AB177" s="43"/>
      <c r="AC177" s="43"/>
    </row>
    <row r="178" spans="1:62">
      <c r="C178" s="19"/>
      <c r="D178" s="18"/>
      <c r="F178" t="s">
        <v>393</v>
      </c>
      <c r="T178" s="26"/>
      <c r="U178" s="26"/>
      <c r="V178" s="26"/>
      <c r="W178" s="26"/>
      <c r="X178" s="26"/>
      <c r="Y178" s="26"/>
      <c r="Z178" s="26"/>
      <c r="AA178" s="26"/>
      <c r="AB178" s="26"/>
      <c r="AC178" s="26"/>
      <c r="AD178" s="26"/>
    </row>
    <row r="179" spans="1:62" ht="17.399999999999999">
      <c r="A179" s="28"/>
      <c r="B179" s="35" t="s">
        <v>0</v>
      </c>
      <c r="C179" s="28"/>
      <c r="D179" s="36"/>
      <c r="E179" s="28"/>
      <c r="F179" s="646"/>
      <c r="G179" s="28"/>
      <c r="H179" s="28"/>
      <c r="I179" s="28"/>
      <c r="J179" s="28"/>
      <c r="K179" s="28"/>
      <c r="L179" s="28"/>
      <c r="M179" s="28"/>
      <c r="N179" s="28"/>
      <c r="O179" s="646"/>
      <c r="P179" s="46"/>
      <c r="Q179" s="646"/>
      <c r="R179" s="46"/>
      <c r="S179" s="46"/>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row>
    <row r="180" spans="1:62">
      <c r="D180" s="18"/>
      <c r="AC180" s="26"/>
    </row>
    <row r="181" spans="1:62">
      <c r="D181" s="18"/>
      <c r="AS181" s="2" t="s">
        <v>604</v>
      </c>
    </row>
    <row r="182" spans="1:62">
      <c r="AP182" s="1" t="s">
        <v>501</v>
      </c>
      <c r="AQ182" s="10" t="s">
        <v>568</v>
      </c>
      <c r="AR182" s="10" t="s">
        <v>594</v>
      </c>
      <c r="AS182" s="10" t="s">
        <v>595</v>
      </c>
      <c r="AT182" s="10"/>
      <c r="BF182" s="1516"/>
      <c r="BG182" s="1516"/>
    </row>
    <row r="183" spans="1:62" ht="14.4">
      <c r="A183" s="30" t="s">
        <v>30</v>
      </c>
      <c r="D183" s="7"/>
      <c r="AP183" s="2" t="s">
        <v>610</v>
      </c>
      <c r="AQ183" s="43">
        <f>'OC vendors'!AE15</f>
        <v>0</v>
      </c>
      <c r="AR183" s="43">
        <f>'OC vendors'!AF15</f>
        <v>0</v>
      </c>
      <c r="AS183" s="43">
        <f>'OC vendors'!AG15</f>
        <v>0</v>
      </c>
      <c r="AT183" s="43"/>
      <c r="BF183" s="1516"/>
      <c r="BG183" s="1516"/>
    </row>
    <row r="184" spans="1:62" ht="14.4">
      <c r="A184" s="34" t="str">
        <f>'OC vendors'!B8</f>
        <v>Coherent (Networking solutions)</v>
      </c>
      <c r="C184" s="1516"/>
      <c r="AP184" s="2" t="s">
        <v>608</v>
      </c>
      <c r="AQ184" s="43">
        <f>'OC vendors'!AE8</f>
        <v>0</v>
      </c>
      <c r="AR184" s="43">
        <f>'OC vendors'!AF8</f>
        <v>0</v>
      </c>
      <c r="AS184" s="43">
        <f>'OC vendors'!AG8</f>
        <v>0</v>
      </c>
      <c r="AT184" s="43"/>
      <c r="BF184" s="1516"/>
      <c r="BG184" s="1516"/>
    </row>
    <row r="185" spans="1:62" ht="14.4">
      <c r="A185" s="34" t="str">
        <f>'OC vendors'!B10</f>
        <v>Accelink</v>
      </c>
      <c r="C185" s="1516"/>
      <c r="AP185" s="2" t="s">
        <v>128</v>
      </c>
      <c r="AQ185" s="43">
        <f>'OC vendors'!AE18</f>
        <v>0</v>
      </c>
      <c r="AR185" s="43">
        <f>'OC vendors'!AF18</f>
        <v>0</v>
      </c>
      <c r="AS185" s="43">
        <f>'OC vendors'!AG18</f>
        <v>0</v>
      </c>
      <c r="AT185" s="43"/>
      <c r="BF185" s="1516"/>
      <c r="BG185" s="1516"/>
    </row>
    <row r="186" spans="1:62" ht="14.55" customHeight="1">
      <c r="A186" s="34" t="str">
        <f>'OC vendors'!B11</f>
        <v>Applied Optoelectronics</v>
      </c>
      <c r="C186" s="1516"/>
      <c r="AP186" s="2" t="s">
        <v>137</v>
      </c>
      <c r="AQ186" s="43">
        <f>'OC vendors'!AE21</f>
        <v>0</v>
      </c>
      <c r="AR186" s="43">
        <f>'OC vendors'!AF21</f>
        <v>0</v>
      </c>
      <c r="AS186" s="43">
        <f>'OC vendors'!AG21</f>
        <v>0</v>
      </c>
      <c r="AT186" s="43"/>
      <c r="BF186" s="1516"/>
      <c r="BG186" s="1516"/>
    </row>
    <row r="187" spans="1:62" ht="14.4">
      <c r="A187" s="34" t="str">
        <f>'OC vendors'!B12</f>
        <v>Broadex</v>
      </c>
      <c r="C187" s="1516"/>
      <c r="AP187" s="2" t="s">
        <v>31</v>
      </c>
      <c r="AQ187" s="43">
        <f>'OC vendors'!AE10</f>
        <v>0</v>
      </c>
      <c r="AR187" s="43">
        <f>'OC vendors'!AF10</f>
        <v>0</v>
      </c>
      <c r="AS187" s="43">
        <f>'OC vendors'!AG10</f>
        <v>0</v>
      </c>
      <c r="AT187" s="43"/>
      <c r="BF187" s="1516"/>
      <c r="BG187" s="1516"/>
    </row>
    <row r="188" spans="1:62" ht="14.4">
      <c r="A188" s="34" t="str">
        <f>'OC vendors'!B13</f>
        <v>CIG</v>
      </c>
      <c r="C188" s="1516"/>
      <c r="AP188" s="2" t="s">
        <v>125</v>
      </c>
      <c r="AQ188" s="43">
        <f>'OC vendors'!AE14</f>
        <v>0</v>
      </c>
      <c r="AR188" s="43">
        <f>'OC vendors'!AF14</f>
        <v>0</v>
      </c>
      <c r="AS188" s="43">
        <f>'OC vendors'!AG14</f>
        <v>0</v>
      </c>
      <c r="AT188" s="43"/>
      <c r="BF188" s="1516"/>
      <c r="BG188" s="1516"/>
    </row>
    <row r="189" spans="1:62" ht="14.4">
      <c r="A189" s="34" t="str">
        <f>'OC vendors'!B14</f>
        <v>Eoptolink</v>
      </c>
      <c r="C189" s="1516"/>
      <c r="AH189" s="15"/>
      <c r="AI189" s="15"/>
      <c r="AP189" s="2" t="s">
        <v>34</v>
      </c>
      <c r="AQ189" s="43">
        <f>'OC vendors'!AE16</f>
        <v>0</v>
      </c>
      <c r="AR189" s="43">
        <f>'OC vendors'!AF16</f>
        <v>0</v>
      </c>
      <c r="AS189" s="43">
        <f>'OC vendors'!AG16</f>
        <v>0</v>
      </c>
      <c r="AT189" s="1365"/>
      <c r="BF189" s="1516"/>
      <c r="BG189" s="1516"/>
    </row>
    <row r="190" spans="1:62" ht="14.4">
      <c r="A190" s="34" t="s">
        <v>610</v>
      </c>
      <c r="C190" s="1516"/>
      <c r="AP190" s="2" t="s">
        <v>502</v>
      </c>
      <c r="AQ190" s="43">
        <f>'OC vendors'!AE26-SUM('Charts for slides'!AQ183:AQ189)</f>
        <v>0</v>
      </c>
      <c r="AR190" s="43">
        <f>'OC vendors'!AF26-SUM('Charts for slides'!AR183:AR189)</f>
        <v>0</v>
      </c>
      <c r="AS190" s="43">
        <f>'OC vendors'!AG26-SUM('Charts for slides'!AS183:AS189)</f>
        <v>0</v>
      </c>
      <c r="BF190" s="1516"/>
      <c r="BG190" s="1516"/>
    </row>
    <row r="191" spans="1:62" ht="14.4">
      <c r="A191" s="34" t="str">
        <f>'OC vendors'!B16</f>
        <v>Hisense</v>
      </c>
      <c r="C191" s="1516"/>
      <c r="AQ191" s="1365">
        <f>SUM(AQ183:AQ190)-'OC vendors'!AE26</f>
        <v>0</v>
      </c>
      <c r="AR191" s="1365">
        <f>SUM(AR183:AR190)-'OC vendors'!AF26</f>
        <v>0</v>
      </c>
      <c r="AS191" s="1365">
        <f>SUM(AS183:AS190)-'OC vendors'!AG26</f>
        <v>0</v>
      </c>
      <c r="BF191" s="1516"/>
      <c r="BG191" s="1516"/>
    </row>
    <row r="192" spans="1:62" ht="14.4">
      <c r="A192" s="34" t="str">
        <f>'OC vendors'!B17</f>
        <v>HGG (optical)</v>
      </c>
      <c r="C192" s="1516"/>
      <c r="BF192" s="1516"/>
      <c r="BG192" s="1516"/>
    </row>
    <row r="193" spans="1:59" ht="14.4">
      <c r="A193" s="34" t="str">
        <f>'OC vendors'!B18</f>
        <v>Innolight</v>
      </c>
      <c r="AP193" s="31" t="s">
        <v>507</v>
      </c>
      <c r="BF193" s="1516"/>
      <c r="BG193" s="1516"/>
    </row>
    <row r="194" spans="1:59" ht="14.4">
      <c r="A194" s="34" t="str">
        <f>'OC vendors'!B19</f>
        <v>LandMark</v>
      </c>
      <c r="C194" s="1516"/>
      <c r="AP194" s="40" t="s">
        <v>628</v>
      </c>
      <c r="BF194" s="1516"/>
      <c r="BG194" s="1516"/>
    </row>
    <row r="195" spans="1:59" ht="14.4">
      <c r="A195" s="34" t="s">
        <v>605</v>
      </c>
      <c r="C195" s="1516"/>
      <c r="AX195" s="40"/>
      <c r="BF195" s="1516"/>
      <c r="BG195" s="1516"/>
    </row>
    <row r="196" spans="1:59" ht="14.4">
      <c r="A196" s="34" t="str">
        <f>'OC vendors'!B21</f>
        <v>Lumentum (optical)</v>
      </c>
      <c r="C196" s="1516"/>
      <c r="BF196" s="1516"/>
      <c r="BG196" s="1516"/>
    </row>
    <row r="197" spans="1:59" ht="14.4">
      <c r="A197" s="34" t="str">
        <f>'OC vendors'!B23</f>
        <v>OE Solutions</v>
      </c>
      <c r="C197" s="1516"/>
      <c r="BF197" s="1516"/>
      <c r="BG197" s="1516"/>
    </row>
    <row r="198" spans="1:59" ht="14.4">
      <c r="A198" s="34" t="str">
        <f>'OC vendors'!B25</f>
        <v>Sumitomo (opitcal)</v>
      </c>
      <c r="C198" s="1516"/>
      <c r="BF198" s="1516"/>
      <c r="BG198" s="1516"/>
    </row>
    <row r="199" spans="1:59">
      <c r="C199" s="1516"/>
      <c r="O199" t="s">
        <v>305</v>
      </c>
      <c r="BF199" s="1516"/>
      <c r="BG199" s="1516"/>
    </row>
    <row r="200" spans="1:59" ht="14.4">
      <c r="A200" s="34"/>
      <c r="C200" s="1516"/>
      <c r="P200" s="1339"/>
      <c r="BG200" s="1516"/>
    </row>
    <row r="201" spans="1:59">
      <c r="C201" s="1516"/>
      <c r="F201" s="2" t="s">
        <v>509</v>
      </c>
      <c r="G201" s="11">
        <f>(Q203/G203)^(1/10)-1</f>
        <v>-1</v>
      </c>
    </row>
    <row r="202" spans="1:59" ht="14.4">
      <c r="A202" s="34"/>
      <c r="D202" s="7"/>
      <c r="F202" s="3">
        <v>2011</v>
      </c>
      <c r="G202" s="3">
        <v>2012</v>
      </c>
      <c r="H202" s="3">
        <v>2013</v>
      </c>
      <c r="I202" s="3">
        <v>2014</v>
      </c>
      <c r="J202" s="3">
        <v>2015</v>
      </c>
      <c r="K202" s="3">
        <v>2016</v>
      </c>
      <c r="L202" s="3">
        <v>2017</v>
      </c>
      <c r="M202" s="3">
        <v>2018</v>
      </c>
      <c r="N202" s="3">
        <v>2019</v>
      </c>
      <c r="O202" s="3">
        <v>2020</v>
      </c>
      <c r="P202" s="3">
        <v>2021</v>
      </c>
      <c r="Q202" s="24">
        <v>2022</v>
      </c>
      <c r="AJ202" s="5"/>
      <c r="AK202" s="5"/>
      <c r="AL202" s="5"/>
      <c r="AM202" s="5"/>
    </row>
    <row r="203" spans="1:59" ht="14.4">
      <c r="A203" s="34"/>
      <c r="D203" s="7"/>
      <c r="F203" s="15">
        <f>SUM(I208:L208)</f>
        <v>3812.2571913005522</v>
      </c>
      <c r="G203" s="15">
        <f>SUM(M208:P208)</f>
        <v>4004.9016833988735</v>
      </c>
      <c r="H203" s="15">
        <f>SUM(Q208:T208)</f>
        <v>4460.5693671920781</v>
      </c>
      <c r="I203" s="15">
        <f>SUM(U208:X208)</f>
        <v>5019.5546977492577</v>
      </c>
      <c r="J203" s="15">
        <f>SUM(Y208:AB208)</f>
        <v>5847.1363685081587</v>
      </c>
      <c r="K203" s="15">
        <f>SUM(AC208:AF208)</f>
        <v>7384.4685593035711</v>
      </c>
      <c r="L203" s="15">
        <f>SUM(AG208:AJ208)</f>
        <v>8217.6856273367812</v>
      </c>
      <c r="M203" s="15">
        <f>SUM(AK208:AN208)</f>
        <v>8532.6376765075856</v>
      </c>
      <c r="N203" s="15">
        <f>SUM(AO208:AR208)</f>
        <v>2059.5153648367204</v>
      </c>
      <c r="O203" s="15">
        <f>SUM(AS208:AV208)</f>
        <v>0</v>
      </c>
      <c r="P203" s="15">
        <f>SUM(AW208:AZ208)</f>
        <v>0</v>
      </c>
      <c r="Q203" s="15">
        <f>SUM(BA208:BD208)</f>
        <v>0</v>
      </c>
    </row>
    <row r="204" spans="1:59" ht="14.4">
      <c r="A204" s="34"/>
      <c r="D204" s="7"/>
      <c r="L204" s="5">
        <f t="shared" ref="L204:P204" si="40">L203/K203-1</f>
        <v>0.1128337213899373</v>
      </c>
      <c r="M204" s="5">
        <f t="shared" si="40"/>
        <v>3.8326125317217352E-2</v>
      </c>
      <c r="N204" s="5">
        <f t="shared" si="40"/>
        <v>-0.75863086622005949</v>
      </c>
      <c r="O204" s="5">
        <f t="shared" si="40"/>
        <v>-1</v>
      </c>
      <c r="P204" s="5" t="e">
        <f t="shared" si="40"/>
        <v>#DIV/0!</v>
      </c>
      <c r="Q204" s="5" t="e">
        <f>Q203/P203-1</f>
        <v>#DIV/0!</v>
      </c>
    </row>
    <row r="205" spans="1:59" ht="14.4">
      <c r="A205" s="34"/>
      <c r="D205" s="7"/>
    </row>
    <row r="206" spans="1:59">
      <c r="D206" s="7"/>
    </row>
    <row r="207" spans="1:59" ht="13.2" customHeight="1">
      <c r="C207" s="19"/>
      <c r="E207" s="10" t="s">
        <v>86</v>
      </c>
      <c r="F207" s="10" t="s">
        <v>87</v>
      </c>
      <c r="G207" s="10" t="s">
        <v>88</v>
      </c>
      <c r="H207" s="10" t="s">
        <v>89</v>
      </c>
      <c r="I207" s="10" t="s">
        <v>90</v>
      </c>
      <c r="J207" s="10" t="s">
        <v>91</v>
      </c>
      <c r="K207" s="10" t="s">
        <v>92</v>
      </c>
      <c r="L207" s="10" t="s">
        <v>93</v>
      </c>
      <c r="M207" s="10" t="s">
        <v>72</v>
      </c>
      <c r="N207" s="10" t="s">
        <v>73</v>
      </c>
      <c r="O207" s="10" t="s">
        <v>74</v>
      </c>
      <c r="P207" s="10" t="s">
        <v>75</v>
      </c>
      <c r="Q207" s="10" t="s">
        <v>76</v>
      </c>
      <c r="R207" s="10" t="s">
        <v>77</v>
      </c>
      <c r="S207" s="10" t="s">
        <v>78</v>
      </c>
      <c r="T207" s="10" t="s">
        <v>79</v>
      </c>
      <c r="U207" s="10" t="s">
        <v>80</v>
      </c>
      <c r="V207" s="10" t="s">
        <v>81</v>
      </c>
      <c r="W207" s="10" t="s">
        <v>82</v>
      </c>
      <c r="X207" s="10" t="s">
        <v>83</v>
      </c>
      <c r="Y207" s="10" t="s">
        <v>84</v>
      </c>
      <c r="Z207" s="10" t="s">
        <v>85</v>
      </c>
      <c r="AA207" s="10" t="s">
        <v>94</v>
      </c>
      <c r="AB207" s="10" t="s">
        <v>95</v>
      </c>
      <c r="AC207" s="10" t="s">
        <v>96</v>
      </c>
      <c r="AD207" s="10" t="s">
        <v>97</v>
      </c>
      <c r="AE207" s="10" t="s">
        <v>98</v>
      </c>
      <c r="AF207" s="10" t="s">
        <v>99</v>
      </c>
      <c r="AG207" s="10" t="s">
        <v>100</v>
      </c>
      <c r="AH207" s="10" t="s">
        <v>101</v>
      </c>
      <c r="AI207" s="10" t="s">
        <v>102</v>
      </c>
      <c r="AJ207" s="10" t="s">
        <v>103</v>
      </c>
      <c r="AK207" s="10" t="s">
        <v>104</v>
      </c>
      <c r="AL207" s="10" t="s">
        <v>105</v>
      </c>
      <c r="AM207" s="10" t="s">
        <v>106</v>
      </c>
      <c r="AN207" s="10" t="s">
        <v>107</v>
      </c>
      <c r="AO207" s="10" t="s">
        <v>108</v>
      </c>
      <c r="AP207" s="10" t="s">
        <v>109</v>
      </c>
      <c r="AQ207" s="10" t="s">
        <v>110</v>
      </c>
      <c r="AR207" s="10" t="s">
        <v>111</v>
      </c>
      <c r="AS207" s="10" t="s">
        <v>112</v>
      </c>
      <c r="AT207" s="10" t="s">
        <v>113</v>
      </c>
      <c r="AU207" s="10" t="s">
        <v>114</v>
      </c>
      <c r="AV207" s="10" t="s">
        <v>115</v>
      </c>
      <c r="AW207" s="10" t="s">
        <v>463</v>
      </c>
      <c r="AX207" s="10" t="s">
        <v>464</v>
      </c>
      <c r="AY207" s="10" t="s">
        <v>465</v>
      </c>
      <c r="AZ207" s="10" t="s">
        <v>466</v>
      </c>
      <c r="BA207" s="10" t="s">
        <v>467</v>
      </c>
      <c r="BB207" s="10" t="s">
        <v>468</v>
      </c>
      <c r="BC207" s="10" t="s">
        <v>469</v>
      </c>
      <c r="BD207" s="10" t="s">
        <v>470</v>
      </c>
      <c r="BE207" s="10" t="s">
        <v>568</v>
      </c>
      <c r="BF207" s="10" t="s">
        <v>594</v>
      </c>
      <c r="BG207" s="10" t="s">
        <v>595</v>
      </c>
    </row>
    <row r="208" spans="1:59">
      <c r="C208" s="19"/>
      <c r="D208" s="2" t="s">
        <v>9</v>
      </c>
      <c r="E208" s="1252">
        <v>782.66649051720151</v>
      </c>
      <c r="F208" s="1252">
        <v>844.47937446327171</v>
      </c>
      <c r="G208" s="1252">
        <v>918.2353832067231</v>
      </c>
      <c r="H208" s="1252">
        <v>953.37931347401945</v>
      </c>
      <c r="I208" s="1252">
        <v>998.65377838823838</v>
      </c>
      <c r="J208" s="1252">
        <v>961.63580952857819</v>
      </c>
      <c r="K208" s="1252">
        <v>964.65833034758225</v>
      </c>
      <c r="L208" s="1252">
        <v>887.30927303615294</v>
      </c>
      <c r="M208" s="1252">
        <v>927.75510048342403</v>
      </c>
      <c r="N208" s="1252">
        <v>937.1449263838922</v>
      </c>
      <c r="O208" s="1252">
        <v>1047.7851355298735</v>
      </c>
      <c r="P208" s="1252">
        <v>1092.216521001684</v>
      </c>
      <c r="Q208" s="1252">
        <v>1032.7659757055728</v>
      </c>
      <c r="R208" s="1252">
        <v>1091.8086004037664</v>
      </c>
      <c r="S208" s="1252">
        <v>1172.6348561590248</v>
      </c>
      <c r="T208" s="1252">
        <v>1163.3599349237134</v>
      </c>
      <c r="U208" s="1252">
        <v>1214.4991146116922</v>
      </c>
      <c r="V208" s="1252">
        <v>1282.8694446661834</v>
      </c>
      <c r="W208" s="1252">
        <v>1273.246710497277</v>
      </c>
      <c r="X208" s="1252">
        <v>1248.9394279741052</v>
      </c>
      <c r="Y208" s="1252">
        <v>1384.7728501657371</v>
      </c>
      <c r="Z208" s="1252">
        <v>1428.6422188218664</v>
      </c>
      <c r="AA208" s="1252">
        <v>1485.5126752494002</v>
      </c>
      <c r="AB208" s="1252">
        <v>1548.2086242711546</v>
      </c>
      <c r="AC208" s="1252">
        <v>1597.6379349351578</v>
      </c>
      <c r="AD208" s="1252">
        <v>1758.6461300110177</v>
      </c>
      <c r="AE208" s="1252">
        <v>1899.9542912780389</v>
      </c>
      <c r="AF208" s="1252">
        <v>2128.2302030793571</v>
      </c>
      <c r="AG208" s="1252">
        <v>2034.5964285984701</v>
      </c>
      <c r="AH208" s="1252">
        <v>1963.5814990895924</v>
      </c>
      <c r="AI208" s="1252">
        <v>2027.7940111799921</v>
      </c>
      <c r="AJ208" s="1252">
        <v>2191.7136884687261</v>
      </c>
      <c r="AK208" s="1252">
        <v>2060.2050210671309</v>
      </c>
      <c r="AL208" s="1252">
        <v>2102.5815933890949</v>
      </c>
      <c r="AM208" s="1252">
        <v>2191.1143555268659</v>
      </c>
      <c r="AN208" s="1252">
        <v>2178.7367065244948</v>
      </c>
      <c r="AO208" s="1252">
        <f>'OC vendors'!O26</f>
        <v>2059.5153648367204</v>
      </c>
      <c r="AP208" s="1252">
        <f>'OC vendors'!P26</f>
        <v>0</v>
      </c>
      <c r="AQ208" s="1252">
        <f>'OC vendors'!Q26</f>
        <v>0</v>
      </c>
      <c r="AR208" s="1252">
        <f>'OC vendors'!R26</f>
        <v>0</v>
      </c>
      <c r="AS208" s="1252">
        <f>'OC vendors'!S26</f>
        <v>0</v>
      </c>
      <c r="AT208" s="1252">
        <f>'OC vendors'!T26</f>
        <v>0</v>
      </c>
      <c r="AU208" s="1252">
        <f>'OC vendors'!U26</f>
        <v>0</v>
      </c>
      <c r="AV208" s="1252">
        <f>'OC vendors'!V26</f>
        <v>0</v>
      </c>
      <c r="AW208" s="1252">
        <f>'OC vendors'!W26</f>
        <v>0</v>
      </c>
      <c r="AX208" s="1252">
        <f>'OC vendors'!X26</f>
        <v>0</v>
      </c>
      <c r="AY208" s="1252">
        <f>'OC vendors'!Y26</f>
        <v>0</v>
      </c>
      <c r="AZ208" s="1252">
        <f>'OC vendors'!Z26</f>
        <v>0</v>
      </c>
      <c r="BA208" s="1252">
        <f>'OC vendors'!AA26</f>
        <v>0</v>
      </c>
      <c r="BB208" s="1252">
        <f>'OC vendors'!AB26</f>
        <v>0</v>
      </c>
      <c r="BC208" s="1252">
        <f>'OC vendors'!AC26</f>
        <v>0</v>
      </c>
      <c r="BD208" s="1252">
        <f>'OC vendors'!AD26</f>
        <v>0</v>
      </c>
      <c r="BE208" s="1252">
        <f>'OC vendors'!AE26</f>
        <v>0</v>
      </c>
      <c r="BF208" s="1252">
        <f>'OC vendors'!AF26</f>
        <v>0</v>
      </c>
      <c r="BG208" s="1252">
        <f>'OC vendors'!AG26</f>
        <v>0</v>
      </c>
    </row>
    <row r="209" spans="1:63">
      <c r="C209" s="19"/>
      <c r="D209" s="2" t="s">
        <v>563</v>
      </c>
      <c r="E209" s="26"/>
      <c r="F209" s="26"/>
      <c r="G209" s="26"/>
      <c r="H209" s="26"/>
      <c r="I209" s="26">
        <f>I208/E208-1</f>
        <v>0.27596337710626684</v>
      </c>
      <c r="J209" s="26">
        <f t="shared" ref="J209:Q209" si="41">J208/F208-1</f>
        <v>0.13873214504471232</v>
      </c>
      <c r="K209" s="26">
        <f t="shared" si="41"/>
        <v>5.0556696017025393E-2</v>
      </c>
      <c r="L209" s="26">
        <f t="shared" si="41"/>
        <v>-6.9300895775799676E-2</v>
      </c>
      <c r="M209" s="26">
        <f t="shared" si="41"/>
        <v>-7.0994251901034366E-2</v>
      </c>
      <c r="N209" s="26">
        <f t="shared" si="41"/>
        <v>-2.5467940047586346E-2</v>
      </c>
      <c r="O209" s="26">
        <f t="shared" si="41"/>
        <v>8.617227734128341E-2</v>
      </c>
      <c r="P209" s="26">
        <f t="shared" si="41"/>
        <v>0.23093103407382309</v>
      </c>
      <c r="Q209" s="26">
        <f t="shared" si="41"/>
        <v>0.11318814110257214</v>
      </c>
      <c r="R209" s="26">
        <f t="shared" ref="R209:X209" si="42">R208/N208-1</f>
        <v>0.16503709262628785</v>
      </c>
      <c r="S209" s="26">
        <f t="shared" si="42"/>
        <v>0.11915584254400957</v>
      </c>
      <c r="T209" s="26">
        <f t="shared" si="42"/>
        <v>6.5136731182918739E-2</v>
      </c>
      <c r="U209" s="26">
        <f t="shared" si="42"/>
        <v>0.17596739550018725</v>
      </c>
      <c r="V209" s="26">
        <f t="shared" si="42"/>
        <v>0.17499481520090621</v>
      </c>
      <c r="W209" s="26">
        <f t="shared" si="42"/>
        <v>8.5799815526383938E-2</v>
      </c>
      <c r="X209" s="26">
        <f t="shared" si="42"/>
        <v>7.3562352012753296E-2</v>
      </c>
      <c r="Y209" s="26">
        <f t="shared" ref="Y209:AE209" si="43">Y208/U208-1</f>
        <v>0.14020079019035414</v>
      </c>
      <c r="Z209" s="26">
        <f t="shared" si="43"/>
        <v>0.11363024878468031</v>
      </c>
      <c r="AA209" s="26">
        <f t="shared" si="43"/>
        <v>0.16671236061487327</v>
      </c>
      <c r="AB209" s="26">
        <f t="shared" si="43"/>
        <v>0.23961866331859794</v>
      </c>
      <c r="AC209" s="26">
        <f t="shared" si="43"/>
        <v>0.15371841291078447</v>
      </c>
      <c r="AD209" s="26">
        <f t="shared" si="43"/>
        <v>0.23099129148044484</v>
      </c>
      <c r="AE209" s="26">
        <f t="shared" si="43"/>
        <v>0.27898894633063898</v>
      </c>
      <c r="AF209" s="26">
        <f t="shared" ref="AF209:AK209" si="44">AF208/AB208-1</f>
        <v>0.37464045201353757</v>
      </c>
      <c r="AG209" s="26">
        <f t="shared" si="44"/>
        <v>0.27350282821185434</v>
      </c>
      <c r="AH209" s="26">
        <f t="shared" si="44"/>
        <v>0.11653019079926596</v>
      </c>
      <c r="AI209" s="26">
        <f t="shared" si="44"/>
        <v>6.7285681812881748E-2</v>
      </c>
      <c r="AJ209" s="26">
        <f t="shared" si="44"/>
        <v>2.9829238067157426E-2</v>
      </c>
      <c r="AK209" s="26">
        <f t="shared" si="44"/>
        <v>1.2586571031337757E-2</v>
      </c>
      <c r="AL209" s="26">
        <f>AL208/AH208-1</f>
        <v>7.0789062926061019E-2</v>
      </c>
      <c r="AM209" s="26">
        <f>AM208/AI208-1</f>
        <v>8.0540894906695248E-2</v>
      </c>
      <c r="AN209" s="26">
        <f>AN208/AJ208-1</f>
        <v>-5.9209293679677311E-3</v>
      </c>
      <c r="AO209" s="26">
        <f>AO208/AK208-1</f>
        <v>-3.3475126182014314E-4</v>
      </c>
      <c r="AP209" s="26">
        <f>AP208/AL208-1</f>
        <v>-1</v>
      </c>
      <c r="AQ209" s="26">
        <f t="shared" ref="AQ209:AV209" si="45">AQ208/AM208-1</f>
        <v>-1</v>
      </c>
      <c r="AR209" s="26">
        <f t="shared" si="45"/>
        <v>-1</v>
      </c>
      <c r="AS209" s="26">
        <f t="shared" si="45"/>
        <v>-1</v>
      </c>
      <c r="AT209" s="26" t="e">
        <f t="shared" si="45"/>
        <v>#DIV/0!</v>
      </c>
      <c r="AU209" s="26" t="e">
        <f t="shared" si="45"/>
        <v>#DIV/0!</v>
      </c>
      <c r="AV209" s="26" t="e">
        <f t="shared" si="45"/>
        <v>#DIV/0!</v>
      </c>
      <c r="AW209" s="26" t="e">
        <f t="shared" ref="AW209:BC209" si="46">AW208/AS208-1</f>
        <v>#DIV/0!</v>
      </c>
      <c r="AX209" s="26" t="e">
        <f t="shared" si="46"/>
        <v>#DIV/0!</v>
      </c>
      <c r="AY209" s="26" t="e">
        <f t="shared" si="46"/>
        <v>#DIV/0!</v>
      </c>
      <c r="AZ209" s="26" t="e">
        <f t="shared" si="46"/>
        <v>#DIV/0!</v>
      </c>
      <c r="BA209" s="26" t="e">
        <f t="shared" si="46"/>
        <v>#DIV/0!</v>
      </c>
      <c r="BB209" s="26" t="e">
        <f t="shared" si="46"/>
        <v>#DIV/0!</v>
      </c>
      <c r="BC209" s="26" t="e">
        <f t="shared" si="46"/>
        <v>#DIV/0!</v>
      </c>
      <c r="BD209" s="26" t="e">
        <f>BD208/AZ208-1</f>
        <v>#DIV/0!</v>
      </c>
      <c r="BE209" s="26" t="e">
        <f>BE208/BA208-1</f>
        <v>#DIV/0!</v>
      </c>
      <c r="BF209" s="26" t="e">
        <f>BF208/BB208-1</f>
        <v>#DIV/0!</v>
      </c>
      <c r="BG209" s="26" t="e">
        <f>BG208/BC208-1</f>
        <v>#DIV/0!</v>
      </c>
    </row>
    <row r="210" spans="1:63">
      <c r="C210" s="19"/>
      <c r="D210" s="18"/>
      <c r="J210" s="43"/>
      <c r="K210" s="43"/>
      <c r="Q210" s="2"/>
      <c r="R210" s="43"/>
      <c r="S210" s="43"/>
      <c r="T210" s="43"/>
      <c r="U210" s="43"/>
      <c r="V210" s="43"/>
      <c r="W210" s="43"/>
      <c r="X210" s="43"/>
      <c r="Y210" s="43"/>
      <c r="Z210" s="43"/>
      <c r="AA210" s="43"/>
      <c r="AB210" s="43"/>
      <c r="AC210" s="376"/>
      <c r="AD210" s="376"/>
      <c r="AE210" s="376"/>
      <c r="AF210" s="376"/>
      <c r="AG210" s="376"/>
      <c r="AH210" s="376"/>
      <c r="AI210" s="376"/>
      <c r="AJ210" s="376"/>
      <c r="AK210" s="376"/>
      <c r="AL210" s="376"/>
      <c r="AM210" s="376"/>
      <c r="AN210" s="376"/>
      <c r="AO210" s="376"/>
      <c r="AP210" s="376"/>
      <c r="AQ210" s="376"/>
      <c r="AR210" s="376"/>
      <c r="AS210" s="376"/>
      <c r="AT210" s="376"/>
      <c r="AU210" s="376"/>
      <c r="AV210" s="376"/>
      <c r="AW210" s="376"/>
      <c r="AX210" s="376"/>
      <c r="AY210" s="376"/>
      <c r="AZ210" s="376"/>
      <c r="BA210" s="376"/>
      <c r="BB210" s="376"/>
      <c r="BC210" s="376"/>
      <c r="BF210" s="1568" t="e">
        <f>BF208/BE208-1</f>
        <v>#DIV/0!</v>
      </c>
      <c r="BG210" s="1568" t="e">
        <f>BG208/BF208-1</f>
        <v>#DIV/0!</v>
      </c>
    </row>
    <row r="211" spans="1:63" ht="17.399999999999999">
      <c r="A211" s="28"/>
      <c r="B211" s="35" t="s">
        <v>138</v>
      </c>
      <c r="C211" s="28"/>
      <c r="D211" s="36"/>
      <c r="E211" s="28"/>
      <c r="F211" s="28"/>
      <c r="G211" s="28"/>
      <c r="H211" s="646"/>
      <c r="I211" s="28"/>
      <c r="J211" s="28"/>
      <c r="K211" s="28"/>
      <c r="L211" s="28"/>
      <c r="M211" s="28"/>
      <c r="N211" s="46"/>
      <c r="O211" s="46"/>
      <c r="P211" s="46"/>
      <c r="Q211" s="647"/>
      <c r="R211" s="46"/>
      <c r="S211" s="46"/>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row>
    <row r="212" spans="1:63" ht="14.55" customHeight="1">
      <c r="D212" s="7"/>
    </row>
    <row r="213" spans="1:63" ht="14.55" customHeight="1">
      <c r="A213" s="30" t="s">
        <v>30</v>
      </c>
      <c r="B213" s="30"/>
      <c r="D213" s="7"/>
    </row>
    <row r="214" spans="1:63" ht="14.55" customHeight="1">
      <c r="A214" s="1659" t="s">
        <v>278</v>
      </c>
      <c r="B214" s="30"/>
      <c r="D214" s="7"/>
      <c r="AE214" s="2239"/>
      <c r="AF214" s="2239"/>
      <c r="AG214" s="2239"/>
      <c r="AH214" s="2239"/>
      <c r="AI214" s="2239"/>
      <c r="AJ214" s="2239"/>
      <c r="AK214" s="2239"/>
      <c r="AL214" s="2239"/>
      <c r="AM214" s="2239"/>
      <c r="AN214" s="2239"/>
    </row>
    <row r="215" spans="1:63" ht="14.55" customHeight="1">
      <c r="A215" s="1659" t="s">
        <v>122</v>
      </c>
      <c r="B215" s="30"/>
      <c r="D215" s="7"/>
      <c r="AC215" s="63"/>
      <c r="AD215" s="63"/>
      <c r="AE215" s="2098"/>
      <c r="AF215" s="2098"/>
      <c r="AG215" s="2098"/>
      <c r="AH215" s="2098"/>
      <c r="AI215" s="2098"/>
      <c r="AJ215" s="2098"/>
      <c r="AK215" s="2098"/>
      <c r="AL215" s="2098"/>
      <c r="AM215" s="2098"/>
      <c r="AN215" s="2098"/>
      <c r="AO215" s="2098"/>
      <c r="AP215" s="2098"/>
      <c r="AQ215" s="2098"/>
      <c r="AR215" s="2098"/>
    </row>
    <row r="216" spans="1:63" ht="14.55" customHeight="1">
      <c r="A216" s="1659" t="s">
        <v>31</v>
      </c>
      <c r="B216" s="30"/>
      <c r="D216" s="7"/>
      <c r="AC216" s="2099"/>
      <c r="AD216" s="2099"/>
      <c r="AE216" s="2100"/>
      <c r="AF216" s="2100"/>
      <c r="AG216" s="2100"/>
      <c r="AH216" s="2100"/>
      <c r="AI216" s="2100"/>
      <c r="AJ216" s="2100"/>
      <c r="AK216" s="2100"/>
      <c r="AL216" s="2100"/>
      <c r="AM216" s="2100"/>
      <c r="AN216" s="2100"/>
      <c r="AO216" s="2100"/>
      <c r="AP216" s="2100"/>
      <c r="AQ216" s="2100"/>
      <c r="AR216" s="2100"/>
    </row>
    <row r="217" spans="1:63" ht="14.55" customHeight="1">
      <c r="A217" s="1659" t="s">
        <v>32</v>
      </c>
      <c r="B217" s="30"/>
      <c r="D217" s="7"/>
      <c r="AC217" s="2099"/>
      <c r="AD217" s="2099"/>
      <c r="AE217" s="2100"/>
      <c r="AF217" s="2100"/>
      <c r="AG217" s="2100"/>
      <c r="AH217" s="2100"/>
      <c r="AI217" s="2100"/>
      <c r="AJ217" s="2100"/>
      <c r="AK217" s="2100"/>
      <c r="AL217" s="2100"/>
      <c r="AM217" s="2100"/>
      <c r="AN217" s="2100"/>
      <c r="AO217" s="2100"/>
      <c r="AP217" s="2101"/>
      <c r="AQ217" s="2101"/>
    </row>
    <row r="218" spans="1:63" ht="14.55" customHeight="1">
      <c r="A218" s="1659" t="s">
        <v>262</v>
      </c>
      <c r="B218" s="30"/>
      <c r="D218" s="7"/>
      <c r="AC218" s="2099"/>
      <c r="AD218" s="2099"/>
      <c r="AE218" s="2100"/>
      <c r="AF218" s="2100"/>
      <c r="AG218" s="2100"/>
      <c r="AH218" s="2100"/>
      <c r="AI218" s="2100"/>
      <c r="AJ218" s="2100"/>
      <c r="AK218" s="2100"/>
      <c r="AL218" s="2100"/>
      <c r="AM218" s="2100"/>
      <c r="AN218" s="2100"/>
      <c r="AO218" s="2100"/>
      <c r="AP218" s="2101"/>
      <c r="AQ218" s="2101"/>
    </row>
    <row r="219" spans="1:63" ht="14.55" customHeight="1">
      <c r="A219" s="1659" t="s">
        <v>123</v>
      </c>
      <c r="B219" s="30"/>
      <c r="D219" s="7"/>
      <c r="AC219" s="2099"/>
      <c r="AD219" s="2099"/>
      <c r="AE219" s="2100"/>
      <c r="AF219" s="2100"/>
      <c r="AG219" s="2100"/>
      <c r="AH219" s="2100"/>
      <c r="AI219" s="2100"/>
      <c r="AJ219" s="2100"/>
      <c r="AK219" s="2100"/>
      <c r="AL219" s="2100"/>
      <c r="AM219" s="2100"/>
      <c r="AN219" s="2100"/>
      <c r="AO219" s="2100"/>
      <c r="AP219" s="2101"/>
      <c r="AQ219" s="2101"/>
    </row>
    <row r="220" spans="1:63" ht="14.55" customHeight="1">
      <c r="A220" s="1659" t="s">
        <v>124</v>
      </c>
      <c r="B220" s="30"/>
      <c r="D220" s="7"/>
      <c r="AC220" s="2099"/>
      <c r="AD220" s="2099"/>
      <c r="AE220" s="2100"/>
      <c r="AF220" s="2100"/>
      <c r="AG220" s="2100"/>
      <c r="AH220" s="2100"/>
      <c r="AI220" s="2100"/>
      <c r="AJ220" s="2100"/>
      <c r="AK220" s="2100"/>
      <c r="AL220" s="2100"/>
      <c r="AM220" s="2100"/>
      <c r="AN220" s="2100"/>
      <c r="AO220" s="2100"/>
      <c r="AP220" s="2101"/>
      <c r="AQ220" s="2101"/>
    </row>
    <row r="221" spans="1:63" ht="14.55" customHeight="1">
      <c r="A221" s="1659" t="s">
        <v>125</v>
      </c>
      <c r="B221" s="30"/>
      <c r="D221" s="7"/>
      <c r="AC221" s="2099"/>
      <c r="AD221" s="2099"/>
      <c r="AE221" s="2100"/>
      <c r="AF221" s="2100"/>
      <c r="AG221" s="2100"/>
      <c r="AH221" s="2100"/>
      <c r="AI221" s="2100"/>
      <c r="AJ221" s="2100"/>
      <c r="AK221" s="2100"/>
      <c r="AL221" s="2100"/>
      <c r="AM221" s="2100"/>
      <c r="AN221" s="2100"/>
      <c r="AO221" s="2100"/>
      <c r="AP221" s="2101"/>
      <c r="AQ221" s="2101"/>
    </row>
    <row r="222" spans="1:63" ht="14.55" customHeight="1">
      <c r="A222" s="1659" t="s">
        <v>460</v>
      </c>
      <c r="B222" s="30"/>
      <c r="D222" s="7"/>
      <c r="AC222" s="63"/>
      <c r="AD222" s="63"/>
      <c r="AE222" s="2056"/>
      <c r="AF222" s="2056"/>
      <c r="AG222" s="2056"/>
      <c r="AH222" s="2056"/>
      <c r="AI222" s="2056"/>
      <c r="AJ222" s="2056"/>
      <c r="AK222" s="2056"/>
      <c r="AL222" s="2056"/>
      <c r="AM222" s="2056"/>
      <c r="AN222" s="2056"/>
      <c r="AO222" s="2056"/>
      <c r="AP222" s="2101"/>
      <c r="AQ222" s="2101"/>
    </row>
    <row r="223" spans="1:63" ht="14.55" customHeight="1">
      <c r="A223" s="1659" t="s">
        <v>4</v>
      </c>
      <c r="B223" s="30"/>
      <c r="D223" s="7"/>
      <c r="AD223" s="2"/>
      <c r="AE223" s="248"/>
      <c r="AF223" s="248"/>
      <c r="AG223" s="248"/>
      <c r="AH223" s="248"/>
      <c r="AI223" s="248"/>
      <c r="AJ223" s="248"/>
      <c r="AK223" s="248"/>
      <c r="AL223" s="248"/>
      <c r="AM223" s="248"/>
      <c r="AN223" s="248"/>
      <c r="AO223" s="248"/>
      <c r="AP223" s="248"/>
      <c r="AQ223" s="248"/>
    </row>
    <row r="224" spans="1:63" ht="14.55" customHeight="1">
      <c r="A224" s="1659" t="s">
        <v>126</v>
      </c>
      <c r="B224" s="30"/>
      <c r="D224" s="7"/>
      <c r="AD224" s="2"/>
      <c r="AE224" s="248"/>
      <c r="AF224" s="248"/>
      <c r="AG224" s="248"/>
      <c r="AH224" s="248"/>
      <c r="AI224" s="248"/>
      <c r="AJ224" s="248"/>
      <c r="AK224" s="248"/>
      <c r="AL224" s="248"/>
      <c r="AM224" s="248"/>
      <c r="AN224" s="248"/>
      <c r="AO224" s="248"/>
      <c r="AP224" s="248"/>
      <c r="AQ224" s="248"/>
    </row>
    <row r="225" spans="1:64" ht="14.55" customHeight="1">
      <c r="A225" s="1659" t="s">
        <v>34</v>
      </c>
      <c r="B225" s="30"/>
      <c r="D225" s="7"/>
    </row>
    <row r="226" spans="1:64" ht="14.55" customHeight="1">
      <c r="A226" s="1659" t="s">
        <v>127</v>
      </c>
      <c r="B226" s="30"/>
      <c r="D226" s="7"/>
      <c r="AH226" s="29"/>
      <c r="AI226" s="29"/>
      <c r="AJ226" s="29"/>
      <c r="AK226" s="29"/>
      <c r="AL226" s="29"/>
      <c r="AM226" s="29"/>
      <c r="AN226" s="29"/>
    </row>
    <row r="227" spans="1:64" ht="14.55" customHeight="1">
      <c r="A227" s="1659" t="s">
        <v>128</v>
      </c>
      <c r="B227" s="30"/>
      <c r="D227" s="7"/>
    </row>
    <row r="228" spans="1:64" ht="14.55" customHeight="1">
      <c r="A228" s="1659" t="s">
        <v>137</v>
      </c>
      <c r="B228" s="30"/>
      <c r="D228" s="7"/>
      <c r="AS228" s="21"/>
    </row>
    <row r="229" spans="1:64" ht="14.55" customHeight="1">
      <c r="A229" s="1659" t="s">
        <v>461</v>
      </c>
      <c r="B229" s="30"/>
      <c r="D229" s="7"/>
    </row>
    <row r="230" spans="1:64" ht="14.55" customHeight="1">
      <c r="A230" s="1659" t="s">
        <v>129</v>
      </c>
      <c r="B230" s="30"/>
      <c r="D230" s="7"/>
    </row>
    <row r="231" spans="1:64" ht="14.55" customHeight="1">
      <c r="A231" s="1659" t="s">
        <v>35</v>
      </c>
      <c r="B231" s="30"/>
      <c r="D231" s="7"/>
    </row>
    <row r="232" spans="1:64" ht="14.55" customHeight="1">
      <c r="A232" s="1659" t="s">
        <v>462</v>
      </c>
      <c r="D232" s="7"/>
    </row>
    <row r="233" spans="1:64" ht="14.55" customHeight="1">
      <c r="A233" s="1659" t="s">
        <v>130</v>
      </c>
      <c r="D233" s="7"/>
      <c r="G233" s="2" t="s">
        <v>13</v>
      </c>
      <c r="H233" s="16">
        <f>$AF$257</f>
        <v>-1</v>
      </c>
      <c r="AU233" s="21"/>
      <c r="BB233" s="1844"/>
      <c r="BC233" s="1844"/>
      <c r="BD233" s="1844"/>
    </row>
    <row r="234" spans="1:64" ht="14.55" customHeight="1">
      <c r="A234" s="1659" t="s">
        <v>131</v>
      </c>
      <c r="D234" s="7"/>
      <c r="F234">
        <v>1</v>
      </c>
      <c r="G234">
        <v>2</v>
      </c>
      <c r="H234">
        <v>3</v>
      </c>
      <c r="I234">
        <v>4</v>
      </c>
      <c r="J234">
        <f>I234+1</f>
        <v>5</v>
      </c>
      <c r="K234">
        <f t="shared" ref="K234:AE234" si="47">J234+1</f>
        <v>6</v>
      </c>
      <c r="L234">
        <f t="shared" si="47"/>
        <v>7</v>
      </c>
      <c r="M234">
        <f t="shared" si="47"/>
        <v>8</v>
      </c>
      <c r="N234">
        <f t="shared" si="47"/>
        <v>9</v>
      </c>
      <c r="O234">
        <f t="shared" si="47"/>
        <v>10</v>
      </c>
      <c r="P234">
        <f t="shared" si="47"/>
        <v>11</v>
      </c>
      <c r="Q234">
        <f t="shared" si="47"/>
        <v>12</v>
      </c>
      <c r="R234">
        <f t="shared" si="47"/>
        <v>13</v>
      </c>
      <c r="S234">
        <f t="shared" si="47"/>
        <v>14</v>
      </c>
      <c r="T234">
        <f t="shared" si="47"/>
        <v>15</v>
      </c>
      <c r="U234">
        <f t="shared" si="47"/>
        <v>16</v>
      </c>
      <c r="V234">
        <f t="shared" si="47"/>
        <v>17</v>
      </c>
      <c r="W234">
        <f t="shared" si="47"/>
        <v>18</v>
      </c>
      <c r="X234">
        <f t="shared" si="47"/>
        <v>19</v>
      </c>
      <c r="Y234">
        <f t="shared" si="47"/>
        <v>20</v>
      </c>
      <c r="Z234">
        <f t="shared" si="47"/>
        <v>21</v>
      </c>
      <c r="AA234">
        <f t="shared" si="47"/>
        <v>22</v>
      </c>
      <c r="AB234">
        <f t="shared" si="47"/>
        <v>23</v>
      </c>
      <c r="AC234">
        <f t="shared" si="47"/>
        <v>24</v>
      </c>
      <c r="AD234">
        <f t="shared" si="47"/>
        <v>25</v>
      </c>
      <c r="AE234">
        <f t="shared" si="47"/>
        <v>26</v>
      </c>
      <c r="AF234">
        <f>AE234+1</f>
        <v>27</v>
      </c>
      <c r="AG234">
        <f>AF234+1</f>
        <v>28</v>
      </c>
      <c r="AH234">
        <f>AG234+1</f>
        <v>29</v>
      </c>
      <c r="AI234">
        <f>AH234+1</f>
        <v>30</v>
      </c>
      <c r="AJ234">
        <v>31</v>
      </c>
      <c r="AK234">
        <v>32</v>
      </c>
      <c r="AL234">
        <v>33</v>
      </c>
      <c r="AM234">
        <v>34</v>
      </c>
      <c r="AN234">
        <v>35</v>
      </c>
      <c r="AO234">
        <v>36</v>
      </c>
      <c r="AP234">
        <v>37</v>
      </c>
      <c r="AQ234">
        <v>38</v>
      </c>
      <c r="AR234">
        <v>39</v>
      </c>
      <c r="AS234">
        <v>40</v>
      </c>
      <c r="AT234">
        <v>41</v>
      </c>
      <c r="AU234">
        <v>42</v>
      </c>
    </row>
    <row r="235" spans="1:64" ht="14.55" customHeight="1">
      <c r="A235" s="1659" t="s">
        <v>38</v>
      </c>
      <c r="E235" s="9"/>
      <c r="F235" s="10" t="s">
        <v>86</v>
      </c>
      <c r="G235" s="10" t="s">
        <v>87</v>
      </c>
      <c r="H235" s="10" t="s">
        <v>88</v>
      </c>
      <c r="I235" s="10" t="s">
        <v>89</v>
      </c>
      <c r="J235" s="10" t="s">
        <v>90</v>
      </c>
      <c r="K235" s="10" t="s">
        <v>91</v>
      </c>
      <c r="L235" s="10" t="s">
        <v>92</v>
      </c>
      <c r="M235" s="10" t="s">
        <v>93</v>
      </c>
      <c r="N235" s="10" t="s">
        <v>72</v>
      </c>
      <c r="O235" s="10" t="s">
        <v>73</v>
      </c>
      <c r="P235" s="10" t="s">
        <v>74</v>
      </c>
      <c r="Q235" s="10" t="s">
        <v>75</v>
      </c>
      <c r="R235" s="10" t="s">
        <v>76</v>
      </c>
      <c r="S235" s="10" t="s">
        <v>77</v>
      </c>
      <c r="T235" s="10" t="s">
        <v>78</v>
      </c>
      <c r="U235" s="10" t="s">
        <v>79</v>
      </c>
      <c r="V235" s="10" t="s">
        <v>80</v>
      </c>
      <c r="W235" s="10" t="s">
        <v>81</v>
      </c>
      <c r="X235" s="10" t="s">
        <v>82</v>
      </c>
      <c r="Y235" s="10" t="s">
        <v>83</v>
      </c>
      <c r="Z235" s="10" t="s">
        <v>84</v>
      </c>
      <c r="AA235" s="10" t="s">
        <v>85</v>
      </c>
      <c r="AB235" s="10" t="s">
        <v>94</v>
      </c>
      <c r="AC235" s="10" t="s">
        <v>95</v>
      </c>
      <c r="AD235" s="10" t="s">
        <v>96</v>
      </c>
      <c r="AE235" s="10" t="s">
        <v>97</v>
      </c>
      <c r="AF235" s="10" t="s">
        <v>98</v>
      </c>
      <c r="AG235" s="10" t="s">
        <v>99</v>
      </c>
      <c r="AH235" s="10" t="s">
        <v>100</v>
      </c>
      <c r="AI235" s="10" t="s">
        <v>101</v>
      </c>
      <c r="AJ235" s="10" t="s">
        <v>102</v>
      </c>
      <c r="AK235" s="10" t="s">
        <v>103</v>
      </c>
      <c r="AL235" s="10" t="s">
        <v>104</v>
      </c>
      <c r="AM235" s="10" t="s">
        <v>105</v>
      </c>
      <c r="AN235" s="10" t="s">
        <v>106</v>
      </c>
      <c r="AO235" s="10" t="s">
        <v>107</v>
      </c>
      <c r="AP235" s="10" t="s">
        <v>108</v>
      </c>
      <c r="AQ235" s="10" t="s">
        <v>109</v>
      </c>
      <c r="AR235" s="10" t="s">
        <v>110</v>
      </c>
      <c r="AS235" s="10" t="s">
        <v>111</v>
      </c>
      <c r="AT235" s="10" t="s">
        <v>112</v>
      </c>
      <c r="AU235" s="10" t="s">
        <v>113</v>
      </c>
      <c r="AV235" s="10" t="s">
        <v>114</v>
      </c>
      <c r="AW235" s="10" t="s">
        <v>115</v>
      </c>
      <c r="AX235" s="10" t="s">
        <v>463</v>
      </c>
      <c r="AY235" s="10" t="s">
        <v>464</v>
      </c>
      <c r="AZ235" s="10" t="s">
        <v>465</v>
      </c>
      <c r="BA235" s="10" t="s">
        <v>466</v>
      </c>
      <c r="BB235" s="10" t="s">
        <v>467</v>
      </c>
      <c r="BC235" s="10" t="s">
        <v>468</v>
      </c>
      <c r="BD235" s="10" t="s">
        <v>469</v>
      </c>
      <c r="BE235" s="10" t="s">
        <v>470</v>
      </c>
      <c r="BF235" s="10" t="s">
        <v>578</v>
      </c>
      <c r="BG235" s="10" t="s">
        <v>601</v>
      </c>
      <c r="BH235" s="10" t="s">
        <v>619</v>
      </c>
    </row>
    <row r="236" spans="1:64" ht="14.55" customHeight="1">
      <c r="E236" t="s">
        <v>12</v>
      </c>
      <c r="BK236" s="2" t="s">
        <v>497</v>
      </c>
      <c r="BL236" s="21"/>
    </row>
    <row r="237" spans="1:64" ht="14.55" customHeight="1">
      <c r="D237" s="7"/>
      <c r="E237" s="2" t="s">
        <v>17</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47">
        <v>399.76259315324842</v>
      </c>
      <c r="W237" s="47">
        <v>458.95183409135132</v>
      </c>
      <c r="X237" s="47">
        <v>404.70655616100464</v>
      </c>
      <c r="Y237" s="47">
        <v>426.6986393683332</v>
      </c>
      <c r="Z237" s="47">
        <v>439.59398006021655</v>
      </c>
      <c r="AA237" s="47">
        <v>493.23885616645731</v>
      </c>
      <c r="AB237" s="47">
        <v>438.93410355430461</v>
      </c>
      <c r="AC237" s="47">
        <v>464.55640441465545</v>
      </c>
      <c r="AD237" s="658">
        <v>574.81324193000012</v>
      </c>
      <c r="AE237" s="658">
        <v>646.28303427999992</v>
      </c>
      <c r="AF237" s="658">
        <v>674.66583959898378</v>
      </c>
      <c r="AG237" s="658">
        <v>801.34185283538886</v>
      </c>
      <c r="AH237" s="658">
        <v>715.72646777793818</v>
      </c>
      <c r="AI237" s="658">
        <v>820.4964072612147</v>
      </c>
      <c r="AJ237" s="658">
        <v>809.58724973224446</v>
      </c>
      <c r="AK237" s="658">
        <v>814.82450627820526</v>
      </c>
      <c r="AL237" s="658">
        <v>798.4545468531262</v>
      </c>
      <c r="AM237" s="658">
        <v>826.28005662668977</v>
      </c>
      <c r="AN237" s="658">
        <v>768.03543336762743</v>
      </c>
      <c r="AO237" s="658">
        <v>700.76919376630656</v>
      </c>
      <c r="AP237" s="374">
        <f>Summary!W69</f>
        <v>621.50911974132771</v>
      </c>
      <c r="AQ237" s="374">
        <f>Summary!X69</f>
        <v>653.39323587627814</v>
      </c>
      <c r="AR237" s="374">
        <f>Summary!Y69</f>
        <v>646.77647917863715</v>
      </c>
      <c r="AS237" s="374">
        <f>Summary!Z69</f>
        <v>771.26596163619001</v>
      </c>
      <c r="AT237" s="374">
        <f>Summary!AA69</f>
        <v>717.2642359701008</v>
      </c>
      <c r="AU237" s="374">
        <f>Summary!AB69</f>
        <v>0</v>
      </c>
      <c r="AV237" s="374">
        <f>Summary!AC69</f>
        <v>0</v>
      </c>
      <c r="AW237" s="374">
        <f>Summary!AD69</f>
        <v>0</v>
      </c>
      <c r="AX237" s="374">
        <f>Summary!AE69</f>
        <v>0</v>
      </c>
      <c r="AY237" s="374">
        <f>Summary!AF69</f>
        <v>0</v>
      </c>
      <c r="AZ237" s="374">
        <f>Summary!AG69</f>
        <v>0</v>
      </c>
      <c r="BA237" s="374">
        <f>Summary!AH69</f>
        <v>0</v>
      </c>
      <c r="BB237" s="374">
        <f>Summary!AI69</f>
        <v>0</v>
      </c>
      <c r="BC237" s="374">
        <f>Summary!AJ69</f>
        <v>0</v>
      </c>
      <c r="BD237" s="374">
        <f>Summary!AK69</f>
        <v>0</v>
      </c>
      <c r="BE237" s="374">
        <f>Summary!AL69</f>
        <v>0</v>
      </c>
      <c r="BF237" s="374">
        <f>Summary!AM69</f>
        <v>0</v>
      </c>
      <c r="BG237" s="374">
        <f>Summary!AN69</f>
        <v>0</v>
      </c>
      <c r="BH237" s="374">
        <f>Summary!AO69</f>
        <v>0</v>
      </c>
      <c r="BI237" s="79" t="str">
        <f t="shared" ref="BI237:BI242" si="48">E237</f>
        <v xml:space="preserve">Ethernet </v>
      </c>
      <c r="BK237" s="15">
        <f t="shared" ref="BK237:BK243" si="49">MAX(F237:BG237)</f>
        <v>826.28005662668977</v>
      </c>
      <c r="BL237" s="219"/>
    </row>
    <row r="238" spans="1:64">
      <c r="D238" s="7"/>
      <c r="E238" s="2" t="s">
        <v>15</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47">
        <v>58.182045670000001</v>
      </c>
      <c r="W238" s="47">
        <v>62.115745930000003</v>
      </c>
      <c r="X238" s="47">
        <v>68.800230620000008</v>
      </c>
      <c r="Y238" s="47">
        <v>74.000017349999993</v>
      </c>
      <c r="Z238" s="47">
        <v>69.144194289999987</v>
      </c>
      <c r="AA238" s="47">
        <v>65.340849000000006</v>
      </c>
      <c r="AB238" s="47">
        <v>59.783707810022072</v>
      </c>
      <c r="AC238" s="47">
        <v>64.381270084985161</v>
      </c>
      <c r="AD238" s="658">
        <v>59.031201899999992</v>
      </c>
      <c r="AE238" s="658">
        <v>60.222978640000001</v>
      </c>
      <c r="AF238" s="658">
        <v>55.57382325504868</v>
      </c>
      <c r="AG238" s="658">
        <v>68.272802904618231</v>
      </c>
      <c r="AH238" s="658">
        <v>56.739276800113608</v>
      </c>
      <c r="AI238" s="658">
        <v>62.871894432037813</v>
      </c>
      <c r="AJ238" s="658">
        <v>63.370640999999942</v>
      </c>
      <c r="AK238" s="658">
        <v>63.396205999999985</v>
      </c>
      <c r="AL238" s="658">
        <v>52.69512600000003</v>
      </c>
      <c r="AM238" s="658">
        <v>59.079756000000032</v>
      </c>
      <c r="AN238" s="658">
        <v>58.249741560000039</v>
      </c>
      <c r="AO238" s="658">
        <v>65.430548560000005</v>
      </c>
      <c r="AP238" s="374">
        <f>Summary!W70</f>
        <v>82.718587079999978</v>
      </c>
      <c r="AQ238" s="374">
        <f>Summary!X70</f>
        <v>67.717933549999998</v>
      </c>
      <c r="AR238" s="374">
        <f>Summary!Y70</f>
        <v>55.810001499999998</v>
      </c>
      <c r="AS238" s="374">
        <f>Summary!Z70</f>
        <v>75.429854943909177</v>
      </c>
      <c r="AT238" s="374">
        <f>Summary!AA70</f>
        <v>37.153192857142855</v>
      </c>
      <c r="AU238" s="374">
        <f>Summary!AB70</f>
        <v>0</v>
      </c>
      <c r="AV238" s="374">
        <f>Summary!AC70</f>
        <v>0</v>
      </c>
      <c r="AW238" s="374">
        <f>Summary!AD70</f>
        <v>0</v>
      </c>
      <c r="AX238" s="374">
        <f>Summary!AE70</f>
        <v>0</v>
      </c>
      <c r="AY238" s="374">
        <f>Summary!AF70</f>
        <v>0</v>
      </c>
      <c r="AZ238" s="374">
        <f>Summary!AG70</f>
        <v>0</v>
      </c>
      <c r="BA238" s="374">
        <f>Summary!AH70</f>
        <v>0</v>
      </c>
      <c r="BB238" s="374">
        <f>Summary!AI70</f>
        <v>0</v>
      </c>
      <c r="BC238" s="374">
        <f>Summary!AJ70</f>
        <v>0</v>
      </c>
      <c r="BD238" s="374">
        <f>Summary!AK70</f>
        <v>0</v>
      </c>
      <c r="BE238" s="374">
        <f>Summary!AL70</f>
        <v>0</v>
      </c>
      <c r="BF238" s="374">
        <f>Summary!AM70</f>
        <v>0</v>
      </c>
      <c r="BG238" s="374">
        <f>Summary!AN70</f>
        <v>0</v>
      </c>
      <c r="BH238" s="374">
        <f>Summary!AO70</f>
        <v>0</v>
      </c>
      <c r="BI238" s="79" t="str">
        <f t="shared" si="48"/>
        <v>Fibre Channel</v>
      </c>
      <c r="BK238" s="15">
        <f t="shared" si="49"/>
        <v>82.718587079999978</v>
      </c>
      <c r="BL238" s="219"/>
    </row>
    <row r="239" spans="1:64">
      <c r="D239" s="7"/>
      <c r="E239" s="2" t="s">
        <v>16</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47">
        <v>20.460470885317015</v>
      </c>
      <c r="W239" s="47">
        <v>36.082865883796558</v>
      </c>
      <c r="X239" s="47">
        <v>33.523126987014933</v>
      </c>
      <c r="Y239" s="47">
        <v>37.27421081221749</v>
      </c>
      <c r="Z239" s="47">
        <v>43.846921630000004</v>
      </c>
      <c r="AA239" s="47">
        <v>53.035670459999992</v>
      </c>
      <c r="AB239" s="47">
        <v>51.017422667736142</v>
      </c>
      <c r="AC239" s="47">
        <v>35.863640746232825</v>
      </c>
      <c r="AD239" s="658">
        <v>52.390062026999999</v>
      </c>
      <c r="AE239" s="658">
        <v>50.850225741000003</v>
      </c>
      <c r="AF239" s="658">
        <v>56.618452832003968</v>
      </c>
      <c r="AG239" s="658">
        <v>60.830675652672319</v>
      </c>
      <c r="AH239" s="658">
        <v>63.957993999999999</v>
      </c>
      <c r="AI239" s="658">
        <v>62.745559</v>
      </c>
      <c r="AJ239" s="658">
        <v>64.137828949999971</v>
      </c>
      <c r="AK239" s="658">
        <v>62.059159623799992</v>
      </c>
      <c r="AL239" s="658">
        <v>51.167143999999986</v>
      </c>
      <c r="AM239" s="658">
        <v>62.580782000000006</v>
      </c>
      <c r="AN239" s="658">
        <v>71.458957599999991</v>
      </c>
      <c r="AO239" s="658">
        <v>65.453749080000009</v>
      </c>
      <c r="AP239" s="374">
        <f>Summary!W71</f>
        <v>84.742637639999998</v>
      </c>
      <c r="AQ239" s="374">
        <f>Summary!X71</f>
        <v>103.29352570000002</v>
      </c>
      <c r="AR239" s="374">
        <f>Summary!Y71</f>
        <v>104.325</v>
      </c>
      <c r="AS239" s="374">
        <f>Summary!Z71</f>
        <v>103.94799999999999</v>
      </c>
      <c r="AT239" s="374">
        <f>Summary!AA71</f>
        <v>66.098707101490291</v>
      </c>
      <c r="AU239" s="374">
        <f>Summary!AB71</f>
        <v>0</v>
      </c>
      <c r="AV239" s="374">
        <f>Summary!AC71</f>
        <v>0</v>
      </c>
      <c r="AW239" s="374">
        <f>Summary!AD71</f>
        <v>0</v>
      </c>
      <c r="AX239" s="374">
        <f>Summary!AE71</f>
        <v>0</v>
      </c>
      <c r="AY239" s="374">
        <f>Summary!AF71</f>
        <v>0</v>
      </c>
      <c r="AZ239" s="374">
        <f>Summary!AG71</f>
        <v>0</v>
      </c>
      <c r="BA239" s="374">
        <f>Summary!AH71</f>
        <v>0</v>
      </c>
      <c r="BB239" s="374">
        <f>Summary!AI71</f>
        <v>0</v>
      </c>
      <c r="BC239" s="374">
        <f>Summary!AJ71</f>
        <v>0</v>
      </c>
      <c r="BD239" s="374">
        <f>Summary!AK71</f>
        <v>0</v>
      </c>
      <c r="BE239" s="374">
        <f>Summary!AL71</f>
        <v>0</v>
      </c>
      <c r="BF239" s="374">
        <f>Summary!AM71</f>
        <v>0</v>
      </c>
      <c r="BG239" s="374">
        <f>Summary!AN71</f>
        <v>0</v>
      </c>
      <c r="BH239" s="374">
        <f>Summary!AO71</f>
        <v>0</v>
      </c>
      <c r="BI239" s="79" t="str">
        <f t="shared" si="48"/>
        <v>Optical Interconnects</v>
      </c>
      <c r="BK239" s="15">
        <f t="shared" si="49"/>
        <v>104.325</v>
      </c>
      <c r="BL239" s="219"/>
    </row>
    <row r="240" spans="1:64">
      <c r="D240" s="7"/>
      <c r="E240" s="2" t="s">
        <v>119</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47">
        <v>190.70730727875454</v>
      </c>
      <c r="W240" s="47">
        <v>187.94189193638658</v>
      </c>
      <c r="X240" s="47">
        <v>195.5118174679553</v>
      </c>
      <c r="Y240" s="47">
        <v>212.64251386880485</v>
      </c>
      <c r="Z240" s="47">
        <v>202.53327321968504</v>
      </c>
      <c r="AA240" s="47">
        <v>212.20412135029335</v>
      </c>
      <c r="AB240" s="47">
        <v>205.74416996662052</v>
      </c>
      <c r="AC240" s="47">
        <v>211.48703559850958</v>
      </c>
      <c r="AD240" s="658">
        <v>220.71884872000001</v>
      </c>
      <c r="AE240" s="658">
        <v>247.12567739000002</v>
      </c>
      <c r="AF240" s="658">
        <v>266.26970415696405</v>
      </c>
      <c r="AG240" s="658">
        <v>281.19816038189776</v>
      </c>
      <c r="AH240" s="658">
        <v>270.20488843130698</v>
      </c>
      <c r="AI240" s="658">
        <v>256.6279579070993</v>
      </c>
      <c r="AJ240" s="658">
        <v>243.3572022531458</v>
      </c>
      <c r="AK240" s="658">
        <v>217.88631132471454</v>
      </c>
      <c r="AL240" s="658">
        <v>210.35021426089864</v>
      </c>
      <c r="AM240" s="658">
        <v>202.7706931295109</v>
      </c>
      <c r="AN240" s="658">
        <v>217.42580922000002</v>
      </c>
      <c r="AO240" s="658">
        <v>215.74811346000001</v>
      </c>
      <c r="AP240" s="374">
        <f>Summary!W72</f>
        <v>235.24660455351167</v>
      </c>
      <c r="AQ240" s="374">
        <f>Summary!X72</f>
        <v>245.91406112484921</v>
      </c>
      <c r="AR240" s="374">
        <f>Summary!Y72</f>
        <v>291.10020571723675</v>
      </c>
      <c r="AS240" s="374">
        <f>Summary!Z72</f>
        <v>328.08760742024697</v>
      </c>
      <c r="AT240" s="374">
        <f>Summary!AA72</f>
        <v>195.56157702314923</v>
      </c>
      <c r="AU240" s="374">
        <f>Summary!AB72</f>
        <v>0</v>
      </c>
      <c r="AV240" s="374">
        <f>Summary!AC72</f>
        <v>0</v>
      </c>
      <c r="AW240" s="374">
        <f>Summary!AD72</f>
        <v>0</v>
      </c>
      <c r="AX240" s="374">
        <f>Summary!AE72</f>
        <v>0</v>
      </c>
      <c r="AY240" s="374">
        <f>Summary!AF72</f>
        <v>0</v>
      </c>
      <c r="AZ240" s="374">
        <f>Summary!AG72</f>
        <v>0</v>
      </c>
      <c r="BA240" s="374">
        <f>Summary!AH72</f>
        <v>0</v>
      </c>
      <c r="BB240" s="374">
        <f>Summary!AI72</f>
        <v>0</v>
      </c>
      <c r="BC240" s="374">
        <f>Summary!AJ72</f>
        <v>0</v>
      </c>
      <c r="BD240" s="374">
        <f>Summary!AK72</f>
        <v>0</v>
      </c>
      <c r="BE240" s="374">
        <f>Summary!AL72</f>
        <v>0</v>
      </c>
      <c r="BF240" s="374">
        <f>Summary!AM72</f>
        <v>0</v>
      </c>
      <c r="BG240" s="374">
        <f>Summary!AN72</f>
        <v>0</v>
      </c>
      <c r="BH240" s="374">
        <f>Summary!AO72</f>
        <v>0</v>
      </c>
      <c r="BI240" s="79" t="str">
        <f t="shared" si="48"/>
        <v>CWDM/DWDM</v>
      </c>
      <c r="BK240" s="15">
        <f t="shared" si="49"/>
        <v>328.08760742024697</v>
      </c>
      <c r="BL240" s="219"/>
    </row>
    <row r="241" spans="2:64">
      <c r="D241" s="7"/>
      <c r="E241" s="2" t="s">
        <v>25</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47">
        <v>102.47948385821971</v>
      </c>
      <c r="W241" s="47">
        <v>125.46862342762363</v>
      </c>
      <c r="X241" s="47">
        <v>110.54789892494897</v>
      </c>
      <c r="Y241" s="47">
        <v>99.350660410938346</v>
      </c>
      <c r="Z241" s="47">
        <v>110.21183224490741</v>
      </c>
      <c r="AA241" s="47">
        <v>91.17723711893295</v>
      </c>
      <c r="AB241" s="47">
        <v>72.577522980373644</v>
      </c>
      <c r="AC241" s="47">
        <v>93.458368755009829</v>
      </c>
      <c r="AD241" s="658">
        <v>86.826255020000005</v>
      </c>
      <c r="AE241" s="658">
        <v>89.81419004</v>
      </c>
      <c r="AF241" s="658">
        <v>50.209634004062742</v>
      </c>
      <c r="AG241" s="658">
        <v>47.666089185393695</v>
      </c>
      <c r="AH241" s="658">
        <v>49.844619000000002</v>
      </c>
      <c r="AI241" s="658">
        <v>50.637574000000001</v>
      </c>
      <c r="AJ241" s="658">
        <v>30.340037777510627</v>
      </c>
      <c r="AK241" s="658">
        <v>31.02065639624454</v>
      </c>
      <c r="AL241" s="658">
        <v>47.457810492531337</v>
      </c>
      <c r="AM241" s="658">
        <v>50.387596183874372</v>
      </c>
      <c r="AN241" s="658">
        <v>77.884178947698942</v>
      </c>
      <c r="AO241" s="658">
        <v>96.367299401789481</v>
      </c>
      <c r="AP241" s="374">
        <f>Summary!W73</f>
        <v>158.9100122209687</v>
      </c>
      <c r="AQ241" s="374">
        <f>Summary!X73</f>
        <v>196.46550526560742</v>
      </c>
      <c r="AR241" s="374">
        <f>Summary!Y73</f>
        <v>223.88148596368694</v>
      </c>
      <c r="AS241" s="374">
        <f>Summary!Z73</f>
        <v>243.43234168856131</v>
      </c>
      <c r="AT241" s="374">
        <f>Summary!AA73</f>
        <v>169.72976611778057</v>
      </c>
      <c r="AU241" s="374">
        <f>Summary!AB73</f>
        <v>0</v>
      </c>
      <c r="AV241" s="374">
        <f>Summary!AC73</f>
        <v>0</v>
      </c>
      <c r="AW241" s="374">
        <f>Summary!AD73</f>
        <v>0</v>
      </c>
      <c r="AX241" s="374">
        <f>Summary!AE73</f>
        <v>0</v>
      </c>
      <c r="AY241" s="374">
        <f>Summary!AF73</f>
        <v>0</v>
      </c>
      <c r="AZ241" s="374">
        <f>Summary!AG73</f>
        <v>0</v>
      </c>
      <c r="BA241" s="374">
        <f>Summary!AH73</f>
        <v>0</v>
      </c>
      <c r="BB241" s="374">
        <f>Summary!AI73</f>
        <v>0</v>
      </c>
      <c r="BC241" s="374">
        <f>Summary!AJ73</f>
        <v>0</v>
      </c>
      <c r="BD241" s="374">
        <f>Summary!AK73</f>
        <v>0</v>
      </c>
      <c r="BE241" s="374">
        <f>Summary!AL73</f>
        <v>0</v>
      </c>
      <c r="BF241" s="374">
        <f>Summary!AM73</f>
        <v>0</v>
      </c>
      <c r="BG241" s="374">
        <f>Summary!AN73</f>
        <v>0</v>
      </c>
      <c r="BH241" s="374">
        <f>Summary!AO73</f>
        <v>0</v>
      </c>
      <c r="BI241" s="79" t="str">
        <f t="shared" si="48"/>
        <v>Wireless</v>
      </c>
      <c r="BK241" s="15">
        <f t="shared" si="49"/>
        <v>243.43234168856131</v>
      </c>
      <c r="BL241" s="219"/>
    </row>
    <row r="242" spans="2:64">
      <c r="D242" s="7"/>
      <c r="E242" s="2" t="s">
        <v>20</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47">
        <v>80.735737449389745</v>
      </c>
      <c r="W242" s="47">
        <v>81.626975032385261</v>
      </c>
      <c r="X242" s="47">
        <v>95.739639643731479</v>
      </c>
      <c r="Y242" s="47">
        <v>97.115930005148812</v>
      </c>
      <c r="Z242" s="47">
        <v>99.245026673345848</v>
      </c>
      <c r="AA242" s="47">
        <v>114.01235213170845</v>
      </c>
      <c r="AB242" s="47">
        <v>144.01841977653322</v>
      </c>
      <c r="AC242" s="47">
        <v>164.82885055716505</v>
      </c>
      <c r="AD242" s="658">
        <v>191.83231609999999</v>
      </c>
      <c r="AE242" s="658">
        <v>196.06846041</v>
      </c>
      <c r="AF242" s="658">
        <v>179.23087080950984</v>
      </c>
      <c r="AG242" s="658">
        <v>192.400709045696</v>
      </c>
      <c r="AH242" s="658">
        <v>144.31780632411963</v>
      </c>
      <c r="AI242" s="658">
        <v>137.87054910265189</v>
      </c>
      <c r="AJ242" s="658">
        <v>107.06617811290673</v>
      </c>
      <c r="AK242" s="658">
        <v>113.85412906297407</v>
      </c>
      <c r="AL242" s="658">
        <v>113.02275727764862</v>
      </c>
      <c r="AM242" s="658">
        <v>121.36956958858356</v>
      </c>
      <c r="AN242" s="658">
        <v>135.73638700000001</v>
      </c>
      <c r="AO242" s="658">
        <v>125.53759100000001</v>
      </c>
      <c r="AP242" s="374">
        <f>Summary!W74</f>
        <v>107.43572019544501</v>
      </c>
      <c r="AQ242" s="374">
        <f>Summary!X74</f>
        <v>106.25477420504185</v>
      </c>
      <c r="AR242" s="374">
        <f>Summary!Y74</f>
        <v>115.91002439659283</v>
      </c>
      <c r="AS242" s="374">
        <f>Summary!Z74</f>
        <v>123.47032018048293</v>
      </c>
      <c r="AT242" s="374">
        <f>Summary!AA74</f>
        <v>69.299291605562587</v>
      </c>
      <c r="AU242" s="374">
        <f>Summary!AB74</f>
        <v>0</v>
      </c>
      <c r="AV242" s="374">
        <f>Summary!AC74</f>
        <v>0</v>
      </c>
      <c r="AW242" s="374">
        <f>Summary!AD74</f>
        <v>0</v>
      </c>
      <c r="AX242" s="374">
        <f>Summary!AE74</f>
        <v>0</v>
      </c>
      <c r="AY242" s="374">
        <f>Summary!AF74</f>
        <v>0</v>
      </c>
      <c r="AZ242" s="374">
        <f>Summary!AG74</f>
        <v>0</v>
      </c>
      <c r="BA242" s="374">
        <f>Summary!AH74</f>
        <v>0</v>
      </c>
      <c r="BB242" s="374">
        <f>Summary!AI74</f>
        <v>0</v>
      </c>
      <c r="BC242" s="374">
        <f>Summary!AJ74</f>
        <v>0</v>
      </c>
      <c r="BD242" s="374">
        <f>Summary!AK74</f>
        <v>0</v>
      </c>
      <c r="BE242" s="374">
        <f>Summary!AL74</f>
        <v>0</v>
      </c>
      <c r="BF242" s="374">
        <f>Summary!AM74</f>
        <v>0</v>
      </c>
      <c r="BG242" s="374">
        <f>Summary!AN74</f>
        <v>0</v>
      </c>
      <c r="BH242" s="374">
        <f>Summary!AO74</f>
        <v>0</v>
      </c>
      <c r="BI242" s="79" t="str">
        <f t="shared" si="48"/>
        <v>FTTx</v>
      </c>
      <c r="BK242" s="15">
        <f t="shared" si="49"/>
        <v>196.06846041</v>
      </c>
      <c r="BL242" s="219"/>
    </row>
    <row r="243" spans="2:64">
      <c r="D243" s="7"/>
      <c r="E243" s="2" t="s">
        <v>14</v>
      </c>
      <c r="F243" s="15">
        <f t="shared" ref="F243:AO243" si="50">SUM(F237:F242)</f>
        <v>460.43010014000004</v>
      </c>
      <c r="G243" s="15">
        <f t="shared" si="50"/>
        <v>480.18294604809898</v>
      </c>
      <c r="H243" s="15">
        <f t="shared" si="50"/>
        <v>531.49570567287299</v>
      </c>
      <c r="I243" s="15">
        <f t="shared" si="50"/>
        <v>570.06034413417058</v>
      </c>
      <c r="J243" s="15">
        <f t="shared" si="50"/>
        <v>559.65868994525215</v>
      </c>
      <c r="K243" s="15">
        <f t="shared" si="50"/>
        <v>588.29998807663992</v>
      </c>
      <c r="L243" s="15">
        <f t="shared" si="50"/>
        <v>613.72245695033837</v>
      </c>
      <c r="M243" s="15">
        <f t="shared" si="50"/>
        <v>634.54529121750375</v>
      </c>
      <c r="N243" s="15">
        <f>SUM(N237:N242)</f>
        <v>634.54529121750375</v>
      </c>
      <c r="O243" s="15">
        <f t="shared" si="50"/>
        <v>695.86079231660062</v>
      </c>
      <c r="P243" s="15">
        <f t="shared" si="50"/>
        <v>674.69212160151153</v>
      </c>
      <c r="Q243" s="15">
        <f t="shared" si="50"/>
        <v>672.48948670684626</v>
      </c>
      <c r="R243" s="15">
        <f t="shared" si="50"/>
        <v>695</v>
      </c>
      <c r="S243" s="15">
        <f t="shared" si="50"/>
        <v>762</v>
      </c>
      <c r="T243" s="15">
        <f t="shared" si="50"/>
        <v>800.49437567607936</v>
      </c>
      <c r="U243" s="15">
        <f t="shared" si="50"/>
        <v>834.2393328042856</v>
      </c>
      <c r="V243" s="15">
        <f t="shared" si="50"/>
        <v>852.32763829492944</v>
      </c>
      <c r="W243" s="15">
        <f t="shared" si="50"/>
        <v>952.18793630154335</v>
      </c>
      <c r="X243" s="15">
        <f t="shared" si="50"/>
        <v>908.82926980465538</v>
      </c>
      <c r="Y243" s="15">
        <f t="shared" si="50"/>
        <v>947.08197181544267</v>
      </c>
      <c r="Z243" s="15">
        <f t="shared" si="50"/>
        <v>964.57522811815488</v>
      </c>
      <c r="AA243" s="15">
        <f t="shared" si="50"/>
        <v>1029.0090862273921</v>
      </c>
      <c r="AB243" s="15">
        <f t="shared" si="50"/>
        <v>972.07534675559032</v>
      </c>
      <c r="AC243" s="15">
        <f t="shared" si="50"/>
        <v>1034.5755701565579</v>
      </c>
      <c r="AD243" s="15">
        <f t="shared" si="50"/>
        <v>1185.6119256970001</v>
      </c>
      <c r="AE243" s="15">
        <f t="shared" si="50"/>
        <v>1290.3645665009999</v>
      </c>
      <c r="AF243" s="15">
        <f t="shared" si="50"/>
        <v>1282.5683246565732</v>
      </c>
      <c r="AG243" s="15">
        <f t="shared" si="50"/>
        <v>1451.7102900056668</v>
      </c>
      <c r="AH243" s="15">
        <f t="shared" si="50"/>
        <v>1300.7910523334783</v>
      </c>
      <c r="AI243" s="15">
        <f t="shared" si="50"/>
        <v>1391.2499417030037</v>
      </c>
      <c r="AJ243" s="15">
        <f t="shared" si="50"/>
        <v>1317.8591378258075</v>
      </c>
      <c r="AK243" s="15">
        <f t="shared" si="50"/>
        <v>1303.0409686859384</v>
      </c>
      <c r="AL243" s="2097">
        <f t="shared" si="50"/>
        <v>1273.1475988842049</v>
      </c>
      <c r="AM243" s="2097">
        <f t="shared" si="50"/>
        <v>1322.4684535286585</v>
      </c>
      <c r="AN243" s="2097">
        <f t="shared" si="50"/>
        <v>1328.7905076953264</v>
      </c>
      <c r="AO243" s="2097">
        <f t="shared" si="50"/>
        <v>1269.3064952680961</v>
      </c>
      <c r="AP243" s="15">
        <f>SUM(AP237:AP242)</f>
        <v>1290.5626814312532</v>
      </c>
      <c r="AQ243" s="15">
        <f>SUM(AQ237:AQ242)</f>
        <v>1373.0390357217766</v>
      </c>
      <c r="AR243" s="15">
        <f t="shared" ref="AR243:AW243" si="51">SUM(AR237:AR242)</f>
        <v>1437.803196756154</v>
      </c>
      <c r="AS243" s="15">
        <f t="shared" si="51"/>
        <v>1645.6340858693904</v>
      </c>
      <c r="AT243" s="15">
        <f t="shared" si="51"/>
        <v>1255.1067706752262</v>
      </c>
      <c r="AU243" s="15">
        <f t="shared" si="51"/>
        <v>0</v>
      </c>
      <c r="AV243" s="15">
        <f t="shared" si="51"/>
        <v>0</v>
      </c>
      <c r="AW243" s="15">
        <f t="shared" si="51"/>
        <v>0</v>
      </c>
      <c r="AX243" s="15">
        <f t="shared" ref="AX243:BE243" si="52">SUM(AX237:AX242)</f>
        <v>0</v>
      </c>
      <c r="AY243" s="15">
        <f t="shared" si="52"/>
        <v>0</v>
      </c>
      <c r="AZ243" s="15">
        <f t="shared" si="52"/>
        <v>0</v>
      </c>
      <c r="BA243" s="15">
        <f t="shared" si="52"/>
        <v>0</v>
      </c>
      <c r="BB243" s="15">
        <f t="shared" si="52"/>
        <v>0</v>
      </c>
      <c r="BC243" s="15">
        <f t="shared" si="52"/>
        <v>0</v>
      </c>
      <c r="BD243" s="15">
        <f t="shared" si="52"/>
        <v>0</v>
      </c>
      <c r="BE243" s="15">
        <f t="shared" si="52"/>
        <v>0</v>
      </c>
      <c r="BF243" s="15">
        <f t="shared" ref="BF243:BG243" si="53">SUM(BF237:BF242)</f>
        <v>0</v>
      </c>
      <c r="BG243" s="15">
        <f t="shared" si="53"/>
        <v>0</v>
      </c>
      <c r="BH243" s="15">
        <f t="shared" ref="BH243" si="54">SUM(BH237:BH242)</f>
        <v>0</v>
      </c>
      <c r="BI243" s="15" t="s">
        <v>14</v>
      </c>
      <c r="BK243" s="15">
        <f t="shared" si="49"/>
        <v>1645.6340858693904</v>
      </c>
      <c r="BL243" s="219"/>
    </row>
    <row r="244" spans="2:64" ht="16.05" customHeight="1">
      <c r="D244" s="7"/>
      <c r="E244" s="2" t="s">
        <v>117</v>
      </c>
      <c r="G244" s="5">
        <f t="shared" ref="G244:AE244" si="55">G243/F243-1</f>
        <v>4.290085705103297E-2</v>
      </c>
      <c r="H244" s="5">
        <f t="shared" si="55"/>
        <v>0.10686085386221555</v>
      </c>
      <c r="I244" s="5">
        <f t="shared" si="55"/>
        <v>7.2558701885417465E-2</v>
      </c>
      <c r="J244" s="5">
        <f t="shared" si="55"/>
        <v>-1.8246584411544808E-2</v>
      </c>
      <c r="K244" s="5">
        <f t="shared" si="55"/>
        <v>5.1176366321033173E-2</v>
      </c>
      <c r="L244" s="5">
        <f t="shared" si="55"/>
        <v>4.3213444482318453E-2</v>
      </c>
      <c r="M244" s="5">
        <f t="shared" si="55"/>
        <v>3.3928747484060828E-2</v>
      </c>
      <c r="N244" s="5">
        <f t="shared" si="55"/>
        <v>0</v>
      </c>
      <c r="O244" s="5">
        <f t="shared" si="55"/>
        <v>9.6629038065116912E-2</v>
      </c>
      <c r="P244" s="5">
        <f t="shared" si="55"/>
        <v>-3.0420841278635868E-2</v>
      </c>
      <c r="Q244" s="5">
        <f t="shared" si="55"/>
        <v>-3.2646518673389302E-3</v>
      </c>
      <c r="R244" s="5">
        <f t="shared" si="55"/>
        <v>3.3473405515061394E-2</v>
      </c>
      <c r="S244" s="5">
        <f t="shared" si="55"/>
        <v>9.6402877697841616E-2</v>
      </c>
      <c r="T244" s="5">
        <f t="shared" si="55"/>
        <v>5.0517553380681646E-2</v>
      </c>
      <c r="U244" s="5">
        <f t="shared" si="55"/>
        <v>4.2155145811869188E-2</v>
      </c>
      <c r="V244" s="5">
        <f t="shared" si="55"/>
        <v>2.1682393504319997E-2</v>
      </c>
      <c r="W244" s="5">
        <f t="shared" si="55"/>
        <v>0.11716186771366832</v>
      </c>
      <c r="X244" s="5">
        <f t="shared" si="55"/>
        <v>-4.5535828426161551E-2</v>
      </c>
      <c r="Y244" s="5">
        <f t="shared" si="55"/>
        <v>4.2090085873895067E-2</v>
      </c>
      <c r="Z244" s="5">
        <f t="shared" si="55"/>
        <v>1.8470688729487428E-2</v>
      </c>
      <c r="AA244" s="5">
        <f t="shared" si="55"/>
        <v>6.6800241423310203E-2</v>
      </c>
      <c r="AB244" s="5">
        <f t="shared" si="55"/>
        <v>-5.5328704317408217E-2</v>
      </c>
      <c r="AC244" s="5">
        <f t="shared" si="55"/>
        <v>6.4295657337231082E-2</v>
      </c>
      <c r="AD244" s="5">
        <f t="shared" si="55"/>
        <v>0.14598871256701584</v>
      </c>
      <c r="AE244" s="5">
        <f t="shared" si="55"/>
        <v>8.8353228011279983E-2</v>
      </c>
      <c r="AF244" s="5">
        <f t="shared" ref="AF244:AM244" si="56">AF243/AE243-1</f>
        <v>-6.0418908321137055E-3</v>
      </c>
      <c r="AG244" s="5">
        <f t="shared" si="56"/>
        <v>0.13187754764985637</v>
      </c>
      <c r="AH244" s="5">
        <f t="shared" si="56"/>
        <v>-0.10395961143982757</v>
      </c>
      <c r="AI244" s="5">
        <f t="shared" si="56"/>
        <v>6.9541444959397625E-2</v>
      </c>
      <c r="AJ244" s="5">
        <f t="shared" si="56"/>
        <v>-5.2751703110484938E-2</v>
      </c>
      <c r="AK244" s="5">
        <f t="shared" si="56"/>
        <v>-1.1244122163401982E-2</v>
      </c>
      <c r="AL244" s="5">
        <f t="shared" si="56"/>
        <v>-2.2941235555993145E-2</v>
      </c>
      <c r="AM244" s="5">
        <f t="shared" si="56"/>
        <v>3.8739306179172539E-2</v>
      </c>
      <c r="AN244" s="5">
        <f t="shared" ref="AN244:AT244" si="57">AN243/AM243-1</f>
        <v>4.7804952547632062E-3</v>
      </c>
      <c r="AO244" s="5">
        <f t="shared" si="57"/>
        <v>-4.4765530821258004E-2</v>
      </c>
      <c r="AP244" s="5">
        <f t="shared" si="57"/>
        <v>1.674629905574343E-2</v>
      </c>
      <c r="AQ244" s="5">
        <f t="shared" si="57"/>
        <v>6.3907282828801426E-2</v>
      </c>
      <c r="AR244" s="5">
        <f t="shared" si="57"/>
        <v>4.7168477624769167E-2</v>
      </c>
      <c r="AS244" s="5">
        <f t="shared" si="57"/>
        <v>0.14454752192937548</v>
      </c>
      <c r="AT244" s="5">
        <f t="shared" si="57"/>
        <v>-0.23731114866148884</v>
      </c>
      <c r="AU244" s="5">
        <f t="shared" ref="AU244:BE244" si="58">AU243/AT243-1</f>
        <v>-1</v>
      </c>
      <c r="AV244" s="5" t="e">
        <f t="shared" si="58"/>
        <v>#DIV/0!</v>
      </c>
      <c r="AW244" s="5" t="e">
        <f t="shared" si="58"/>
        <v>#DIV/0!</v>
      </c>
      <c r="AX244" s="5" t="e">
        <f>AX243/AW243-1</f>
        <v>#DIV/0!</v>
      </c>
      <c r="AY244" s="5" t="e">
        <f t="shared" si="58"/>
        <v>#DIV/0!</v>
      </c>
      <c r="AZ244" s="5" t="e">
        <f t="shared" si="58"/>
        <v>#DIV/0!</v>
      </c>
      <c r="BA244" s="5" t="e">
        <f t="shared" si="58"/>
        <v>#DIV/0!</v>
      </c>
      <c r="BB244" s="5" t="e">
        <f t="shared" si="58"/>
        <v>#DIV/0!</v>
      </c>
      <c r="BC244" s="5" t="e">
        <f t="shared" si="58"/>
        <v>#DIV/0!</v>
      </c>
      <c r="BD244" s="5" t="e">
        <f t="shared" si="58"/>
        <v>#DIV/0!</v>
      </c>
      <c r="BE244" s="5" t="e">
        <f t="shared" si="58"/>
        <v>#DIV/0!</v>
      </c>
      <c r="BF244" s="5" t="e">
        <f>BF243/BE243-1</f>
        <v>#DIV/0!</v>
      </c>
      <c r="BG244" s="5" t="e">
        <f>BG243/BF243-1</f>
        <v>#DIV/0!</v>
      </c>
      <c r="BH244" s="5" t="e">
        <f>BH243/BG243-1</f>
        <v>#DIV/0!</v>
      </c>
      <c r="BI244" s="693" t="str">
        <f>E244</f>
        <v>Sequential Q/Q</v>
      </c>
    </row>
    <row r="245" spans="2:64">
      <c r="D245" s="7"/>
      <c r="E245" s="2" t="s">
        <v>116</v>
      </c>
      <c r="J245" s="5">
        <f t="shared" ref="J245:AD245" si="59">J243/F243-1</f>
        <v>0.2155128211102626</v>
      </c>
      <c r="K245" s="5">
        <f t="shared" si="59"/>
        <v>0.22515802137152763</v>
      </c>
      <c r="L245" s="5">
        <f t="shared" si="59"/>
        <v>0.15470821381965139</v>
      </c>
      <c r="M245" s="5">
        <f t="shared" si="59"/>
        <v>0.1131195104989724</v>
      </c>
      <c r="N245" s="5">
        <f t="shared" si="59"/>
        <v>0.13380762707280991</v>
      </c>
      <c r="O245" s="5">
        <f t="shared" si="59"/>
        <v>0.18283325925539273</v>
      </c>
      <c r="P245" s="5">
        <f t="shared" si="59"/>
        <v>9.9344034034763551E-2</v>
      </c>
      <c r="Q245" s="5">
        <f t="shared" si="59"/>
        <v>5.9797458139731585E-2</v>
      </c>
      <c r="R245" s="5">
        <f t="shared" si="59"/>
        <v>9.5272488219874107E-2</v>
      </c>
      <c r="S245" s="5">
        <f t="shared" si="59"/>
        <v>9.5046607617041312E-2</v>
      </c>
      <c r="T245" s="5">
        <f t="shared" si="59"/>
        <v>0.18645875658952704</v>
      </c>
      <c r="U245" s="5">
        <f t="shared" si="59"/>
        <v>0.2405239773926009</v>
      </c>
      <c r="V245" s="5">
        <f t="shared" si="59"/>
        <v>0.22637070258263225</v>
      </c>
      <c r="W245" s="5">
        <f t="shared" si="59"/>
        <v>0.24959046758732728</v>
      </c>
      <c r="X245" s="5">
        <f t="shared" si="59"/>
        <v>0.13533498475498829</v>
      </c>
      <c r="Y245" s="5">
        <f t="shared" si="59"/>
        <v>0.13526410776130371</v>
      </c>
      <c r="Z245" s="5">
        <f t="shared" si="59"/>
        <v>0.13169535373483288</v>
      </c>
      <c r="AA245" s="5">
        <f t="shared" si="59"/>
        <v>8.0678558294106306E-2</v>
      </c>
      <c r="AB245" s="5">
        <f t="shared" si="59"/>
        <v>6.9590713076977728E-2</v>
      </c>
      <c r="AC245" s="26">
        <f t="shared" si="59"/>
        <v>9.2382286797625834E-2</v>
      </c>
      <c r="AD245" s="5">
        <f t="shared" si="59"/>
        <v>0.22915444139082686</v>
      </c>
      <c r="AE245" s="5">
        <f t="shared" ref="AE245:AM245" si="60">AE243/AA243-1</f>
        <v>0.25398753399914398</v>
      </c>
      <c r="AF245" s="5">
        <f t="shared" si="60"/>
        <v>0.31941246009096691</v>
      </c>
      <c r="AG245" s="26">
        <f t="shared" si="60"/>
        <v>0.40319405549657983</v>
      </c>
      <c r="AH245" s="5">
        <f t="shared" si="60"/>
        <v>9.7147408979347594E-2</v>
      </c>
      <c r="AI245" s="26">
        <f t="shared" si="60"/>
        <v>7.8183621761692024E-2</v>
      </c>
      <c r="AJ245" s="26">
        <f t="shared" si="60"/>
        <v>2.7515737361347936E-2</v>
      </c>
      <c r="AK245" s="26">
        <f t="shared" si="60"/>
        <v>-0.1024097730402862</v>
      </c>
      <c r="AL245" s="5">
        <f t="shared" si="60"/>
        <v>-2.1251263528976549E-2</v>
      </c>
      <c r="AM245" s="5">
        <f t="shared" si="60"/>
        <v>-4.943862789323894E-2</v>
      </c>
      <c r="AN245" s="26">
        <f t="shared" ref="AN245:AT245" si="61">AN243/AJ243-1</f>
        <v>8.294793848417914E-3</v>
      </c>
      <c r="AO245" s="26">
        <f t="shared" si="61"/>
        <v>-2.5889035132841687E-2</v>
      </c>
      <c r="AP245" s="26">
        <f t="shared" si="61"/>
        <v>1.3678761647361926E-2</v>
      </c>
      <c r="AQ245" s="26">
        <f t="shared" si="61"/>
        <v>3.8239537629940257E-2</v>
      </c>
      <c r="AR245" s="26">
        <f t="shared" si="61"/>
        <v>8.2039033564365926E-2</v>
      </c>
      <c r="AS245" s="26">
        <f>AS243/AO243-1</f>
        <v>0.29648283689102883</v>
      </c>
      <c r="AT245" s="26">
        <f t="shared" si="61"/>
        <v>-2.747321867133623E-2</v>
      </c>
      <c r="AU245" s="26">
        <f t="shared" ref="AU245:BE245" si="62">AU243/AQ243-1</f>
        <v>-1</v>
      </c>
      <c r="AV245" s="26">
        <f t="shared" si="62"/>
        <v>-1</v>
      </c>
      <c r="AW245" s="26">
        <f t="shared" si="62"/>
        <v>-1</v>
      </c>
      <c r="AX245" s="26">
        <f t="shared" si="62"/>
        <v>-1</v>
      </c>
      <c r="AY245" s="26" t="e">
        <f t="shared" si="62"/>
        <v>#DIV/0!</v>
      </c>
      <c r="AZ245" s="26" t="e">
        <f t="shared" si="62"/>
        <v>#DIV/0!</v>
      </c>
      <c r="BA245" s="26" t="e">
        <f t="shared" si="62"/>
        <v>#DIV/0!</v>
      </c>
      <c r="BB245" s="26" t="e">
        <f t="shared" si="62"/>
        <v>#DIV/0!</v>
      </c>
      <c r="BC245" s="26" t="e">
        <f t="shared" si="62"/>
        <v>#DIV/0!</v>
      </c>
      <c r="BD245" s="26" t="e">
        <f t="shared" si="62"/>
        <v>#DIV/0!</v>
      </c>
      <c r="BE245" s="26" t="e">
        <f t="shared" si="62"/>
        <v>#DIV/0!</v>
      </c>
      <c r="BF245" s="26" t="e">
        <f>BF243/BB243-1</f>
        <v>#DIV/0!</v>
      </c>
      <c r="BG245" s="26" t="e">
        <f>BG243/BC243-1</f>
        <v>#DIV/0!</v>
      </c>
      <c r="BH245" s="26" t="e">
        <f>BH243/BD243-1</f>
        <v>#DIV/0!</v>
      </c>
      <c r="BI245" s="693" t="str">
        <f>E245</f>
        <v>Y-o-Y</v>
      </c>
    </row>
    <row r="246" spans="2:64">
      <c r="D246" s="7"/>
      <c r="T246" s="2" t="s">
        <v>241</v>
      </c>
      <c r="U246" s="220">
        <f>SUM(R243:U243)/SUM(N243:Q243)-1</f>
        <v>0.15467131773112053</v>
      </c>
      <c r="X246" s="2" t="s">
        <v>241</v>
      </c>
      <c r="Y246" s="221">
        <f>SUM(V243:Y243)/SUM(R243:U243)-1</f>
        <v>0.18393987366257614</v>
      </c>
      <c r="AB246" s="2" t="s">
        <v>241</v>
      </c>
      <c r="AC246" s="221">
        <f>SUM(Z243:AC243)/SUM(V243:Y243)-1</f>
        <v>9.283300339066769E-2</v>
      </c>
      <c r="AF246" s="2" t="s">
        <v>241</v>
      </c>
      <c r="AG246" s="221">
        <f>SUM(AD243:AG243)/SUM(Z243:AC243)-1</f>
        <v>0.30248718029067212</v>
      </c>
      <c r="AJ246" s="2" t="s">
        <v>241</v>
      </c>
      <c r="AK246" s="221">
        <f>SUM(AH243:AK243)/SUM(AD243:AG243)-1</f>
        <v>1.9708438758168301E-2</v>
      </c>
      <c r="AN246" s="2" t="s">
        <v>241</v>
      </c>
      <c r="AO246" s="221">
        <f>SUM(AL243:AO243)/SUM(AH243:AK243)-1</f>
        <v>-2.2441062853047367E-2</v>
      </c>
      <c r="AR246" s="2" t="s">
        <v>241</v>
      </c>
      <c r="AS246" s="221">
        <f>SUM(AP243:AS243)/SUM(AL243:AO243)-1</f>
        <v>0.10653764243473396</v>
      </c>
      <c r="AV246" s="2" t="s">
        <v>241</v>
      </c>
      <c r="AW246" s="221">
        <f>SUM(AT243:AW243)/SUM(AP243:AS243)-1</f>
        <v>-0.78160809927971886</v>
      </c>
    </row>
    <row r="247" spans="2:64">
      <c r="B247" s="2096"/>
      <c r="D247" s="7"/>
      <c r="AE247" s="5"/>
      <c r="AG247" s="15">
        <f>SUM(AD243:AG243)</f>
        <v>5210.2551068602397</v>
      </c>
      <c r="AK247" s="15">
        <f>SUM(AH243:AK243)</f>
        <v>5312.941100548228</v>
      </c>
      <c r="AO247" s="15">
        <f>SUM(AL243:AO243)</f>
        <v>5193.7130553762863</v>
      </c>
      <c r="AS247" s="15">
        <f>SUM(AP243:AS243)</f>
        <v>5747.0389997785742</v>
      </c>
      <c r="AT247" s="5"/>
      <c r="AU247" s="5"/>
      <c r="AV247" s="5"/>
      <c r="AW247" s="15">
        <f>SUM(AT243:AW243)</f>
        <v>1255.1067706752262</v>
      </c>
      <c r="AX247" s="5" t="e">
        <f>AX241/AW241-1</f>
        <v>#DIV/0!</v>
      </c>
      <c r="AY247" s="5" t="e">
        <f t="shared" ref="AY247:BE247" si="63">AY241/AX241-1</f>
        <v>#DIV/0!</v>
      </c>
      <c r="AZ247" s="5" t="e">
        <f t="shared" si="63"/>
        <v>#DIV/0!</v>
      </c>
      <c r="BA247" s="5" t="e">
        <f t="shared" si="63"/>
        <v>#DIV/0!</v>
      </c>
      <c r="BB247" s="5" t="e">
        <f t="shared" si="63"/>
        <v>#DIV/0!</v>
      </c>
      <c r="BC247" s="5" t="e">
        <f t="shared" si="63"/>
        <v>#DIV/0!</v>
      </c>
      <c r="BD247" s="5" t="e">
        <f t="shared" si="63"/>
        <v>#DIV/0!</v>
      </c>
      <c r="BE247" s="5" t="e">
        <f t="shared" si="63"/>
        <v>#DIV/0!</v>
      </c>
      <c r="BF247" s="5" t="e">
        <f>BF241/BE241-1</f>
        <v>#DIV/0!</v>
      </c>
      <c r="BG247" s="5" t="e">
        <f>BG241/BF241-1</f>
        <v>#DIV/0!</v>
      </c>
      <c r="BH247" s="5" t="e">
        <f>BH241/BG241-1</f>
        <v>#DIV/0!</v>
      </c>
    </row>
    <row r="248" spans="2:64">
      <c r="B248" s="2096"/>
      <c r="D248" s="7"/>
    </row>
    <row r="249" spans="2:64">
      <c r="D249" s="7"/>
      <c r="Q249" s="341"/>
      <c r="R249" s="342"/>
      <c r="S249" s="1184" t="s">
        <v>21</v>
      </c>
      <c r="T249" s="38"/>
      <c r="U249" s="38"/>
      <c r="V249" s="38"/>
      <c r="W249" s="38"/>
      <c r="X249" s="38"/>
      <c r="Y249" s="38"/>
      <c r="Z249" s="38"/>
      <c r="AA249" s="342"/>
      <c r="AB249" s="342"/>
      <c r="AC249" s="342"/>
      <c r="AD249" s="342"/>
      <c r="AE249" s="342"/>
      <c r="AF249" s="23" t="s">
        <v>508</v>
      </c>
    </row>
    <row r="250" spans="2:64">
      <c r="B250" s="2096"/>
      <c r="D250" s="7"/>
      <c r="Q250" s="9"/>
      <c r="R250" s="3"/>
      <c r="S250" s="3">
        <v>2010</v>
      </c>
      <c r="T250" s="3">
        <v>2011</v>
      </c>
      <c r="U250" s="3">
        <v>2012</v>
      </c>
      <c r="V250" s="3">
        <v>2013</v>
      </c>
      <c r="W250" s="3">
        <v>2014</v>
      </c>
      <c r="X250" s="3">
        <v>2015</v>
      </c>
      <c r="Y250" s="24">
        <v>2016</v>
      </c>
      <c r="Z250" s="24">
        <v>2017</v>
      </c>
      <c r="AA250" s="24">
        <v>2018</v>
      </c>
      <c r="AB250" s="24">
        <v>2019</v>
      </c>
      <c r="AC250" s="24">
        <v>2020</v>
      </c>
      <c r="AD250" s="24">
        <v>2021</v>
      </c>
      <c r="AE250" s="24">
        <v>2022</v>
      </c>
      <c r="AF250" s="24" t="s">
        <v>23</v>
      </c>
    </row>
    <row r="251" spans="2:64">
      <c r="D251" s="7"/>
      <c r="Q251" s="39"/>
      <c r="R251" s="2" t="s">
        <v>17</v>
      </c>
      <c r="S251" s="15">
        <f t="shared" ref="S251:S257" si="64">SUM(F237:I237)</f>
        <v>792.13496030514239</v>
      </c>
      <c r="T251" s="15">
        <f t="shared" ref="T251:T257" si="65">SUM(J237:M237)</f>
        <v>905.96062051597232</v>
      </c>
      <c r="U251" s="15">
        <f t="shared" ref="U251:U257" si="66">SUM(N237:Q237)</f>
        <v>1035.0926867483577</v>
      </c>
      <c r="V251" s="15">
        <f t="shared" ref="V251:V257" si="67">SUM(R237:U237)</f>
        <v>1329.7661459108731</v>
      </c>
      <c r="W251" s="15">
        <f t="shared" ref="W251:W256" si="68">SUM(V237:Y237)</f>
        <v>1690.1196227739376</v>
      </c>
      <c r="X251" s="15">
        <f t="shared" ref="X251:X256" si="69">SUM(Z237:AC237)</f>
        <v>1836.3233441956338</v>
      </c>
      <c r="Y251" s="15">
        <f t="shared" ref="Y251:Y256" si="70">SUM(AD237:AG237)</f>
        <v>2697.1039686443728</v>
      </c>
      <c r="Z251" s="15">
        <f t="shared" ref="Z251:Z256" si="71">SUM(AH237:AK237)</f>
        <v>3160.6346310496024</v>
      </c>
      <c r="AA251" s="15">
        <f t="shared" ref="AA251:AA256" si="72">SUM(AL237:AO237)</f>
        <v>3093.5392306137501</v>
      </c>
      <c r="AB251" s="15">
        <f t="shared" ref="AB251:AB256" si="73">SUM(AP237:AS237)</f>
        <v>2692.9447964324327</v>
      </c>
      <c r="AC251" s="15">
        <f t="shared" ref="AC251:AC256" si="74">SUM(AT237:AW237)</f>
        <v>717.2642359701008</v>
      </c>
      <c r="AD251" s="15">
        <f t="shared" ref="AD251:AD256" si="75">SUM(AX237:BA237)</f>
        <v>0</v>
      </c>
      <c r="AE251" s="15">
        <f t="shared" ref="AE251:AE256" si="76">SUM(BB237:BE237)</f>
        <v>0</v>
      </c>
      <c r="AF251" s="340">
        <f>(AE251/U251)^(1/10)-1</f>
        <v>-1</v>
      </c>
    </row>
    <row r="252" spans="2:64">
      <c r="D252" s="7"/>
      <c r="Q252" s="39"/>
      <c r="R252" s="2" t="s">
        <v>15</v>
      </c>
      <c r="S252" s="15">
        <f t="shared" si="64"/>
        <v>296.31830934000004</v>
      </c>
      <c r="T252" s="15">
        <f t="shared" si="65"/>
        <v>286.54020821</v>
      </c>
      <c r="U252" s="15">
        <f t="shared" si="66"/>
        <v>284.96212309000003</v>
      </c>
      <c r="V252" s="15">
        <f t="shared" si="67"/>
        <v>280.355189</v>
      </c>
      <c r="W252" s="15">
        <f t="shared" si="68"/>
        <v>263.09803957000003</v>
      </c>
      <c r="X252" s="15">
        <f t="shared" si="69"/>
        <v>258.65002118500723</v>
      </c>
      <c r="Y252" s="15">
        <f t="shared" si="70"/>
        <v>243.10080669966692</v>
      </c>
      <c r="Z252" s="15">
        <f t="shared" si="71"/>
        <v>246.37801823215133</v>
      </c>
      <c r="AA252" s="15">
        <f t="shared" si="72"/>
        <v>235.4551721200001</v>
      </c>
      <c r="AB252" s="15">
        <f t="shared" si="73"/>
        <v>281.67637707390912</v>
      </c>
      <c r="AC252" s="15">
        <f t="shared" si="74"/>
        <v>37.153192857142855</v>
      </c>
      <c r="AD252" s="15">
        <f t="shared" si="75"/>
        <v>0</v>
      </c>
      <c r="AE252" s="15">
        <f t="shared" si="76"/>
        <v>0</v>
      </c>
      <c r="AF252" s="340">
        <f t="shared" ref="AF252:AF259" si="77">(AE252/U252)^(1/10)-1</f>
        <v>-1</v>
      </c>
    </row>
    <row r="253" spans="2:64">
      <c r="D253" s="7"/>
      <c r="Q253" s="9"/>
      <c r="R253" s="10" t="s">
        <v>16</v>
      </c>
      <c r="S253" s="22">
        <f t="shared" si="64"/>
        <v>92.700181750000098</v>
      </c>
      <c r="T253" s="22">
        <f t="shared" si="65"/>
        <v>100.91455199999999</v>
      </c>
      <c r="U253" s="22">
        <f t="shared" si="66"/>
        <v>141.39232980000003</v>
      </c>
      <c r="V253" s="22">
        <f t="shared" si="67"/>
        <v>124.93745308</v>
      </c>
      <c r="W253" s="22">
        <f t="shared" si="68"/>
        <v>127.340674568346</v>
      </c>
      <c r="X253" s="22">
        <f t="shared" si="69"/>
        <v>183.76365550396895</v>
      </c>
      <c r="Y253" s="22">
        <f t="shared" si="70"/>
        <v>220.68941625267627</v>
      </c>
      <c r="Z253" s="22">
        <f t="shared" si="71"/>
        <v>252.90054157379996</v>
      </c>
      <c r="AA253" s="22">
        <f t="shared" si="72"/>
        <v>250.66063267999999</v>
      </c>
      <c r="AB253" s="22">
        <f t="shared" si="73"/>
        <v>396.30916334</v>
      </c>
      <c r="AC253" s="22">
        <f t="shared" si="74"/>
        <v>66.098707101490291</v>
      </c>
      <c r="AD253" s="22">
        <f t="shared" si="75"/>
        <v>0</v>
      </c>
      <c r="AE253" s="22">
        <f t="shared" si="76"/>
        <v>0</v>
      </c>
      <c r="AF253" s="340">
        <f t="shared" si="77"/>
        <v>-1</v>
      </c>
    </row>
    <row r="254" spans="2:64">
      <c r="B254" s="2096"/>
      <c r="D254" s="7"/>
      <c r="Q254" s="39"/>
      <c r="R254" s="2" t="s">
        <v>18</v>
      </c>
      <c r="S254" s="15">
        <f t="shared" si="64"/>
        <v>478.14045239999996</v>
      </c>
      <c r="T254" s="15">
        <f t="shared" si="65"/>
        <v>566.39881532702668</v>
      </c>
      <c r="U254" s="15">
        <f t="shared" si="66"/>
        <v>566.70352269702676</v>
      </c>
      <c r="V254" s="15">
        <f t="shared" si="67"/>
        <v>631.94330233404764</v>
      </c>
      <c r="W254" s="15">
        <f t="shared" si="68"/>
        <v>786.8035305519013</v>
      </c>
      <c r="X254" s="15">
        <f t="shared" si="69"/>
        <v>831.96860013510843</v>
      </c>
      <c r="Y254" s="15">
        <f t="shared" si="70"/>
        <v>1015.3123906488619</v>
      </c>
      <c r="Z254" s="15">
        <f t="shared" si="71"/>
        <v>988.07635991626671</v>
      </c>
      <c r="AA254" s="15">
        <f t="shared" si="72"/>
        <v>846.2948300704096</v>
      </c>
      <c r="AB254" s="15">
        <f t="shared" si="73"/>
        <v>1100.3484788158446</v>
      </c>
      <c r="AC254" s="15">
        <f t="shared" si="74"/>
        <v>195.56157702314923</v>
      </c>
      <c r="AD254" s="15">
        <f t="shared" si="75"/>
        <v>0</v>
      </c>
      <c r="AE254" s="15">
        <f t="shared" si="76"/>
        <v>0</v>
      </c>
      <c r="AF254" s="340">
        <f t="shared" si="77"/>
        <v>-1</v>
      </c>
    </row>
    <row r="255" spans="2:64">
      <c r="D255" s="7"/>
      <c r="Q255" s="39"/>
      <c r="R255" s="2" t="s">
        <v>19</v>
      </c>
      <c r="S255" s="15">
        <f t="shared" si="64"/>
        <v>0</v>
      </c>
      <c r="T255" s="15">
        <f t="shared" si="65"/>
        <v>58.174615259999996</v>
      </c>
      <c r="U255" s="15">
        <f t="shared" si="66"/>
        <v>141.83993411500001</v>
      </c>
      <c r="V255" s="15">
        <f t="shared" si="67"/>
        <v>286.23903241909522</v>
      </c>
      <c r="W255" s="15">
        <f t="shared" si="68"/>
        <v>437.84666662173066</v>
      </c>
      <c r="X255" s="15">
        <f t="shared" si="69"/>
        <v>367.42496109922382</v>
      </c>
      <c r="Y255" s="15">
        <f t="shared" si="70"/>
        <v>274.51616824945643</v>
      </c>
      <c r="Z255" s="15">
        <f t="shared" si="71"/>
        <v>161.84288717375514</v>
      </c>
      <c r="AA255" s="15">
        <f t="shared" si="72"/>
        <v>272.0968850258941</v>
      </c>
      <c r="AB255" s="15">
        <f t="shared" si="73"/>
        <v>822.68934513882436</v>
      </c>
      <c r="AC255" s="15">
        <f t="shared" si="74"/>
        <v>169.72976611778057</v>
      </c>
      <c r="AD255" s="15">
        <f t="shared" si="75"/>
        <v>0</v>
      </c>
      <c r="AE255" s="15">
        <f t="shared" si="76"/>
        <v>0</v>
      </c>
      <c r="AF255" s="340">
        <f t="shared" si="77"/>
        <v>-1</v>
      </c>
    </row>
    <row r="256" spans="2:64">
      <c r="D256" s="7"/>
      <c r="Q256" s="9"/>
      <c r="R256" s="10" t="s">
        <v>20</v>
      </c>
      <c r="S256" s="22">
        <f t="shared" si="64"/>
        <v>382.87519220000001</v>
      </c>
      <c r="T256" s="22">
        <f t="shared" si="65"/>
        <v>478.23761487673534</v>
      </c>
      <c r="U256" s="22">
        <f t="shared" si="66"/>
        <v>507.59709539207756</v>
      </c>
      <c r="V256" s="22">
        <f t="shared" si="67"/>
        <v>438.49258573634916</v>
      </c>
      <c r="W256" s="22">
        <f t="shared" si="68"/>
        <v>355.21828213065533</v>
      </c>
      <c r="X256" s="22">
        <f t="shared" si="69"/>
        <v>522.10464913875262</v>
      </c>
      <c r="Y256" s="22">
        <f t="shared" si="70"/>
        <v>759.53235636520583</v>
      </c>
      <c r="Z256" s="22">
        <f t="shared" si="71"/>
        <v>503.10866260265232</v>
      </c>
      <c r="AA256" s="22">
        <f t="shared" si="72"/>
        <v>495.66630486623217</v>
      </c>
      <c r="AB256" s="22">
        <f t="shared" si="73"/>
        <v>453.07083897756263</v>
      </c>
      <c r="AC256" s="22">
        <f t="shared" si="74"/>
        <v>69.299291605562587</v>
      </c>
      <c r="AD256" s="22">
        <f t="shared" si="75"/>
        <v>0</v>
      </c>
      <c r="AE256" s="22">
        <f t="shared" si="76"/>
        <v>0</v>
      </c>
      <c r="AF256" s="340">
        <f t="shared" si="77"/>
        <v>-1</v>
      </c>
    </row>
    <row r="257" spans="2:61">
      <c r="B257" s="2096"/>
      <c r="D257" s="7"/>
      <c r="Q257" s="39"/>
      <c r="R257" s="2" t="s">
        <v>14</v>
      </c>
      <c r="S257" s="15">
        <f t="shared" si="64"/>
        <v>2042.1690959951425</v>
      </c>
      <c r="T257" s="15">
        <f t="shared" si="65"/>
        <v>2396.226426189734</v>
      </c>
      <c r="U257" s="15">
        <f t="shared" si="66"/>
        <v>2677.5876918424619</v>
      </c>
      <c r="V257" s="15">
        <f t="shared" si="67"/>
        <v>3091.7337084803648</v>
      </c>
      <c r="W257" s="15">
        <f t="shared" ref="W257:AC257" si="78">SUM(W251:W256)</f>
        <v>3660.4268162165708</v>
      </c>
      <c r="X257" s="15">
        <f t="shared" si="78"/>
        <v>4000.235231257695</v>
      </c>
      <c r="Y257" s="15">
        <f t="shared" si="78"/>
        <v>5210.2551068602397</v>
      </c>
      <c r="Z257" s="15">
        <f t="shared" si="78"/>
        <v>5312.941100548228</v>
      </c>
      <c r="AA257" s="15">
        <f t="shared" si="78"/>
        <v>5193.7130553762863</v>
      </c>
      <c r="AB257" s="15">
        <f t="shared" si="78"/>
        <v>5747.0389997785733</v>
      </c>
      <c r="AC257" s="15">
        <f t="shared" si="78"/>
        <v>1255.1067706752262</v>
      </c>
      <c r="AD257" s="15">
        <f>SUM(AD251:AD256)</f>
        <v>0</v>
      </c>
      <c r="AE257" s="15">
        <f>SUM(AE251:AE256)</f>
        <v>0</v>
      </c>
      <c r="AF257" s="340">
        <f t="shared" si="77"/>
        <v>-1</v>
      </c>
      <c r="AY257" s="5"/>
    </row>
    <row r="258" spans="2:61">
      <c r="D258" s="7"/>
      <c r="Q258" s="39"/>
      <c r="T258" s="248">
        <f t="shared" ref="T258:Z258" si="79">T257/S257-1</f>
        <v>0.1733731701693686</v>
      </c>
      <c r="U258" s="248">
        <f t="shared" si="79"/>
        <v>0.11741848039799962</v>
      </c>
      <c r="V258" s="248">
        <f t="shared" si="79"/>
        <v>0.15467131773112053</v>
      </c>
      <c r="W258" s="248">
        <f t="shared" si="79"/>
        <v>0.18393987366257614</v>
      </c>
      <c r="X258" s="248">
        <f t="shared" si="79"/>
        <v>9.283300339066769E-2</v>
      </c>
      <c r="Y258" s="248">
        <f t="shared" si="79"/>
        <v>0.30248718029067212</v>
      </c>
      <c r="Z258" s="248">
        <f t="shared" si="79"/>
        <v>1.9708438758168301E-2</v>
      </c>
      <c r="AA258" s="248">
        <f>AA257/Z257-1</f>
        <v>-2.2441062853047367E-2</v>
      </c>
      <c r="AB258" s="248">
        <f>AB257/AA257-1</f>
        <v>0.10653764243473374</v>
      </c>
      <c r="AC258" s="248">
        <f>AC257/AB257-1</f>
        <v>-0.78160809927971875</v>
      </c>
      <c r="AD258" s="248">
        <f>AD257/AC257-1</f>
        <v>-1</v>
      </c>
      <c r="AE258" s="248" t="e">
        <f>AE257/AD257-1</f>
        <v>#DIV/0!</v>
      </c>
      <c r="AF258" s="340"/>
    </row>
    <row r="259" spans="2:61">
      <c r="D259" s="7"/>
      <c r="Q259" s="39"/>
      <c r="R259" s="2" t="s">
        <v>11</v>
      </c>
      <c r="S259" s="15">
        <f t="shared" ref="S259:AA259" si="80">S251+S252+S253</f>
        <v>1181.1534513951426</v>
      </c>
      <c r="T259" s="15">
        <f t="shared" si="80"/>
        <v>1293.4153807259722</v>
      </c>
      <c r="U259" s="15">
        <f t="shared" si="80"/>
        <v>1461.4471396383576</v>
      </c>
      <c r="V259" s="15">
        <f t="shared" si="80"/>
        <v>1735.058787990873</v>
      </c>
      <c r="W259" s="15">
        <f t="shared" si="80"/>
        <v>2080.5583369122837</v>
      </c>
      <c r="X259" s="15">
        <f t="shared" si="80"/>
        <v>2278.73702088461</v>
      </c>
      <c r="Y259" s="15">
        <f t="shared" si="80"/>
        <v>3160.8941915967162</v>
      </c>
      <c r="Z259" s="15">
        <f t="shared" si="80"/>
        <v>3659.9131908555537</v>
      </c>
      <c r="AA259" s="15">
        <f t="shared" si="80"/>
        <v>3579.6550354137503</v>
      </c>
      <c r="AB259" s="15">
        <f>AB251+AB252+AB253</f>
        <v>3370.9303368463416</v>
      </c>
      <c r="AC259" s="15">
        <f>AC251+AC252+AC253</f>
        <v>820.51613592873389</v>
      </c>
      <c r="AD259" s="15">
        <f>AD251+AD252+AD253</f>
        <v>0</v>
      </c>
      <c r="AE259" s="15">
        <f>AE251+AE252+AE253</f>
        <v>0</v>
      </c>
      <c r="AF259" s="340">
        <f t="shared" si="77"/>
        <v>-1</v>
      </c>
    </row>
    <row r="260" spans="2:61">
      <c r="D260" s="7"/>
      <c r="Q260" s="9"/>
      <c r="R260" s="10" t="s">
        <v>10</v>
      </c>
      <c r="S260" s="22">
        <f t="shared" ref="S260:AA260" si="81">SUM(S254:S256)</f>
        <v>861.01564459999997</v>
      </c>
      <c r="T260" s="22">
        <f t="shared" si="81"/>
        <v>1102.811045463762</v>
      </c>
      <c r="U260" s="22">
        <f t="shared" si="81"/>
        <v>1216.1405522041043</v>
      </c>
      <c r="V260" s="22">
        <f t="shared" si="81"/>
        <v>1356.674920489492</v>
      </c>
      <c r="W260" s="22">
        <f t="shared" si="81"/>
        <v>1579.8684793042873</v>
      </c>
      <c r="X260" s="22">
        <f t="shared" si="81"/>
        <v>1721.4982103730849</v>
      </c>
      <c r="Y260" s="22">
        <f t="shared" si="81"/>
        <v>2049.360915263524</v>
      </c>
      <c r="Z260" s="22">
        <f t="shared" si="81"/>
        <v>1653.0279096926743</v>
      </c>
      <c r="AA260" s="22">
        <f t="shared" si="81"/>
        <v>1614.0580199625358</v>
      </c>
      <c r="AB260" s="22">
        <f>SUM(AB254:AB256)</f>
        <v>2376.1086629322317</v>
      </c>
      <c r="AC260" s="22">
        <f>SUM(AC254:AC256)</f>
        <v>434.59063474649241</v>
      </c>
      <c r="AD260" s="22">
        <f>SUM(AD254:AD256)</f>
        <v>0</v>
      </c>
      <c r="AE260" s="22">
        <f>SUM(AE254:AE256)</f>
        <v>0</v>
      </c>
      <c r="AF260" s="340">
        <f>(AE260/U260)^(1/10)-1</f>
        <v>-1</v>
      </c>
    </row>
    <row r="261" spans="2:61">
      <c r="D261" s="7"/>
      <c r="X261" s="45"/>
      <c r="Y261" s="45"/>
      <c r="Z261" s="45"/>
      <c r="AA261" s="45"/>
      <c r="AB261" s="45"/>
      <c r="AC261" s="45"/>
      <c r="AD261" s="45"/>
      <c r="AE261" s="45"/>
      <c r="AF261" s="340"/>
      <c r="BC261" s="5"/>
    </row>
    <row r="262" spans="2:61">
      <c r="D262" s="7"/>
    </row>
    <row r="263" spans="2:61">
      <c r="D263" s="7"/>
    </row>
    <row r="264" spans="2:61">
      <c r="D264" s="7"/>
    </row>
    <row r="265" spans="2:61">
      <c r="D265" s="7"/>
    </row>
    <row r="266" spans="2:61">
      <c r="D266" s="7"/>
      <c r="F266" s="10" t="s">
        <v>86</v>
      </c>
      <c r="G266" s="10" t="s">
        <v>87</v>
      </c>
      <c r="H266" s="10" t="s">
        <v>88</v>
      </c>
      <c r="I266" s="10" t="s">
        <v>89</v>
      </c>
      <c r="J266" s="10" t="s">
        <v>90</v>
      </c>
      <c r="K266" s="10" t="s">
        <v>91</v>
      </c>
      <c r="L266" s="10" t="s">
        <v>92</v>
      </c>
      <c r="M266" s="10" t="s">
        <v>93</v>
      </c>
      <c r="N266" s="10" t="s">
        <v>72</v>
      </c>
      <c r="O266" s="10" t="s">
        <v>73</v>
      </c>
      <c r="P266" s="10" t="s">
        <v>74</v>
      </c>
      <c r="Q266" s="10" t="s">
        <v>75</v>
      </c>
      <c r="R266" s="10" t="s">
        <v>76</v>
      </c>
      <c r="S266" s="10" t="s">
        <v>77</v>
      </c>
      <c r="T266" s="10" t="s">
        <v>78</v>
      </c>
      <c r="U266" s="10" t="s">
        <v>79</v>
      </c>
      <c r="V266" s="10" t="s">
        <v>80</v>
      </c>
      <c r="W266" s="10" t="s">
        <v>81</v>
      </c>
      <c r="X266" s="10" t="s">
        <v>82</v>
      </c>
      <c r="Y266" s="10" t="s">
        <v>83</v>
      </c>
      <c r="Z266" s="10" t="s">
        <v>84</v>
      </c>
      <c r="AA266" s="10" t="s">
        <v>85</v>
      </c>
      <c r="AB266" s="10" t="s">
        <v>94</v>
      </c>
      <c r="AC266" s="10" t="s">
        <v>95</v>
      </c>
      <c r="AD266" s="10" t="s">
        <v>96</v>
      </c>
      <c r="AE266" s="10" t="s">
        <v>97</v>
      </c>
      <c r="AF266" s="10" t="s">
        <v>98</v>
      </c>
      <c r="AG266" s="10" t="s">
        <v>99</v>
      </c>
      <c r="AH266" s="10" t="s">
        <v>100</v>
      </c>
      <c r="AI266" s="10" t="s">
        <v>101</v>
      </c>
      <c r="AJ266" s="10" t="s">
        <v>102</v>
      </c>
      <c r="AK266" s="10" t="s">
        <v>103</v>
      </c>
      <c r="AL266" s="10" t="s">
        <v>104</v>
      </c>
      <c r="AM266" s="10" t="s">
        <v>105</v>
      </c>
      <c r="AN266" s="10" t="str">
        <f t="shared" ref="AN266:BE266" si="82">AN235</f>
        <v>3Q 18</v>
      </c>
      <c r="AO266" s="10" t="str">
        <f t="shared" si="82"/>
        <v>4Q 18</v>
      </c>
      <c r="AP266" s="10" t="str">
        <f t="shared" si="82"/>
        <v>1Q 19</v>
      </c>
      <c r="AQ266" s="10" t="str">
        <f t="shared" si="82"/>
        <v>2Q 19</v>
      </c>
      <c r="AR266" s="10" t="str">
        <f t="shared" si="82"/>
        <v>3Q 19</v>
      </c>
      <c r="AS266" s="10" t="str">
        <f t="shared" si="82"/>
        <v>4Q 19</v>
      </c>
      <c r="AT266" s="10" t="str">
        <f t="shared" si="82"/>
        <v>1Q 20</v>
      </c>
      <c r="AU266" s="10" t="str">
        <f t="shared" si="82"/>
        <v>2Q 20</v>
      </c>
      <c r="AV266" s="10" t="str">
        <f t="shared" si="82"/>
        <v>3Q 20</v>
      </c>
      <c r="AW266" s="10" t="str">
        <f t="shared" si="82"/>
        <v>4Q 20</v>
      </c>
      <c r="AX266" s="10" t="str">
        <f t="shared" si="82"/>
        <v>1Q 21</v>
      </c>
      <c r="AY266" s="10" t="str">
        <f t="shared" si="82"/>
        <v>2Q 21</v>
      </c>
      <c r="AZ266" s="10" t="str">
        <f t="shared" si="82"/>
        <v>3Q 21</v>
      </c>
      <c r="BA266" s="10" t="str">
        <f t="shared" si="82"/>
        <v>4Q 21</v>
      </c>
      <c r="BB266" s="10" t="str">
        <f t="shared" si="82"/>
        <v>1Q 22</v>
      </c>
      <c r="BC266" s="10" t="str">
        <f t="shared" si="82"/>
        <v>2Q 22</v>
      </c>
      <c r="BD266" s="10" t="str">
        <f t="shared" si="82"/>
        <v>3Q 22</v>
      </c>
      <c r="BE266" s="10" t="str">
        <f t="shared" si="82"/>
        <v>4Q 22</v>
      </c>
      <c r="BF266" s="10" t="str">
        <f>BF235</f>
        <v>1Q23</v>
      </c>
      <c r="BG266" s="10" t="str">
        <f>BG235</f>
        <v>2Q23</v>
      </c>
      <c r="BH266" s="10" t="str">
        <f>BH235</f>
        <v>3Q23</v>
      </c>
    </row>
    <row r="267" spans="2:61">
      <c r="D267" s="7"/>
      <c r="E267" s="2" t="s">
        <v>11</v>
      </c>
      <c r="F267" s="4">
        <f t="shared" ref="F267:AK267" si="83">SUM(F237:F239)</f>
        <v>281.93257282000002</v>
      </c>
      <c r="G267" s="4">
        <f t="shared" si="83"/>
        <v>274.82489804809893</v>
      </c>
      <c r="H267" s="4">
        <f t="shared" si="83"/>
        <v>298.42199647287299</v>
      </c>
      <c r="I267" s="4">
        <f t="shared" si="83"/>
        <v>325.97398405417061</v>
      </c>
      <c r="J267" s="4">
        <f t="shared" si="83"/>
        <v>293.6579260359722</v>
      </c>
      <c r="K267" s="4">
        <f t="shared" si="83"/>
        <v>308.18278899999996</v>
      </c>
      <c r="L267" s="4">
        <f t="shared" si="83"/>
        <v>351.29441188000004</v>
      </c>
      <c r="M267" s="4">
        <f t="shared" si="83"/>
        <v>340.28025381000003</v>
      </c>
      <c r="N267" s="4">
        <f t="shared" si="83"/>
        <v>340.28025381000003</v>
      </c>
      <c r="O267" s="4">
        <f t="shared" si="83"/>
        <v>378.21166979999998</v>
      </c>
      <c r="P267" s="4">
        <f t="shared" si="83"/>
        <v>376.21102447151145</v>
      </c>
      <c r="Q267" s="4">
        <f t="shared" si="83"/>
        <v>366.74419155684626</v>
      </c>
      <c r="R267" s="4">
        <f t="shared" si="83"/>
        <v>375</v>
      </c>
      <c r="S267" s="4">
        <f t="shared" si="83"/>
        <v>402</v>
      </c>
      <c r="T267" s="4">
        <f t="shared" si="83"/>
        <v>461.35634837801581</v>
      </c>
      <c r="U267" s="4">
        <f t="shared" si="83"/>
        <v>496.70243961285718</v>
      </c>
      <c r="V267" s="4">
        <f t="shared" si="83"/>
        <v>478.40510970856542</v>
      </c>
      <c r="W267" s="4">
        <f t="shared" si="83"/>
        <v>557.15044590514788</v>
      </c>
      <c r="X267" s="4">
        <f t="shared" si="83"/>
        <v>507.02991376801958</v>
      </c>
      <c r="Y267" s="4">
        <f t="shared" si="83"/>
        <v>537.97286753055073</v>
      </c>
      <c r="Z267" s="4">
        <f t="shared" si="83"/>
        <v>552.58509598021658</v>
      </c>
      <c r="AA267" s="4">
        <f t="shared" si="83"/>
        <v>611.61537562645731</v>
      </c>
      <c r="AB267" s="4">
        <f t="shared" si="83"/>
        <v>549.73523403206286</v>
      </c>
      <c r="AC267" s="4">
        <f t="shared" si="83"/>
        <v>564.80131524587341</v>
      </c>
      <c r="AD267" s="4">
        <f t="shared" si="83"/>
        <v>686.23450585700016</v>
      </c>
      <c r="AE267" s="4">
        <f t="shared" si="83"/>
        <v>757.35623866099991</v>
      </c>
      <c r="AF267" s="4">
        <f t="shared" si="83"/>
        <v>786.8581156860364</v>
      </c>
      <c r="AG267" s="4">
        <f t="shared" si="83"/>
        <v>930.44533139267935</v>
      </c>
      <c r="AH267" s="4">
        <f t="shared" si="83"/>
        <v>836.42373857805183</v>
      </c>
      <c r="AI267" s="4">
        <f t="shared" si="83"/>
        <v>946.11386069325249</v>
      </c>
      <c r="AJ267" s="4">
        <f t="shared" si="83"/>
        <v>937.09571968224441</v>
      </c>
      <c r="AK267" s="4">
        <f t="shared" si="83"/>
        <v>940.27987190200531</v>
      </c>
      <c r="AL267" s="4">
        <f t="shared" ref="AL267:BD267" si="84">SUM(AL237:AL239)</f>
        <v>902.31681685312628</v>
      </c>
      <c r="AM267" s="4">
        <f t="shared" si="84"/>
        <v>947.94059462668974</v>
      </c>
      <c r="AN267" s="4">
        <f t="shared" si="84"/>
        <v>897.74413252762747</v>
      </c>
      <c r="AO267" s="4">
        <f t="shared" si="84"/>
        <v>831.65349140630656</v>
      </c>
      <c r="AP267" s="4">
        <f t="shared" si="84"/>
        <v>788.97034446132773</v>
      </c>
      <c r="AQ267" s="4">
        <f t="shared" si="84"/>
        <v>824.40469512627817</v>
      </c>
      <c r="AR267" s="4">
        <f t="shared" si="84"/>
        <v>806.91148067863719</v>
      </c>
      <c r="AS267" s="4">
        <f t="shared" si="84"/>
        <v>950.64381658009916</v>
      </c>
      <c r="AT267" s="4">
        <f t="shared" si="84"/>
        <v>820.51613592873389</v>
      </c>
      <c r="AU267" s="4">
        <f t="shared" si="84"/>
        <v>0</v>
      </c>
      <c r="AV267" s="4">
        <f t="shared" si="84"/>
        <v>0</v>
      </c>
      <c r="AW267" s="4">
        <f t="shared" si="84"/>
        <v>0</v>
      </c>
      <c r="AX267" s="4">
        <f t="shared" si="84"/>
        <v>0</v>
      </c>
      <c r="AY267" s="4">
        <f t="shared" si="84"/>
        <v>0</v>
      </c>
      <c r="AZ267" s="4">
        <f t="shared" si="84"/>
        <v>0</v>
      </c>
      <c r="BA267" s="4">
        <f t="shared" si="84"/>
        <v>0</v>
      </c>
      <c r="BB267" s="4">
        <f t="shared" si="84"/>
        <v>0</v>
      </c>
      <c r="BC267" s="4">
        <f t="shared" si="84"/>
        <v>0</v>
      </c>
      <c r="BD267" s="4">
        <f t="shared" si="84"/>
        <v>0</v>
      </c>
      <c r="BE267" s="4">
        <f>SUM(BE237:BE239)</f>
        <v>0</v>
      </c>
      <c r="BF267" s="4">
        <f>SUM(BF237:BF239)</f>
        <v>0</v>
      </c>
      <c r="BG267" s="4">
        <f>SUM(BG237:BG239)</f>
        <v>0</v>
      </c>
      <c r="BH267" s="4">
        <f>SUM(BH237:BH239)</f>
        <v>0</v>
      </c>
    </row>
    <row r="268" spans="2:61">
      <c r="D268" s="7"/>
      <c r="E268" s="17" t="s">
        <v>10</v>
      </c>
      <c r="F268" s="20">
        <f t="shared" ref="F268:AK268" si="85">SUM(F240:F242)</f>
        <v>178.49752731999999</v>
      </c>
      <c r="G268" s="20">
        <f t="shared" si="85"/>
        <v>205.358048</v>
      </c>
      <c r="H268" s="20">
        <f t="shared" si="85"/>
        <v>233.0737092</v>
      </c>
      <c r="I268" s="20">
        <f t="shared" si="85"/>
        <v>244.08636007999999</v>
      </c>
      <c r="J268" s="20">
        <f t="shared" si="85"/>
        <v>266.00076390928001</v>
      </c>
      <c r="K268" s="20">
        <f t="shared" si="85"/>
        <v>280.11719907663996</v>
      </c>
      <c r="L268" s="20">
        <f t="shared" si="85"/>
        <v>262.42804507033844</v>
      </c>
      <c r="M268" s="20">
        <f t="shared" si="85"/>
        <v>294.26503740750366</v>
      </c>
      <c r="N268" s="20">
        <f t="shared" si="85"/>
        <v>294.26503740750366</v>
      </c>
      <c r="O268" s="20">
        <f t="shared" si="85"/>
        <v>317.64912251660064</v>
      </c>
      <c r="P268" s="20">
        <f t="shared" si="85"/>
        <v>298.48109713000002</v>
      </c>
      <c r="Q268" s="20">
        <f t="shared" si="85"/>
        <v>305.74529515</v>
      </c>
      <c r="R268" s="20">
        <f t="shared" si="85"/>
        <v>320</v>
      </c>
      <c r="S268" s="20">
        <f t="shared" si="85"/>
        <v>360</v>
      </c>
      <c r="T268" s="20">
        <f t="shared" si="85"/>
        <v>339.13802729806355</v>
      </c>
      <c r="U268" s="20">
        <f t="shared" si="85"/>
        <v>337.53689319142859</v>
      </c>
      <c r="V268" s="20">
        <f t="shared" si="85"/>
        <v>373.92252858636402</v>
      </c>
      <c r="W268" s="20">
        <f t="shared" si="85"/>
        <v>395.03749039639547</v>
      </c>
      <c r="X268" s="20">
        <f t="shared" si="85"/>
        <v>401.79935603663574</v>
      </c>
      <c r="Y268" s="20">
        <f t="shared" si="85"/>
        <v>409.109104284892</v>
      </c>
      <c r="Z268" s="20">
        <f t="shared" si="85"/>
        <v>411.9901321379383</v>
      </c>
      <c r="AA268" s="20">
        <f t="shared" si="85"/>
        <v>417.39371060093475</v>
      </c>
      <c r="AB268" s="20">
        <f t="shared" si="85"/>
        <v>422.3401127235274</v>
      </c>
      <c r="AC268" s="20">
        <f t="shared" si="85"/>
        <v>469.77425491068448</v>
      </c>
      <c r="AD268" s="20">
        <f t="shared" si="85"/>
        <v>499.37741984000002</v>
      </c>
      <c r="AE268" s="20">
        <f t="shared" si="85"/>
        <v>533.00832783999999</v>
      </c>
      <c r="AF268" s="20">
        <f t="shared" si="85"/>
        <v>495.71020897053666</v>
      </c>
      <c r="AG268" s="20">
        <f t="shared" si="85"/>
        <v>521.26495861298747</v>
      </c>
      <c r="AH268" s="20">
        <f t="shared" si="85"/>
        <v>464.36731375542661</v>
      </c>
      <c r="AI268" s="20">
        <f t="shared" si="85"/>
        <v>445.13608100975125</v>
      </c>
      <c r="AJ268" s="20">
        <f t="shared" si="85"/>
        <v>380.76341814356317</v>
      </c>
      <c r="AK268" s="20">
        <f t="shared" si="85"/>
        <v>362.76109678393311</v>
      </c>
      <c r="AL268" s="20">
        <f t="shared" ref="AL268:BE268" si="86">SUM(AL240:AL242)</f>
        <v>370.83078203107863</v>
      </c>
      <c r="AM268" s="20">
        <f t="shared" si="86"/>
        <v>374.52785890196884</v>
      </c>
      <c r="AN268" s="20">
        <f t="shared" si="86"/>
        <v>431.04637516769901</v>
      </c>
      <c r="AO268" s="20">
        <f t="shared" si="86"/>
        <v>437.6530038617895</v>
      </c>
      <c r="AP268" s="20">
        <f t="shared" si="86"/>
        <v>501.59233696992538</v>
      </c>
      <c r="AQ268" s="20">
        <f t="shared" si="86"/>
        <v>548.63434059549843</v>
      </c>
      <c r="AR268" s="20">
        <f t="shared" si="86"/>
        <v>630.89171607751643</v>
      </c>
      <c r="AS268" s="20">
        <f t="shared" si="86"/>
        <v>694.99026928929129</v>
      </c>
      <c r="AT268" s="20">
        <f t="shared" si="86"/>
        <v>434.59063474649241</v>
      </c>
      <c r="AU268" s="20">
        <f t="shared" si="86"/>
        <v>0</v>
      </c>
      <c r="AV268" s="20">
        <f t="shared" si="86"/>
        <v>0</v>
      </c>
      <c r="AW268" s="20">
        <f t="shared" si="86"/>
        <v>0</v>
      </c>
      <c r="AX268" s="20">
        <f t="shared" si="86"/>
        <v>0</v>
      </c>
      <c r="AY268" s="20">
        <f t="shared" si="86"/>
        <v>0</v>
      </c>
      <c r="AZ268" s="20">
        <f t="shared" si="86"/>
        <v>0</v>
      </c>
      <c r="BA268" s="20">
        <f t="shared" si="86"/>
        <v>0</v>
      </c>
      <c r="BB268" s="20">
        <f t="shared" si="86"/>
        <v>0</v>
      </c>
      <c r="BC268" s="20">
        <f t="shared" si="86"/>
        <v>0</v>
      </c>
      <c r="BD268" s="20">
        <f t="shared" si="86"/>
        <v>0</v>
      </c>
      <c r="BE268" s="20">
        <f t="shared" si="86"/>
        <v>0</v>
      </c>
      <c r="BF268" s="20">
        <f>SUM(BF240:BF242)</f>
        <v>0</v>
      </c>
      <c r="BG268" s="20">
        <f>SUM(BG240:BG242)</f>
        <v>0</v>
      </c>
      <c r="BH268" s="20">
        <f>SUM(BH240:BH242)</f>
        <v>0</v>
      </c>
    </row>
    <row r="269" spans="2:61">
      <c r="D269" s="7"/>
      <c r="E269" s="21"/>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row>
    <row r="270" spans="2:61">
      <c r="D270" s="7"/>
      <c r="M270" s="42" t="s">
        <v>118</v>
      </c>
    </row>
    <row r="271" spans="2:61">
      <c r="D271" s="7"/>
      <c r="M271" s="2" t="s">
        <v>11</v>
      </c>
      <c r="N271" s="5">
        <f t="shared" ref="N271:Z272" si="87">N267/J267-1</f>
        <v>0.15876407084723732</v>
      </c>
      <c r="O271" s="5">
        <f t="shared" si="87"/>
        <v>0.2272316407649877</v>
      </c>
      <c r="P271" s="5">
        <f t="shared" si="87"/>
        <v>7.0928007246590541E-2</v>
      </c>
      <c r="Q271" s="5">
        <f t="shared" si="87"/>
        <v>7.7771006253047892E-2</v>
      </c>
      <c r="R271" s="5">
        <f t="shared" si="87"/>
        <v>0.10203279738173165</v>
      </c>
      <c r="S271" s="5">
        <f>S267/O267-1</f>
        <v>6.2896869926248877E-2</v>
      </c>
      <c r="T271" s="5">
        <f t="shared" si="87"/>
        <v>0.22632330890917829</v>
      </c>
      <c r="U271" s="5">
        <f t="shared" si="87"/>
        <v>0.3543566634398001</v>
      </c>
      <c r="V271" s="5">
        <f t="shared" si="87"/>
        <v>0.2757469592228412</v>
      </c>
      <c r="W271" s="5">
        <f t="shared" si="87"/>
        <v>0.38594638284862648</v>
      </c>
      <c r="X271" s="5">
        <f t="shared" si="87"/>
        <v>9.8998454341373332E-2</v>
      </c>
      <c r="Y271" s="5">
        <f t="shared" si="87"/>
        <v>8.3088836748739903E-2</v>
      </c>
      <c r="Z271" s="5">
        <f t="shared" si="87"/>
        <v>0.15505684359608973</v>
      </c>
      <c r="AA271" s="5">
        <f t="shared" ref="AA271:AP272" si="88">AA267/W267-1</f>
        <v>9.7756234642916828E-2</v>
      </c>
      <c r="AB271" s="5">
        <f t="shared" si="88"/>
        <v>8.422643142822972E-2</v>
      </c>
      <c r="AC271" s="5">
        <f t="shared" si="88"/>
        <v>4.9869518212829034E-2</v>
      </c>
      <c r="AD271" s="5">
        <f t="shared" si="88"/>
        <v>0.24186213281722035</v>
      </c>
      <c r="AE271" s="5">
        <f t="shared" si="88"/>
        <v>0.23828842249962245</v>
      </c>
      <c r="AF271" s="5">
        <f t="shared" si="88"/>
        <v>0.43134015608710929</v>
      </c>
      <c r="AG271" s="5">
        <f t="shared" si="88"/>
        <v>0.64738520657946963</v>
      </c>
      <c r="AH271" s="5">
        <f t="shared" si="88"/>
        <v>0.2188599253450374</v>
      </c>
      <c r="AI271" s="5">
        <f t="shared" si="88"/>
        <v>0.24923227986604379</v>
      </c>
      <c r="AJ271" s="5">
        <f t="shared" si="88"/>
        <v>0.19093353808166635</v>
      </c>
      <c r="AK271" s="5">
        <f t="shared" si="88"/>
        <v>1.0569713423792093E-2</v>
      </c>
      <c r="AL271" s="5">
        <f t="shared" si="88"/>
        <v>7.8779541081766657E-2</v>
      </c>
      <c r="AM271" s="5">
        <f t="shared" si="88"/>
        <v>1.9307759978262062E-3</v>
      </c>
      <c r="AN271" s="5">
        <f t="shared" si="88"/>
        <v>-4.1993135096125012E-2</v>
      </c>
      <c r="AO271" s="5">
        <f t="shared" si="88"/>
        <v>-0.11552558311810768</v>
      </c>
      <c r="AP271" s="5">
        <f t="shared" si="88"/>
        <v>-0.1256171560529038</v>
      </c>
      <c r="AQ271" s="5">
        <f t="shared" ref="AQ271:AU272" si="89">AQ267/AM267-1</f>
        <v>-0.13032029665219846</v>
      </c>
      <c r="AR271" s="5">
        <f t="shared" si="89"/>
        <v>-0.10117877528561292</v>
      </c>
      <c r="AS271" s="5">
        <f t="shared" si="89"/>
        <v>0.14307680590937299</v>
      </c>
      <c r="AT271" s="5">
        <f t="shared" si="89"/>
        <v>3.998349454939798E-2</v>
      </c>
      <c r="AU271" s="5">
        <f t="shared" si="89"/>
        <v>-1</v>
      </c>
      <c r="AV271" s="5">
        <f t="shared" ref="AV271:BD272" si="90">AV267/AR267-1</f>
        <v>-1</v>
      </c>
      <c r="AW271" s="5">
        <f t="shared" si="90"/>
        <v>-1</v>
      </c>
      <c r="AX271" s="5">
        <f t="shared" si="90"/>
        <v>-1</v>
      </c>
      <c r="AY271" s="5" t="e">
        <f t="shared" si="90"/>
        <v>#DIV/0!</v>
      </c>
      <c r="AZ271" s="5" t="e">
        <f t="shared" si="90"/>
        <v>#DIV/0!</v>
      </c>
      <c r="BA271" s="5" t="e">
        <f t="shared" si="90"/>
        <v>#DIV/0!</v>
      </c>
      <c r="BB271" s="5" t="e">
        <f t="shared" si="90"/>
        <v>#DIV/0!</v>
      </c>
      <c r="BC271" s="5" t="e">
        <f>BC267/AY267-1</f>
        <v>#DIV/0!</v>
      </c>
      <c r="BD271" s="5" t="e">
        <f t="shared" si="90"/>
        <v>#DIV/0!</v>
      </c>
      <c r="BE271" s="5" t="e">
        <f t="shared" ref="BE271:BH272" si="91">BE267/BA267-1</f>
        <v>#DIV/0!</v>
      </c>
      <c r="BF271" s="5" t="e">
        <f t="shared" si="91"/>
        <v>#DIV/0!</v>
      </c>
      <c r="BG271" s="5" t="e">
        <f t="shared" si="91"/>
        <v>#DIV/0!</v>
      </c>
      <c r="BH271" s="5" t="e">
        <f t="shared" si="91"/>
        <v>#DIV/0!</v>
      </c>
      <c r="BI271" s="2" t="s">
        <v>11</v>
      </c>
    </row>
    <row r="272" spans="2:61">
      <c r="D272" s="7"/>
      <c r="M272" s="2" t="s">
        <v>10</v>
      </c>
      <c r="N272" s="5">
        <f t="shared" si="87"/>
        <v>0.10625636213534784</v>
      </c>
      <c r="O272" s="5">
        <f t="shared" si="87"/>
        <v>0.13398650123476341</v>
      </c>
      <c r="P272" s="5">
        <f t="shared" si="87"/>
        <v>0.13738261872887225</v>
      </c>
      <c r="Q272" s="5">
        <f t="shared" si="87"/>
        <v>3.9013325686388933E-2</v>
      </c>
      <c r="R272" s="5">
        <f t="shared" si="87"/>
        <v>8.7455046713069473E-2</v>
      </c>
      <c r="S272" s="5">
        <f t="shared" si="87"/>
        <v>0.13332597032811289</v>
      </c>
      <c r="T272" s="5">
        <f t="shared" si="87"/>
        <v>0.13621274700138164</v>
      </c>
      <c r="U272" s="5">
        <f t="shared" si="87"/>
        <v>0.10398066150398644</v>
      </c>
      <c r="V272" s="5">
        <f t="shared" si="87"/>
        <v>0.16850790183238762</v>
      </c>
      <c r="W272" s="5">
        <f t="shared" si="87"/>
        <v>9.7326362212209583E-2</v>
      </c>
      <c r="X272" s="5">
        <f t="shared" si="87"/>
        <v>0.18476644815622545</v>
      </c>
      <c r="Y272" s="5">
        <f t="shared" si="87"/>
        <v>0.21204263159722925</v>
      </c>
      <c r="Z272" s="5">
        <f t="shared" si="87"/>
        <v>0.10180612464162309</v>
      </c>
      <c r="AA272" s="5">
        <f t="shared" si="88"/>
        <v>5.6592654489846517E-2</v>
      </c>
      <c r="AB272" s="5">
        <f t="shared" si="88"/>
        <v>5.1121925354750353E-2</v>
      </c>
      <c r="AC272" s="5">
        <f t="shared" si="88"/>
        <v>0.14828599508151497</v>
      </c>
      <c r="AD272" s="5">
        <f t="shared" si="88"/>
        <v>0.2121101475139302</v>
      </c>
      <c r="AE272" s="5">
        <f t="shared" si="88"/>
        <v>0.27699175694959877</v>
      </c>
      <c r="AF272" s="5">
        <f t="shared" si="88"/>
        <v>0.17372277469424002</v>
      </c>
      <c r="AG272" s="26">
        <f t="shared" si="88"/>
        <v>0.1096073340845225</v>
      </c>
      <c r="AH272" s="26">
        <f>AH268/AD268-1</f>
        <v>-7.0107507255315227E-2</v>
      </c>
      <c r="AI272" s="26">
        <f t="shared" si="88"/>
        <v>-0.16486092663195029</v>
      </c>
      <c r="AJ272" s="26">
        <f t="shared" si="88"/>
        <v>-0.23188304123429004</v>
      </c>
      <c r="AK272" s="26">
        <f t="shared" si="88"/>
        <v>-0.30407542116548714</v>
      </c>
      <c r="AL272" s="26">
        <f t="shared" si="88"/>
        <v>-0.20142789760093205</v>
      </c>
      <c r="AM272" s="26">
        <f t="shared" si="88"/>
        <v>-0.15862165553422225</v>
      </c>
      <c r="AN272" s="26">
        <f t="shared" si="88"/>
        <v>0.13205826670349174</v>
      </c>
      <c r="AO272" s="26">
        <f t="shared" si="88"/>
        <v>0.20644966547353705</v>
      </c>
      <c r="AP272" s="26">
        <f t="shared" si="88"/>
        <v>0.3526178550298662</v>
      </c>
      <c r="AQ272" s="26">
        <f t="shared" si="89"/>
        <v>0.46486924151375675</v>
      </c>
      <c r="AR272" s="26">
        <f t="shared" si="89"/>
        <v>0.46362839922286181</v>
      </c>
      <c r="AS272" s="26">
        <f>AS268/AO268-1</f>
        <v>0.58799382880225526</v>
      </c>
      <c r="AT272" s="26">
        <f>AT268/AP268-1</f>
        <v>-0.13357800206475301</v>
      </c>
      <c r="AU272" s="26">
        <f>AU268/AQ268-1</f>
        <v>-1</v>
      </c>
      <c r="AV272" s="26">
        <f t="shared" si="90"/>
        <v>-1</v>
      </c>
      <c r="AW272" s="26">
        <f t="shared" si="90"/>
        <v>-1</v>
      </c>
      <c r="AX272" s="26">
        <f t="shared" si="90"/>
        <v>-1</v>
      </c>
      <c r="AY272" s="26" t="e">
        <f t="shared" si="90"/>
        <v>#DIV/0!</v>
      </c>
      <c r="AZ272" s="26" t="e">
        <f t="shared" si="90"/>
        <v>#DIV/0!</v>
      </c>
      <c r="BA272" s="26" t="e">
        <f t="shared" si="90"/>
        <v>#DIV/0!</v>
      </c>
      <c r="BB272" s="26" t="e">
        <f t="shared" si="90"/>
        <v>#DIV/0!</v>
      </c>
      <c r="BC272" s="26" t="e">
        <f t="shared" si="90"/>
        <v>#DIV/0!</v>
      </c>
      <c r="BD272" s="26" t="e">
        <f t="shared" si="90"/>
        <v>#DIV/0!</v>
      </c>
      <c r="BE272" s="26" t="e">
        <f t="shared" si="91"/>
        <v>#DIV/0!</v>
      </c>
      <c r="BF272" s="26" t="e">
        <f t="shared" si="91"/>
        <v>#DIV/0!</v>
      </c>
      <c r="BG272" s="26" t="e">
        <f t="shared" si="91"/>
        <v>#DIV/0!</v>
      </c>
      <c r="BH272" s="26" t="e">
        <f t="shared" si="91"/>
        <v>#DIV/0!</v>
      </c>
      <c r="BI272" s="2" t="s">
        <v>10</v>
      </c>
    </row>
    <row r="273" spans="1:63">
      <c r="D273" s="7"/>
    </row>
    <row r="274" spans="1:63" ht="17.399999999999999">
      <c r="A274" s="28"/>
      <c r="B274" s="35" t="s">
        <v>629</v>
      </c>
      <c r="C274" s="28"/>
      <c r="D274" s="36"/>
      <c r="E274" s="28"/>
      <c r="F274" s="28"/>
      <c r="G274" s="28"/>
      <c r="H274" s="646"/>
      <c r="I274" s="28"/>
      <c r="J274" s="28"/>
      <c r="K274" s="28"/>
      <c r="L274" s="28"/>
      <c r="M274" s="28"/>
      <c r="N274" s="46"/>
      <c r="O274" s="46"/>
      <c r="P274" s="46"/>
      <c r="Q274" s="647"/>
      <c r="R274" s="46"/>
      <c r="S274" s="46"/>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row>
  </sheetData>
  <sortState xmlns:xlrd2="http://schemas.microsoft.com/office/spreadsheetml/2017/richdata2" ref="AP183:AS189">
    <sortCondition descending="1" ref="AS183:AS189"/>
  </sortState>
  <mergeCells count="1">
    <mergeCell ref="AE214:AN214"/>
  </mergeCells>
  <phoneticPr fontId="62"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Datacom equip</vt:lpstr>
      <vt:lpstr>Network equip</vt:lpstr>
      <vt:lpstr>OC vendors</vt:lpstr>
      <vt:lpstr>Semiconductor vendors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Stelyana Baleva</dc:creator>
  <cp:lastModifiedBy>Stelyana Baleva</cp:lastModifiedBy>
  <dcterms:created xsi:type="dcterms:W3CDTF">2015-03-09T15:37:28Z</dcterms:created>
  <dcterms:modified xsi:type="dcterms:W3CDTF">2023-12-14T22:07:37Z</dcterms:modified>
</cp:coreProperties>
</file>