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0.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1.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2.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drawings/drawing13.xml" ContentType="application/vnd.openxmlformats-officedocument.drawing+xml"/>
  <Override PartName="/xl/comments6.xml" ContentType="application/vnd.openxmlformats-officedocument.spreadsheetml.comments+xml"/>
  <Override PartName="/xl/charts/chart46.xml" ContentType="application/vnd.openxmlformats-officedocument.drawingml.chart+xml"/>
  <Override PartName="/xl/charts/chart47.xml" ContentType="application/vnd.openxmlformats-officedocument.drawingml.chart+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mc:AlternateContent xmlns:mc="http://schemas.openxmlformats.org/markup-compatibility/2006">
    <mc:Choice Requires="x15">
      <x15ac:absPath xmlns:x15ac="http://schemas.microsoft.com/office/spreadsheetml/2010/11/ac" url="C:\Users\Stelyana Baleva\LightCounting Dropbox\Optical\QMU\2022\Q2 2022 QMU\Deliverables\"/>
    </mc:Choice>
  </mc:AlternateContent>
  <xr:revisionPtr revIDLastSave="0" documentId="13_ncr:1_{67E77AF7-590B-4939-9A04-693A3160C3E0}" xr6:coauthVersionLast="47" xr6:coauthVersionMax="47" xr10:uidLastSave="{00000000-0000-0000-0000-000000000000}"/>
  <bookViews>
    <workbookView xWindow="-108" yWindow="-108" windowWidth="30936" windowHeight="16776" tabRatio="692"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Network equip" sheetId="5" r:id="rId12"/>
    <sheet name="Datacom equip" sheetId="6" r:id="rId13"/>
    <sheet name="OC vendors" sheetId="7" r:id="rId14"/>
    <sheet name="Semiconductor vendors" sheetId="20" r:id="rId15"/>
  </sheets>
  <externalReferences>
    <externalReference r:id="rId16"/>
    <externalReference r:id="rId17"/>
  </externalReference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4"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4" hidden="1">[2]Bankruptcies!#REF!</definedName>
    <definedName name="_Key1" hidden="1">[2]Bankruptcies!#REF!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51" i="31" l="1"/>
  <c r="Q51" i="31"/>
  <c r="R50" i="31"/>
  <c r="Q50" i="31"/>
  <c r="R49" i="31"/>
  <c r="Q49" i="31"/>
  <c r="R48" i="31"/>
  <c r="Q48" i="31"/>
  <c r="R47" i="31"/>
  <c r="Q47" i="31"/>
  <c r="R46" i="31"/>
  <c r="Q46" i="31"/>
  <c r="R45" i="31"/>
  <c r="Q45" i="31"/>
  <c r="R44" i="31"/>
  <c r="Q44" i="31"/>
  <c r="R43" i="31"/>
  <c r="Q43" i="31"/>
  <c r="R42" i="31"/>
  <c r="Q42" i="31"/>
  <c r="R69" i="26"/>
  <c r="Q69" i="26"/>
  <c r="S68" i="26"/>
  <c r="R68" i="26"/>
  <c r="Q68" i="26"/>
  <c r="R67" i="26"/>
  <c r="Q67" i="26"/>
  <c r="R66" i="26"/>
  <c r="Q66" i="26"/>
  <c r="R65" i="26"/>
  <c r="Q65" i="26"/>
  <c r="R64" i="26"/>
  <c r="Q64" i="26"/>
  <c r="R63" i="26"/>
  <c r="Q63" i="26"/>
  <c r="R62" i="26"/>
  <c r="Q62" i="26"/>
  <c r="R61" i="26"/>
  <c r="Q61" i="26"/>
  <c r="R60" i="26"/>
  <c r="Q60" i="26"/>
  <c r="R59" i="26"/>
  <c r="Q59" i="26"/>
  <c r="R57" i="26"/>
  <c r="Q57" i="26"/>
  <c r="R52" i="31" l="1"/>
  <c r="Q53" i="31"/>
  <c r="R53" i="31"/>
  <c r="Q52" i="31"/>
  <c r="U30" i="6" l="1"/>
  <c r="Y16" i="20" l="1"/>
  <c r="W16" i="20"/>
  <c r="Y8" i="20" l="1"/>
  <c r="X8" i="20"/>
  <c r="W8" i="20"/>
  <c r="W30" i="3" l="1"/>
  <c r="U24" i="7" l="1"/>
  <c r="U29" i="7"/>
  <c r="U31" i="7"/>
  <c r="U44" i="7" l="1"/>
  <c r="U49" i="7"/>
  <c r="U38" i="7"/>
  <c r="U39" i="7"/>
  <c r="U45" i="7"/>
  <c r="U50" i="7"/>
  <c r="U36" i="7"/>
  <c r="U41" i="7"/>
  <c r="U46" i="7"/>
  <c r="U51" i="7"/>
  <c r="U37" i="7"/>
  <c r="U43" i="7"/>
  <c r="U47" i="7"/>
  <c r="U54" i="7" l="1"/>
  <c r="U55" i="7" s="1"/>
  <c r="U52" i="7"/>
  <c r="U22" i="6"/>
  <c r="U32" i="6" s="1"/>
  <c r="U22" i="5"/>
  <c r="AK218" i="2" l="1"/>
  <c r="AL218" i="2"/>
  <c r="AV206" i="2"/>
  <c r="AV208" i="2"/>
  <c r="AV142" i="2"/>
  <c r="AV143" i="2"/>
  <c r="AV130" i="2"/>
  <c r="AV132" i="2"/>
  <c r="AV133" i="2"/>
  <c r="AV134" i="2"/>
  <c r="AV135" i="2"/>
  <c r="AV136" i="2"/>
  <c r="AV137" i="2"/>
  <c r="AV138" i="2"/>
  <c r="AV139" i="2"/>
  <c r="AV140" i="2"/>
  <c r="AV29" i="2"/>
  <c r="Y25" i="20"/>
  <c r="Y24" i="20"/>
  <c r="X24" i="20"/>
  <c r="W24" i="20"/>
  <c r="Y23" i="20"/>
  <c r="X23" i="20"/>
  <c r="W23" i="20"/>
  <c r="Y22" i="20"/>
  <c r="X22" i="20"/>
  <c r="W22" i="20"/>
  <c r="Y20" i="20"/>
  <c r="X20" i="20"/>
  <c r="W20" i="20"/>
  <c r="Y19" i="20"/>
  <c r="Y18" i="20"/>
  <c r="Y15" i="20"/>
  <c r="Y11" i="20"/>
  <c r="X11" i="20"/>
  <c r="W11" i="20"/>
  <c r="Y9" i="20"/>
  <c r="X9" i="20"/>
  <c r="W9" i="20"/>
  <c r="Y23" i="7"/>
  <c r="X23" i="7"/>
  <c r="W23" i="7"/>
  <c r="Y22" i="7"/>
  <c r="X22" i="7"/>
  <c r="W22" i="7"/>
  <c r="Y21" i="7"/>
  <c r="X21" i="7"/>
  <c r="W21" i="7"/>
  <c r="Y19" i="7"/>
  <c r="X19" i="7"/>
  <c r="W19" i="7"/>
  <c r="Y18" i="7"/>
  <c r="X18" i="7"/>
  <c r="W18" i="7"/>
  <c r="Y17" i="7"/>
  <c r="X17" i="7"/>
  <c r="W17" i="7"/>
  <c r="Y16" i="7"/>
  <c r="X16" i="7"/>
  <c r="W16" i="7"/>
  <c r="Y15" i="7"/>
  <c r="X15" i="7"/>
  <c r="W15" i="7"/>
  <c r="Y11" i="7"/>
  <c r="X11" i="7"/>
  <c r="W11" i="7"/>
  <c r="Y10" i="7"/>
  <c r="X10" i="7"/>
  <c r="W10" i="7"/>
  <c r="Y9" i="7"/>
  <c r="X9" i="7"/>
  <c r="W9" i="7"/>
  <c r="Y8" i="7"/>
  <c r="X8" i="7"/>
  <c r="W8" i="7"/>
  <c r="U44" i="4"/>
  <c r="W8" i="4"/>
  <c r="U23" i="4"/>
  <c r="AV144" i="2" l="1"/>
  <c r="AV95" i="2"/>
  <c r="AV94" i="2"/>
  <c r="W8" i="5"/>
  <c r="AV96" i="2" l="1"/>
  <c r="F279" i="2"/>
  <c r="F285" i="2"/>
  <c r="F284" i="2"/>
  <c r="G285" i="2" l="1"/>
  <c r="G284" i="2"/>
  <c r="G279" i="2"/>
  <c r="G278" i="2"/>
  <c r="G287" i="2"/>
  <c r="G277" i="2"/>
  <c r="G276" i="2"/>
  <c r="G275" i="2"/>
  <c r="F278" i="2"/>
  <c r="F287" i="2"/>
  <c r="F277" i="2"/>
  <c r="F276" i="2"/>
  <c r="F275" i="2"/>
  <c r="Z8" i="6"/>
  <c r="W8" i="6"/>
  <c r="U18" i="5"/>
  <c r="Y17" i="5"/>
  <c r="X17" i="5"/>
  <c r="W17" i="5"/>
  <c r="Y16" i="5"/>
  <c r="X16" i="5"/>
  <c r="W16" i="5"/>
  <c r="Y15" i="5"/>
  <c r="X15" i="5"/>
  <c r="W15" i="5"/>
  <c r="Y14" i="5"/>
  <c r="X14" i="5"/>
  <c r="W14" i="5"/>
  <c r="Y13" i="5"/>
  <c r="X13" i="5"/>
  <c r="W13" i="5"/>
  <c r="Y12" i="5"/>
  <c r="X12" i="5"/>
  <c r="W12" i="5"/>
  <c r="Y11" i="5"/>
  <c r="X11" i="5"/>
  <c r="W11" i="5"/>
  <c r="Y10" i="5"/>
  <c r="X10" i="5"/>
  <c r="W10" i="5"/>
  <c r="Y9" i="5"/>
  <c r="X9" i="5"/>
  <c r="W9" i="5"/>
  <c r="Y8" i="5"/>
  <c r="X8" i="5"/>
  <c r="U52" i="3"/>
  <c r="U60" i="3"/>
  <c r="U46" i="3"/>
  <c r="U24" i="3"/>
  <c r="Y23" i="3"/>
  <c r="X23" i="3"/>
  <c r="W23" i="3"/>
  <c r="Y22" i="3"/>
  <c r="X22" i="3"/>
  <c r="W22" i="3"/>
  <c r="Y21" i="3"/>
  <c r="X21" i="3"/>
  <c r="W21" i="3"/>
  <c r="Y20" i="3"/>
  <c r="X20" i="3"/>
  <c r="W20" i="3"/>
  <c r="Y19" i="3"/>
  <c r="X19" i="3"/>
  <c r="W19" i="3"/>
  <c r="Y18" i="3"/>
  <c r="X18" i="3"/>
  <c r="W18" i="3"/>
  <c r="Y17" i="3"/>
  <c r="X17" i="3"/>
  <c r="W17" i="3"/>
  <c r="Y16" i="3"/>
  <c r="X16" i="3"/>
  <c r="W16" i="3"/>
  <c r="Y15" i="3"/>
  <c r="X15" i="3"/>
  <c r="W15" i="3"/>
  <c r="Y14" i="3"/>
  <c r="X14" i="3"/>
  <c r="W14" i="3"/>
  <c r="Y13" i="3"/>
  <c r="X13" i="3"/>
  <c r="W13" i="3"/>
  <c r="Y12" i="3"/>
  <c r="X12" i="3"/>
  <c r="W12" i="3"/>
  <c r="Y11" i="3"/>
  <c r="X11" i="3"/>
  <c r="W11" i="3"/>
  <c r="Y10" i="3"/>
  <c r="X10" i="3"/>
  <c r="W10" i="3"/>
  <c r="Y9" i="3"/>
  <c r="X9" i="3"/>
  <c r="W9" i="3"/>
  <c r="Y8" i="3"/>
  <c r="X8" i="3"/>
  <c r="W8" i="3"/>
  <c r="Y45" i="3"/>
  <c r="X45" i="3"/>
  <c r="W45" i="3"/>
  <c r="Y44" i="3"/>
  <c r="X44" i="3"/>
  <c r="W44" i="3"/>
  <c r="Y43" i="3"/>
  <c r="X43" i="3"/>
  <c r="W43" i="3"/>
  <c r="Y42" i="3"/>
  <c r="X42" i="3"/>
  <c r="W42" i="3"/>
  <c r="Y41" i="3"/>
  <c r="X41" i="3"/>
  <c r="W41" i="3"/>
  <c r="Y40" i="3"/>
  <c r="X40" i="3"/>
  <c r="W40" i="3"/>
  <c r="Y39" i="3"/>
  <c r="X39" i="3"/>
  <c r="W39" i="3"/>
  <c r="Y38" i="3"/>
  <c r="X38" i="3"/>
  <c r="W38" i="3"/>
  <c r="Y37" i="3"/>
  <c r="X37" i="3"/>
  <c r="W37" i="3"/>
  <c r="Y36" i="3"/>
  <c r="X36" i="3"/>
  <c r="W36" i="3"/>
  <c r="Y35" i="3"/>
  <c r="X35" i="3"/>
  <c r="W35" i="3"/>
  <c r="Y34" i="3"/>
  <c r="X34" i="3"/>
  <c r="W34" i="3"/>
  <c r="Y33" i="3"/>
  <c r="X33" i="3"/>
  <c r="W33" i="3"/>
  <c r="Y32" i="3"/>
  <c r="X32" i="3"/>
  <c r="W32" i="3"/>
  <c r="Y31" i="3"/>
  <c r="X31" i="3"/>
  <c r="W31" i="3"/>
  <c r="Y30" i="3"/>
  <c r="X30" i="3"/>
  <c r="U47" i="4"/>
  <c r="U51" i="4"/>
  <c r="U53" i="4" s="1"/>
  <c r="U56" i="4"/>
  <c r="U58" i="4" s="1"/>
  <c r="X22" i="4"/>
  <c r="W22" i="4"/>
  <c r="X21" i="4"/>
  <c r="W21" i="4"/>
  <c r="X20" i="4"/>
  <c r="W20" i="4"/>
  <c r="X19" i="4"/>
  <c r="W19" i="4"/>
  <c r="X18" i="4"/>
  <c r="W18" i="4"/>
  <c r="X17" i="4"/>
  <c r="W17" i="4"/>
  <c r="X16" i="4"/>
  <c r="W16" i="4"/>
  <c r="X15" i="4"/>
  <c r="W15" i="4"/>
  <c r="W9" i="4"/>
  <c r="X9" i="4"/>
  <c r="W10" i="4"/>
  <c r="X10" i="4"/>
  <c r="W11" i="4"/>
  <c r="X11" i="4"/>
  <c r="W12" i="4"/>
  <c r="X12" i="4"/>
  <c r="W13" i="4"/>
  <c r="X13" i="4"/>
  <c r="W14" i="4"/>
  <c r="X14" i="4"/>
  <c r="X8" i="4"/>
  <c r="U23" i="5" l="1"/>
  <c r="AV70" i="2"/>
  <c r="U59" i="3"/>
  <c r="AV45" i="2"/>
  <c r="AV41" i="2"/>
  <c r="AV46" i="2"/>
  <c r="AV42" i="2"/>
  <c r="U55" i="3"/>
  <c r="AV72" i="2" l="1"/>
  <c r="AV48" i="2"/>
  <c r="AV49" i="2"/>
  <c r="AV43" i="2"/>
  <c r="H276" i="2" l="1"/>
  <c r="H275" i="2"/>
  <c r="H280" i="2"/>
  <c r="Z9" i="6" l="1"/>
  <c r="Y21" i="6"/>
  <c r="X21" i="6"/>
  <c r="W21" i="6"/>
  <c r="Y20" i="6"/>
  <c r="X20" i="6"/>
  <c r="W20" i="6"/>
  <c r="Y18" i="6"/>
  <c r="X18" i="6"/>
  <c r="W18" i="6"/>
  <c r="Y17" i="6"/>
  <c r="X17" i="6"/>
  <c r="W17" i="6"/>
  <c r="Y16" i="6"/>
  <c r="X16" i="6"/>
  <c r="W16" i="6"/>
  <c r="Y15" i="6"/>
  <c r="X15" i="6"/>
  <c r="W15" i="6"/>
  <c r="Y14" i="6"/>
  <c r="X14" i="6"/>
  <c r="W14" i="6"/>
  <c r="Y13" i="6"/>
  <c r="X13" i="6"/>
  <c r="W13" i="6"/>
  <c r="Y12" i="6"/>
  <c r="X12" i="6"/>
  <c r="W12" i="6"/>
  <c r="Y11" i="6"/>
  <c r="X11" i="6"/>
  <c r="W11" i="6"/>
  <c r="Y10" i="6"/>
  <c r="X10" i="6"/>
  <c r="W10" i="6"/>
  <c r="Y8" i="6"/>
  <c r="X8" i="6"/>
  <c r="S62" i="29" l="1"/>
  <c r="S63" i="29"/>
  <c r="S58" i="29"/>
  <c r="T58" i="29"/>
  <c r="S59" i="29"/>
  <c r="T59" i="29"/>
  <c r="S55" i="29"/>
  <c r="T55" i="29"/>
  <c r="S56" i="29"/>
  <c r="T56" i="29"/>
  <c r="S72" i="30"/>
  <c r="R72" i="30"/>
  <c r="R81" i="30"/>
  <c r="S81" i="30"/>
  <c r="R73" i="25"/>
  <c r="R72" i="27"/>
  <c r="P69" i="25" s="1"/>
  <c r="Q72" i="27"/>
  <c r="O210" i="25"/>
  <c r="O209" i="25"/>
  <c r="C21" i="31"/>
  <c r="F21" i="31"/>
  <c r="E21" i="31"/>
  <c r="D21" i="31"/>
  <c r="R282" i="25"/>
  <c r="Q282" i="25"/>
  <c r="P282" i="25"/>
  <c r="O282" i="25"/>
  <c r="N282" i="25"/>
  <c r="M282" i="25"/>
  <c r="L282" i="25"/>
  <c r="K282" i="25"/>
  <c r="J282" i="25"/>
  <c r="I282" i="25"/>
  <c r="H282" i="25"/>
  <c r="G282" i="25"/>
  <c r="S63" i="26"/>
  <c r="K43" i="31"/>
  <c r="L43" i="31"/>
  <c r="M43" i="31"/>
  <c r="N43" i="31"/>
  <c r="O43" i="31"/>
  <c r="P43" i="31"/>
  <c r="K44" i="31"/>
  <c r="L44" i="31"/>
  <c r="M44" i="31"/>
  <c r="N44" i="31"/>
  <c r="O44" i="31"/>
  <c r="P44" i="31"/>
  <c r="K45" i="31"/>
  <c r="L45" i="31"/>
  <c r="M45" i="31"/>
  <c r="N45" i="31"/>
  <c r="O45" i="31"/>
  <c r="P45" i="31"/>
  <c r="K46" i="31"/>
  <c r="L46" i="31"/>
  <c r="M46" i="31"/>
  <c r="N46" i="31"/>
  <c r="O46" i="31"/>
  <c r="P46" i="31"/>
  <c r="K47" i="31"/>
  <c r="L47" i="31"/>
  <c r="M47" i="31"/>
  <c r="N47" i="31"/>
  <c r="O47" i="31"/>
  <c r="P47" i="31"/>
  <c r="K48" i="31"/>
  <c r="L48" i="31"/>
  <c r="M48" i="31"/>
  <c r="N48" i="31"/>
  <c r="O48" i="31"/>
  <c r="P48" i="31"/>
  <c r="K49" i="31"/>
  <c r="L49" i="31"/>
  <c r="M49" i="31"/>
  <c r="N49" i="31"/>
  <c r="O49" i="31"/>
  <c r="P49" i="31"/>
  <c r="K50" i="31"/>
  <c r="L50" i="31"/>
  <c r="M50" i="31"/>
  <c r="N50" i="31"/>
  <c r="O50" i="31"/>
  <c r="P50" i="31"/>
  <c r="K51" i="31"/>
  <c r="L51" i="31"/>
  <c r="M51" i="31"/>
  <c r="N51" i="31"/>
  <c r="O51" i="31"/>
  <c r="P51" i="31"/>
  <c r="L42" i="31"/>
  <c r="M42" i="31"/>
  <c r="N42" i="31"/>
  <c r="O42" i="31"/>
  <c r="P42" i="31"/>
  <c r="AF245" i="25" s="1"/>
  <c r="R61" i="29"/>
  <c r="R60" i="29"/>
  <c r="R85" i="30"/>
  <c r="S85" i="30"/>
  <c r="P85" i="30"/>
  <c r="Q85" i="30"/>
  <c r="Q84" i="30"/>
  <c r="S72" i="27"/>
  <c r="S203" i="27"/>
  <c r="Q188" i="27"/>
  <c r="R188" i="27"/>
  <c r="Q186" i="27"/>
  <c r="R186" i="27"/>
  <c r="I281" i="2"/>
  <c r="J281" i="2"/>
  <c r="I280" i="2"/>
  <c r="J280" i="2"/>
  <c r="AU29" i="2"/>
  <c r="V26" i="20"/>
  <c r="U26" i="20"/>
  <c r="T26" i="20"/>
  <c r="AU177" i="2" s="1"/>
  <c r="R26" i="20"/>
  <c r="O26" i="20"/>
  <c r="N26" i="20"/>
  <c r="N37" i="20" s="1"/>
  <c r="M26" i="20"/>
  <c r="L26" i="20"/>
  <c r="K26" i="20"/>
  <c r="K36" i="20" s="1"/>
  <c r="B58" i="20"/>
  <c r="B72" i="20"/>
  <c r="B50" i="20"/>
  <c r="B36" i="20"/>
  <c r="R176" i="25"/>
  <c r="Q176" i="25"/>
  <c r="P176" i="25"/>
  <c r="O176" i="25"/>
  <c r="N176" i="25"/>
  <c r="M176" i="25"/>
  <c r="L176" i="25"/>
  <c r="K176" i="25"/>
  <c r="AC141" i="25"/>
  <c r="AB141" i="25"/>
  <c r="AA141" i="25"/>
  <c r="R52" i="28"/>
  <c r="R53" i="28"/>
  <c r="R141" i="25"/>
  <c r="Q141" i="25"/>
  <c r="P141" i="25"/>
  <c r="O141" i="25"/>
  <c r="N141" i="25"/>
  <c r="M141" i="25"/>
  <c r="L141" i="25"/>
  <c r="K141" i="25"/>
  <c r="S199" i="27"/>
  <c r="S196" i="27"/>
  <c r="S166" i="27"/>
  <c r="T208" i="27"/>
  <c r="T206" i="27"/>
  <c r="T204" i="27"/>
  <c r="T203" i="27"/>
  <c r="S202" i="27"/>
  <c r="T201" i="27"/>
  <c r="S200" i="27"/>
  <c r="T199" i="27"/>
  <c r="T198" i="27"/>
  <c r="T197" i="27"/>
  <c r="T196" i="27"/>
  <c r="T195" i="27"/>
  <c r="S195" i="27"/>
  <c r="S194" i="27"/>
  <c r="S193" i="27"/>
  <c r="S191" i="27"/>
  <c r="S190" i="27"/>
  <c r="S189" i="27"/>
  <c r="S188" i="27"/>
  <c r="S187" i="27"/>
  <c r="S186" i="27"/>
  <c r="S184" i="27"/>
  <c r="S183" i="27"/>
  <c r="S182" i="27"/>
  <c r="S180" i="27"/>
  <c r="S179" i="27"/>
  <c r="S178" i="27"/>
  <c r="S177" i="27"/>
  <c r="S176" i="27"/>
  <c r="S175" i="27"/>
  <c r="S174" i="27"/>
  <c r="S173" i="27"/>
  <c r="S172" i="27"/>
  <c r="S171" i="27"/>
  <c r="S170" i="27"/>
  <c r="S169" i="27"/>
  <c r="S168" i="27"/>
  <c r="T166" i="27"/>
  <c r="T164" i="27"/>
  <c r="T162" i="27"/>
  <c r="T160" i="27"/>
  <c r="S159" i="27"/>
  <c r="T158" i="27"/>
  <c r="T157" i="27"/>
  <c r="T155" i="27"/>
  <c r="S154" i="27"/>
  <c r="T153" i="27"/>
  <c r="S152" i="27"/>
  <c r="S151" i="27"/>
  <c r="T151" i="27"/>
  <c r="S150" i="27"/>
  <c r="T148" i="27"/>
  <c r="S148" i="27"/>
  <c r="S73" i="30"/>
  <c r="R73" i="30"/>
  <c r="R93" i="30"/>
  <c r="R92" i="30"/>
  <c r="R90" i="30"/>
  <c r="R89" i="30"/>
  <c r="R87" i="30"/>
  <c r="S86" i="30"/>
  <c r="R84" i="30"/>
  <c r="S82" i="30"/>
  <c r="R82" i="30"/>
  <c r="R80" i="30"/>
  <c r="S79" i="30"/>
  <c r="S77" i="30"/>
  <c r="R76" i="30"/>
  <c r="S75" i="30"/>
  <c r="R74" i="30"/>
  <c r="T63" i="29"/>
  <c r="T62" i="29"/>
  <c r="T57" i="29"/>
  <c r="T53" i="29"/>
  <c r="T52" i="29"/>
  <c r="T50" i="29"/>
  <c r="S69" i="26"/>
  <c r="T68" i="26"/>
  <c r="S67" i="26"/>
  <c r="S64" i="26"/>
  <c r="S62" i="26"/>
  <c r="T62" i="26"/>
  <c r="S60" i="26"/>
  <c r="T26" i="26"/>
  <c r="R72" i="25" s="1"/>
  <c r="S26" i="26"/>
  <c r="Q72" i="25" s="1"/>
  <c r="Q174" i="25"/>
  <c r="T146" i="27"/>
  <c r="T24" i="29"/>
  <c r="R74" i="25" s="1"/>
  <c r="S24" i="29"/>
  <c r="Q74" i="25" s="1"/>
  <c r="R138" i="25"/>
  <c r="S44" i="28"/>
  <c r="R45" i="28"/>
  <c r="S46" i="28"/>
  <c r="R47" i="28"/>
  <c r="S48" i="28"/>
  <c r="R49" i="28"/>
  <c r="S50" i="28"/>
  <c r="R51" i="28"/>
  <c r="S52" i="28"/>
  <c r="S54" i="28"/>
  <c r="AH278" i="25"/>
  <c r="AG278" i="25"/>
  <c r="R245" i="25"/>
  <c r="Q245" i="25"/>
  <c r="R244" i="25"/>
  <c r="Q244" i="25"/>
  <c r="Q208" i="25"/>
  <c r="Q175" i="25"/>
  <c r="R140" i="25"/>
  <c r="Q140" i="25"/>
  <c r="R139" i="25"/>
  <c r="Q139" i="25"/>
  <c r="Q138" i="25"/>
  <c r="Q137" i="25"/>
  <c r="R246" i="25"/>
  <c r="Q246" i="25"/>
  <c r="AH245" i="25"/>
  <c r="AH246" i="25"/>
  <c r="R71" i="25"/>
  <c r="Q71" i="25"/>
  <c r="AF176" i="25"/>
  <c r="Q70" i="26"/>
  <c r="AE72" i="25" s="1"/>
  <c r="AT240" i="2" s="1"/>
  <c r="AI222" i="2" s="1"/>
  <c r="T189" i="27"/>
  <c r="T60" i="29"/>
  <c r="S60" i="29"/>
  <c r="S87" i="30"/>
  <c r="T152" i="27"/>
  <c r="T169" i="27"/>
  <c r="T183" i="27"/>
  <c r="S74" i="30"/>
  <c r="T177" i="27"/>
  <c r="T191" i="27"/>
  <c r="T200" i="27"/>
  <c r="T187" i="27"/>
  <c r="T193" i="27"/>
  <c r="T202" i="27"/>
  <c r="T175" i="27"/>
  <c r="T173" i="27"/>
  <c r="T171" i="27"/>
  <c r="T179" i="27"/>
  <c r="T154" i="27"/>
  <c r="S160" i="27"/>
  <c r="S153" i="27"/>
  <c r="S162" i="27"/>
  <c r="T150" i="27"/>
  <c r="S155" i="27"/>
  <c r="S164" i="27"/>
  <c r="S157" i="27"/>
  <c r="S76" i="30"/>
  <c r="S84" i="30"/>
  <c r="S90" i="30"/>
  <c r="S92" i="30"/>
  <c r="S80" i="30"/>
  <c r="S89" i="30"/>
  <c r="S93" i="30"/>
  <c r="S53" i="29"/>
  <c r="S57" i="29"/>
  <c r="S207" i="27"/>
  <c r="T207" i="27"/>
  <c r="R75" i="30"/>
  <c r="R77" i="30"/>
  <c r="R79" i="30"/>
  <c r="R86" i="30"/>
  <c r="S161" i="27"/>
  <c r="T161" i="27"/>
  <c r="S165" i="27"/>
  <c r="T165" i="27"/>
  <c r="S50" i="29"/>
  <c r="S52" i="29"/>
  <c r="S205" i="27"/>
  <c r="T205" i="27"/>
  <c r="S209" i="27"/>
  <c r="T209" i="27"/>
  <c r="T159" i="27"/>
  <c r="S163" i="27"/>
  <c r="T163" i="27"/>
  <c r="S198" i="27"/>
  <c r="S201" i="27"/>
  <c r="S204" i="27"/>
  <c r="S206" i="27"/>
  <c r="S208" i="27"/>
  <c r="T168" i="27"/>
  <c r="T170" i="27"/>
  <c r="T172" i="27"/>
  <c r="T174" i="27"/>
  <c r="T176" i="27"/>
  <c r="T178" i="27"/>
  <c r="T180" i="27"/>
  <c r="T182" i="27"/>
  <c r="T184" i="27"/>
  <c r="T186" i="27"/>
  <c r="T188" i="27"/>
  <c r="T190" i="27"/>
  <c r="T194" i="27"/>
  <c r="S197" i="27"/>
  <c r="S158" i="27"/>
  <c r="R175" i="25"/>
  <c r="Q173" i="25"/>
  <c r="Q172" i="25"/>
  <c r="R208" i="25"/>
  <c r="R207" i="25"/>
  <c r="R210" i="25"/>
  <c r="R211" i="25"/>
  <c r="Q211" i="25"/>
  <c r="Q207" i="25"/>
  <c r="Q210" i="25"/>
  <c r="R209" i="25"/>
  <c r="Q209" i="25"/>
  <c r="R137" i="25"/>
  <c r="S21" i="28"/>
  <c r="R70" i="25" s="1"/>
  <c r="R21" i="28"/>
  <c r="Q70" i="25" s="1"/>
  <c r="S53" i="28"/>
  <c r="R44" i="28"/>
  <c r="R46" i="28"/>
  <c r="R48" i="28"/>
  <c r="R50" i="28"/>
  <c r="S51" i="28"/>
  <c r="S49" i="28"/>
  <c r="S47" i="28"/>
  <c r="S45" i="28"/>
  <c r="R54" i="28"/>
  <c r="AG245" i="25"/>
  <c r="AU132" i="2"/>
  <c r="AU133" i="2"/>
  <c r="AU134" i="2"/>
  <c r="AU135" i="2"/>
  <c r="AU136" i="2"/>
  <c r="AU137" i="2"/>
  <c r="AU138" i="2"/>
  <c r="AU139" i="2"/>
  <c r="AU140" i="2"/>
  <c r="AU142" i="2"/>
  <c r="AU143" i="2"/>
  <c r="AG246" i="25"/>
  <c r="AG280" i="25"/>
  <c r="AU130" i="2"/>
  <c r="R173" i="25"/>
  <c r="R172" i="25"/>
  <c r="R174" i="25"/>
  <c r="AG137" i="25"/>
  <c r="AG138" i="25"/>
  <c r="T60" i="3"/>
  <c r="AU45" i="2" s="1"/>
  <c r="T52" i="3"/>
  <c r="T24" i="3"/>
  <c r="T46" i="3"/>
  <c r="Y22" i="4"/>
  <c r="Y21" i="4"/>
  <c r="Y19" i="4"/>
  <c r="Y18" i="4"/>
  <c r="Y16" i="4"/>
  <c r="Y15" i="4"/>
  <c r="Y14" i="4"/>
  <c r="Y13" i="4"/>
  <c r="Y11" i="4"/>
  <c r="Y10" i="4"/>
  <c r="Y9" i="4"/>
  <c r="Y8" i="4"/>
  <c r="Y43" i="4"/>
  <c r="Y42" i="4"/>
  <c r="Y41" i="4"/>
  <c r="Y40" i="4"/>
  <c r="Y39" i="4"/>
  <c r="Y38" i="4"/>
  <c r="Y37" i="4"/>
  <c r="Y36" i="4"/>
  <c r="Y35" i="4"/>
  <c r="Y34" i="4"/>
  <c r="Y33" i="4"/>
  <c r="Y32" i="4"/>
  <c r="Y31" i="4"/>
  <c r="Y30" i="4"/>
  <c r="Y29" i="4"/>
  <c r="T18" i="5"/>
  <c r="Y18" i="5" s="1"/>
  <c r="T22" i="5"/>
  <c r="T30" i="6"/>
  <c r="T31" i="7"/>
  <c r="T29" i="7"/>
  <c r="U30" i="7" s="1"/>
  <c r="T24" i="7"/>
  <c r="AU208" i="2" s="1"/>
  <c r="AC9" i="7"/>
  <c r="AB8" i="7"/>
  <c r="T23" i="5"/>
  <c r="T43" i="7"/>
  <c r="T55" i="3"/>
  <c r="U57" i="3" s="1"/>
  <c r="B3" i="20"/>
  <c r="B3" i="7"/>
  <c r="B3" i="6"/>
  <c r="B3" i="5"/>
  <c r="B3" i="4"/>
  <c r="B3" i="3"/>
  <c r="B3" i="2"/>
  <c r="K24" i="7"/>
  <c r="N22" i="6"/>
  <c r="M22" i="6"/>
  <c r="L22" i="6"/>
  <c r="K22" i="6"/>
  <c r="N18" i="5"/>
  <c r="M18" i="5"/>
  <c r="L18" i="5"/>
  <c r="K18" i="5"/>
  <c r="N44" i="4"/>
  <c r="M44" i="4"/>
  <c r="M47" i="4" s="1"/>
  <c r="L44" i="4"/>
  <c r="K44" i="4"/>
  <c r="N23" i="4"/>
  <c r="R24" i="4" s="1"/>
  <c r="M23" i="4"/>
  <c r="L23" i="4"/>
  <c r="K23" i="4"/>
  <c r="N46" i="3"/>
  <c r="M46" i="3"/>
  <c r="L46" i="3"/>
  <c r="K46" i="3"/>
  <c r="N24" i="3"/>
  <c r="AO41" i="2" s="1"/>
  <c r="N243" i="2"/>
  <c r="P284" i="25"/>
  <c r="O284" i="25"/>
  <c r="N284" i="25"/>
  <c r="M284" i="25"/>
  <c r="L284" i="25"/>
  <c r="P283" i="25"/>
  <c r="O283" i="25"/>
  <c r="N283" i="25"/>
  <c r="M283" i="25"/>
  <c r="L283" i="25"/>
  <c r="K283" i="25"/>
  <c r="K284" i="25"/>
  <c r="D34" i="30"/>
  <c r="AF278" i="25"/>
  <c r="AE278" i="25"/>
  <c r="AD278" i="25"/>
  <c r="AC278" i="25"/>
  <c r="P281" i="25"/>
  <c r="O281" i="25"/>
  <c r="N281" i="25"/>
  <c r="M281" i="25"/>
  <c r="P280" i="25"/>
  <c r="O280" i="25"/>
  <c r="N280" i="25"/>
  <c r="M280" i="25"/>
  <c r="P279" i="25"/>
  <c r="O279" i="25"/>
  <c r="N279" i="25"/>
  <c r="M279" i="25"/>
  <c r="P278" i="25"/>
  <c r="O278" i="25"/>
  <c r="O285" i="25" s="1"/>
  <c r="N278" i="25"/>
  <c r="M278" i="25"/>
  <c r="P210" i="25"/>
  <c r="N207" i="25"/>
  <c r="N208" i="25"/>
  <c r="N209" i="25"/>
  <c r="N210" i="25"/>
  <c r="P209" i="25"/>
  <c r="P212" i="25" s="1"/>
  <c r="P211" i="25"/>
  <c r="O211" i="25"/>
  <c r="N24" i="29"/>
  <c r="N26" i="26"/>
  <c r="J176" i="25"/>
  <c r="I176" i="25"/>
  <c r="P175" i="25"/>
  <c r="O175" i="25"/>
  <c r="N175" i="25"/>
  <c r="M175" i="25"/>
  <c r="L175" i="25"/>
  <c r="K175" i="25"/>
  <c r="J175" i="25"/>
  <c r="I175" i="25"/>
  <c r="P174" i="25"/>
  <c r="O174" i="25"/>
  <c r="N174" i="25"/>
  <c r="M174" i="25"/>
  <c r="L174" i="25"/>
  <c r="K174" i="25"/>
  <c r="J174" i="25"/>
  <c r="I174" i="25"/>
  <c r="N173" i="25"/>
  <c r="M173" i="25"/>
  <c r="L173" i="25"/>
  <c r="K173" i="25"/>
  <c r="J173" i="25"/>
  <c r="I173" i="25"/>
  <c r="P172" i="25"/>
  <c r="O172" i="25"/>
  <c r="N172" i="25"/>
  <c r="M172" i="25"/>
  <c r="M177" i="25" s="1"/>
  <c r="L172" i="25"/>
  <c r="K172" i="25"/>
  <c r="J172" i="25"/>
  <c r="I172" i="25"/>
  <c r="N43" i="28"/>
  <c r="N44" i="28"/>
  <c r="N45" i="28"/>
  <c r="N46" i="28"/>
  <c r="N47" i="28"/>
  <c r="N48" i="28"/>
  <c r="N49" i="28"/>
  <c r="N50" i="28"/>
  <c r="N51" i="28"/>
  <c r="N54" i="28"/>
  <c r="N21" i="28"/>
  <c r="M137" i="25"/>
  <c r="M142" i="25" s="1"/>
  <c r="M138" i="25"/>
  <c r="M139" i="25"/>
  <c r="M140" i="25"/>
  <c r="N137" i="25"/>
  <c r="N138" i="25"/>
  <c r="N139" i="25"/>
  <c r="N140" i="25"/>
  <c r="N72" i="27"/>
  <c r="L69" i="25" s="1"/>
  <c r="L103" i="25"/>
  <c r="L104" i="25"/>
  <c r="L105" i="25"/>
  <c r="L106" i="25"/>
  <c r="L110" i="25" s="1"/>
  <c r="L107" i="25"/>
  <c r="L108" i="25"/>
  <c r="L109" i="25"/>
  <c r="AG23" i="7"/>
  <c r="AG22" i="7"/>
  <c r="AG21" i="7"/>
  <c r="AG19" i="7"/>
  <c r="AG18" i="7"/>
  <c r="AG17" i="7"/>
  <c r="AG16" i="7"/>
  <c r="AG14" i="7"/>
  <c r="AG13" i="7"/>
  <c r="AG12" i="7"/>
  <c r="AG11" i="7"/>
  <c r="AG10" i="7"/>
  <c r="AG9" i="7"/>
  <c r="AG8" i="7"/>
  <c r="AD17" i="5"/>
  <c r="AD16" i="5"/>
  <c r="AD15" i="5"/>
  <c r="AD14" i="5"/>
  <c r="AD13" i="5"/>
  <c r="AD11" i="5"/>
  <c r="AD10" i="5"/>
  <c r="AD9" i="5"/>
  <c r="AD8" i="5"/>
  <c r="N266" i="2"/>
  <c r="N265" i="2"/>
  <c r="A49" i="29"/>
  <c r="A50" i="29"/>
  <c r="A51" i="29"/>
  <c r="A52" i="29"/>
  <c r="A53" i="29"/>
  <c r="A54" i="29"/>
  <c r="A55" i="29"/>
  <c r="A56" i="29"/>
  <c r="A57" i="29"/>
  <c r="A58" i="29"/>
  <c r="A60" i="29"/>
  <c r="A62" i="29"/>
  <c r="A63" i="29"/>
  <c r="A29" i="29"/>
  <c r="A30" i="29"/>
  <c r="A31" i="29"/>
  <c r="A32" i="29"/>
  <c r="A33" i="29"/>
  <c r="A34" i="29"/>
  <c r="A35" i="29"/>
  <c r="A36" i="29"/>
  <c r="A37" i="29"/>
  <c r="A38" i="29"/>
  <c r="A40" i="29"/>
  <c r="A42" i="29"/>
  <c r="A43" i="29"/>
  <c r="J177" i="25"/>
  <c r="N177" i="25"/>
  <c r="I177" i="25"/>
  <c r="K177" i="25"/>
  <c r="L177" i="25"/>
  <c r="O177" i="25"/>
  <c r="P285" i="25"/>
  <c r="L50" i="20"/>
  <c r="L36" i="20"/>
  <c r="K50" i="20"/>
  <c r="P177" i="25"/>
  <c r="M285" i="25"/>
  <c r="N212" i="25"/>
  <c r="N285" i="25"/>
  <c r="N142" i="25"/>
  <c r="O214" i="2"/>
  <c r="AI218" i="2"/>
  <c r="AJ218" i="2"/>
  <c r="B52" i="31"/>
  <c r="AC245" i="25"/>
  <c r="AB245" i="25"/>
  <c r="K42" i="31"/>
  <c r="Y245" i="25"/>
  <c r="X245" i="25"/>
  <c r="F42" i="31"/>
  <c r="E42" i="31"/>
  <c r="D42" i="31"/>
  <c r="T245" i="25" s="1"/>
  <c r="C42" i="31"/>
  <c r="B42" i="31"/>
  <c r="N41" i="31"/>
  <c r="M41" i="31"/>
  <c r="M53" i="31" s="1"/>
  <c r="AC71" i="25" s="1"/>
  <c r="AR239" i="2" s="1"/>
  <c r="AG221" i="2" s="1"/>
  <c r="L41" i="31"/>
  <c r="K41" i="31"/>
  <c r="Z244" i="25"/>
  <c r="W244" i="25"/>
  <c r="F41" i="31"/>
  <c r="V244" i="25" s="1"/>
  <c r="E41" i="31"/>
  <c r="D41" i="31"/>
  <c r="C41" i="31"/>
  <c r="B41" i="31"/>
  <c r="B27" i="31"/>
  <c r="B26" i="31"/>
  <c r="L25" i="31"/>
  <c r="L40" i="31" s="1"/>
  <c r="K25" i="31"/>
  <c r="K40" i="31" s="1"/>
  <c r="J25" i="31"/>
  <c r="J40" i="31" s="1"/>
  <c r="I25" i="31"/>
  <c r="I40" i="31" s="1"/>
  <c r="H25" i="31"/>
  <c r="H40" i="31" s="1"/>
  <c r="G25" i="31"/>
  <c r="G40" i="31" s="1"/>
  <c r="J71" i="25"/>
  <c r="I71" i="25"/>
  <c r="H71" i="25"/>
  <c r="G71" i="25"/>
  <c r="F71" i="25"/>
  <c r="E71" i="25"/>
  <c r="D71" i="25"/>
  <c r="A7" i="31"/>
  <c r="A39" i="31" s="1"/>
  <c r="A2" i="31"/>
  <c r="A1" i="31"/>
  <c r="C94" i="30"/>
  <c r="B94" i="30"/>
  <c r="A94" i="30"/>
  <c r="Q93" i="30"/>
  <c r="P93" i="30"/>
  <c r="O93" i="30"/>
  <c r="N93" i="30"/>
  <c r="M93" i="30"/>
  <c r="L93" i="30"/>
  <c r="K93" i="30"/>
  <c r="J93" i="30"/>
  <c r="I93" i="30"/>
  <c r="H93" i="30"/>
  <c r="G93" i="30"/>
  <c r="F93" i="30"/>
  <c r="E93" i="30"/>
  <c r="D93" i="30"/>
  <c r="A93" i="30"/>
  <c r="Q92" i="30"/>
  <c r="P92" i="30"/>
  <c r="O92" i="30"/>
  <c r="N92" i="30"/>
  <c r="M92" i="30"/>
  <c r="L92" i="30"/>
  <c r="K92" i="30"/>
  <c r="J92" i="30"/>
  <c r="I92" i="30"/>
  <c r="H92" i="30"/>
  <c r="C92" i="30"/>
  <c r="B92" i="30"/>
  <c r="Q91" i="30"/>
  <c r="P91" i="30"/>
  <c r="O91" i="30"/>
  <c r="N91" i="30"/>
  <c r="M91" i="30"/>
  <c r="L91" i="30"/>
  <c r="Q90" i="30"/>
  <c r="P90" i="30"/>
  <c r="O90" i="30"/>
  <c r="N90" i="30"/>
  <c r="M90" i="30"/>
  <c r="L90" i="30"/>
  <c r="Q89" i="30"/>
  <c r="P89" i="30"/>
  <c r="O89" i="30"/>
  <c r="AD284" i="25" s="1"/>
  <c r="N89" i="30"/>
  <c r="M89" i="30"/>
  <c r="L89" i="30"/>
  <c r="K89" i="30"/>
  <c r="J89" i="30"/>
  <c r="I89" i="30"/>
  <c r="X284" i="25" s="1"/>
  <c r="H89" i="30"/>
  <c r="C89" i="30"/>
  <c r="B89" i="30"/>
  <c r="Q88" i="30"/>
  <c r="P88" i="30"/>
  <c r="O88" i="30"/>
  <c r="N88" i="30"/>
  <c r="M88" i="30"/>
  <c r="L88" i="30"/>
  <c r="C88" i="30"/>
  <c r="B88" i="30"/>
  <c r="A88" i="30"/>
  <c r="Q87" i="30"/>
  <c r="P87" i="30"/>
  <c r="O87" i="30"/>
  <c r="N87" i="30"/>
  <c r="M87" i="30"/>
  <c r="L87" i="30"/>
  <c r="AA283" i="25" s="1"/>
  <c r="C87" i="30"/>
  <c r="B87" i="30"/>
  <c r="A87" i="30"/>
  <c r="Q86" i="30"/>
  <c r="P86" i="30"/>
  <c r="O86" i="30"/>
  <c r="N86" i="30"/>
  <c r="M86" i="30"/>
  <c r="AB283" i="25" s="1"/>
  <c r="L86" i="30"/>
  <c r="C86" i="30"/>
  <c r="B86" i="30"/>
  <c r="A86" i="30"/>
  <c r="P84" i="30"/>
  <c r="O84" i="30"/>
  <c r="N84" i="30"/>
  <c r="M84" i="30"/>
  <c r="L84" i="30"/>
  <c r="K84" i="30"/>
  <c r="J84" i="30"/>
  <c r="I84" i="30"/>
  <c r="H84" i="30"/>
  <c r="C84" i="30"/>
  <c r="B84" i="30"/>
  <c r="A84" i="30"/>
  <c r="Q83" i="30"/>
  <c r="P83" i="30"/>
  <c r="O83" i="30"/>
  <c r="N83" i="30"/>
  <c r="M83" i="30"/>
  <c r="L83" i="30"/>
  <c r="K83" i="30"/>
  <c r="J83" i="30"/>
  <c r="I83" i="30"/>
  <c r="H83" i="30"/>
  <c r="C83" i="30"/>
  <c r="B83" i="30"/>
  <c r="A83" i="30"/>
  <c r="Q82" i="30"/>
  <c r="P82" i="30"/>
  <c r="O82" i="30"/>
  <c r="AD282" i="25" s="1"/>
  <c r="N82" i="30"/>
  <c r="M82" i="30"/>
  <c r="L82" i="30"/>
  <c r="K82" i="30"/>
  <c r="J82" i="30"/>
  <c r="C82" i="30"/>
  <c r="B82" i="30"/>
  <c r="A82" i="30"/>
  <c r="Q81" i="30"/>
  <c r="P81" i="30"/>
  <c r="O81" i="30"/>
  <c r="N81" i="30"/>
  <c r="M81" i="30"/>
  <c r="L81" i="30"/>
  <c r="K81" i="30"/>
  <c r="J81" i="30"/>
  <c r="Y282" i="25" s="1"/>
  <c r="I81" i="30"/>
  <c r="X282" i="25" s="1"/>
  <c r="H81" i="30"/>
  <c r="C81" i="30"/>
  <c r="B81" i="30"/>
  <c r="A81" i="30"/>
  <c r="Q80" i="30"/>
  <c r="P80" i="30"/>
  <c r="O80" i="30"/>
  <c r="N80" i="30"/>
  <c r="M80" i="30"/>
  <c r="L80" i="30"/>
  <c r="K80" i="30"/>
  <c r="J80" i="30"/>
  <c r="I80" i="30"/>
  <c r="H80" i="30"/>
  <c r="G80" i="30"/>
  <c r="F80" i="30"/>
  <c r="E80" i="30"/>
  <c r="D80" i="30"/>
  <c r="C80" i="30"/>
  <c r="B80" i="30"/>
  <c r="A80" i="30"/>
  <c r="Q79" i="30"/>
  <c r="P79" i="30"/>
  <c r="O79" i="30"/>
  <c r="N79" i="30"/>
  <c r="M79" i="30"/>
  <c r="L79" i="30"/>
  <c r="K79" i="30"/>
  <c r="J79" i="30"/>
  <c r="I79" i="30"/>
  <c r="H79" i="30"/>
  <c r="G79" i="30"/>
  <c r="F79" i="30"/>
  <c r="E79" i="30"/>
  <c r="D79" i="30"/>
  <c r="C79" i="30"/>
  <c r="B79" i="30"/>
  <c r="A79" i="30"/>
  <c r="Q78" i="30"/>
  <c r="P78" i="30"/>
  <c r="O78" i="30"/>
  <c r="N78" i="30"/>
  <c r="M78" i="30"/>
  <c r="L78" i="30"/>
  <c r="K78" i="30"/>
  <c r="J78" i="30"/>
  <c r="I78" i="30"/>
  <c r="H78" i="30"/>
  <c r="G78" i="30"/>
  <c r="F78" i="30"/>
  <c r="E78" i="30"/>
  <c r="D78" i="30"/>
  <c r="C78" i="30"/>
  <c r="B78" i="30"/>
  <c r="A78" i="30"/>
  <c r="Q77" i="30"/>
  <c r="P77" i="30"/>
  <c r="O77" i="30"/>
  <c r="N77" i="30"/>
  <c r="M77" i="30"/>
  <c r="L77" i="30"/>
  <c r="K77" i="30"/>
  <c r="K94" i="30" s="1"/>
  <c r="J77" i="30"/>
  <c r="I77" i="30"/>
  <c r="H77" i="30"/>
  <c r="G77" i="30"/>
  <c r="F77" i="30"/>
  <c r="E77" i="30"/>
  <c r="D77" i="30"/>
  <c r="C77" i="30"/>
  <c r="B77" i="30"/>
  <c r="A77" i="30"/>
  <c r="Q76" i="30"/>
  <c r="P76" i="30"/>
  <c r="O76" i="30"/>
  <c r="N76" i="30"/>
  <c r="M76" i="30"/>
  <c r="L76" i="30"/>
  <c r="K76" i="30"/>
  <c r="J76" i="30"/>
  <c r="I76" i="30"/>
  <c r="H76" i="30"/>
  <c r="G76" i="30"/>
  <c r="F76" i="30"/>
  <c r="E76" i="30"/>
  <c r="D76" i="30"/>
  <c r="D94" i="30" s="1"/>
  <c r="C76" i="30"/>
  <c r="B76" i="30"/>
  <c r="A76" i="30"/>
  <c r="Q75" i="30"/>
  <c r="P75" i="30"/>
  <c r="O75" i="30"/>
  <c r="N75" i="30"/>
  <c r="M75" i="30"/>
  <c r="L75" i="30"/>
  <c r="K75" i="30"/>
  <c r="J75" i="30"/>
  <c r="I75" i="30"/>
  <c r="X280" i="25" s="1"/>
  <c r="H75" i="30"/>
  <c r="G75" i="30"/>
  <c r="F75" i="30"/>
  <c r="E75" i="30"/>
  <c r="D75" i="30"/>
  <c r="C75" i="30"/>
  <c r="B75" i="30"/>
  <c r="A75" i="30"/>
  <c r="Q74" i="30"/>
  <c r="P74" i="30"/>
  <c r="O74" i="30"/>
  <c r="N74" i="30"/>
  <c r="M74" i="30"/>
  <c r="L74" i="30"/>
  <c r="K74" i="30"/>
  <c r="J74" i="30"/>
  <c r="I74" i="30"/>
  <c r="X279" i="25" s="1"/>
  <c r="H74" i="30"/>
  <c r="G74" i="30"/>
  <c r="G94" i="30" s="1"/>
  <c r="F74" i="30"/>
  <c r="E74" i="30"/>
  <c r="D74" i="30"/>
  <c r="C74" i="30"/>
  <c r="B74" i="30"/>
  <c r="A74" i="30"/>
  <c r="Q73" i="30"/>
  <c r="P73" i="30"/>
  <c r="AE279" i="25" s="1"/>
  <c r="O73" i="30"/>
  <c r="N73" i="30"/>
  <c r="M73" i="30"/>
  <c r="L73" i="30"/>
  <c r="H73" i="30"/>
  <c r="G73" i="30"/>
  <c r="F73" i="30"/>
  <c r="E73" i="30"/>
  <c r="T279" i="25" s="1"/>
  <c r="T285" i="25" s="1"/>
  <c r="D73" i="30"/>
  <c r="C73" i="30"/>
  <c r="B73" i="30"/>
  <c r="A73" i="30"/>
  <c r="Q72" i="30"/>
  <c r="P72" i="30"/>
  <c r="O72" i="30"/>
  <c r="N72" i="30"/>
  <c r="M72" i="30"/>
  <c r="L72" i="30"/>
  <c r="H72" i="30"/>
  <c r="G72" i="30"/>
  <c r="F72" i="30"/>
  <c r="E72" i="30"/>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N67"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N37" i="30"/>
  <c r="I73" i="25"/>
  <c r="G73" i="25"/>
  <c r="G34" i="30"/>
  <c r="F73" i="25" s="1"/>
  <c r="F34" i="30"/>
  <c r="E73" i="25" s="1"/>
  <c r="E34" i="30"/>
  <c r="N7" i="30"/>
  <c r="A7" i="30"/>
  <c r="A37" i="30" s="1"/>
  <c r="A2" i="30"/>
  <c r="A1" i="30"/>
  <c r="P63" i="29"/>
  <c r="O63" i="29"/>
  <c r="N63" i="29"/>
  <c r="M63" i="29"/>
  <c r="L63" i="29"/>
  <c r="K63" i="29"/>
  <c r="J63" i="29"/>
  <c r="I63" i="29"/>
  <c r="H63" i="29"/>
  <c r="G63" i="29"/>
  <c r="F63" i="29"/>
  <c r="E63" i="29"/>
  <c r="P62" i="29"/>
  <c r="O62" i="29"/>
  <c r="N62" i="29"/>
  <c r="M62" i="29"/>
  <c r="L62" i="29"/>
  <c r="K62" i="29"/>
  <c r="J62" i="29"/>
  <c r="I62" i="29"/>
  <c r="H62" i="29"/>
  <c r="G62" i="29"/>
  <c r="F62" i="29"/>
  <c r="E62" i="29"/>
  <c r="Q61" i="29"/>
  <c r="P61" i="29"/>
  <c r="Q60" i="29"/>
  <c r="P60" i="29"/>
  <c r="R59" i="29"/>
  <c r="Q59" i="29"/>
  <c r="P59" i="29"/>
  <c r="R58" i="29"/>
  <c r="Q58" i="29"/>
  <c r="P58" i="29"/>
  <c r="R57" i="29"/>
  <c r="Q57" i="29"/>
  <c r="P57" i="29"/>
  <c r="O57" i="29"/>
  <c r="N57" i="29"/>
  <c r="M57" i="29"/>
  <c r="L57" i="29"/>
  <c r="K57" i="29"/>
  <c r="J57" i="29"/>
  <c r="I57" i="29"/>
  <c r="H57" i="29"/>
  <c r="G57" i="29"/>
  <c r="F57" i="29"/>
  <c r="E57" i="29"/>
  <c r="P56" i="29"/>
  <c r="R54" i="29"/>
  <c r="Q54" i="29"/>
  <c r="P54" i="29"/>
  <c r="O54" i="29"/>
  <c r="N54" i="29"/>
  <c r="M54" i="29"/>
  <c r="L54" i="29"/>
  <c r="K54" i="29"/>
  <c r="J54" i="29"/>
  <c r="I54" i="29"/>
  <c r="R53" i="29"/>
  <c r="Q53" i="29"/>
  <c r="P53" i="29"/>
  <c r="O53" i="29"/>
  <c r="N53" i="29"/>
  <c r="N64" i="29" s="1"/>
  <c r="M53" i="29"/>
  <c r="L53" i="29"/>
  <c r="K53" i="29"/>
  <c r="J53" i="29"/>
  <c r="I53" i="29"/>
  <c r="H53" i="29"/>
  <c r="G53" i="29"/>
  <c r="F53" i="29"/>
  <c r="E53" i="29"/>
  <c r="R52" i="29"/>
  <c r="Q52" i="29"/>
  <c r="P52" i="29"/>
  <c r="O52" i="29"/>
  <c r="N52" i="29"/>
  <c r="M52" i="29"/>
  <c r="L52" i="29"/>
  <c r="K52" i="29"/>
  <c r="Y207" i="25" s="1"/>
  <c r="Y212" i="25" s="1"/>
  <c r="J52" i="29"/>
  <c r="I52" i="29"/>
  <c r="H52" i="29"/>
  <c r="G52" i="29"/>
  <c r="F52" i="29"/>
  <c r="E52" i="29"/>
  <c r="R51" i="29"/>
  <c r="AF208" i="25" s="1"/>
  <c r="Q51" i="29"/>
  <c r="P51" i="29"/>
  <c r="O51" i="29"/>
  <c r="N51" i="29"/>
  <c r="M51" i="29"/>
  <c r="L51" i="29"/>
  <c r="Z208" i="25" s="1"/>
  <c r="K51" i="29"/>
  <c r="J51" i="29"/>
  <c r="I51" i="29"/>
  <c r="H51" i="29"/>
  <c r="G51" i="29"/>
  <c r="F51" i="29"/>
  <c r="E51" i="29"/>
  <c r="R50" i="29"/>
  <c r="Q50" i="29"/>
  <c r="P50" i="29"/>
  <c r="O50" i="29"/>
  <c r="AC207" i="25" s="1"/>
  <c r="N50" i="29"/>
  <c r="M50" i="29"/>
  <c r="L50" i="29"/>
  <c r="K50" i="29"/>
  <c r="J50" i="29"/>
  <c r="I50" i="29"/>
  <c r="H50" i="29"/>
  <c r="G50" i="29"/>
  <c r="U207" i="25" s="1"/>
  <c r="F50" i="29"/>
  <c r="E50" i="29"/>
  <c r="R49" i="29"/>
  <c r="Q49" i="29"/>
  <c r="P49" i="29"/>
  <c r="O49" i="29"/>
  <c r="N49" i="29"/>
  <c r="M49" i="29"/>
  <c r="AA209" i="25" s="1"/>
  <c r="L49" i="29"/>
  <c r="K49" i="29"/>
  <c r="J49" i="29"/>
  <c r="I49" i="29"/>
  <c r="W209" i="25" s="1"/>
  <c r="H49" i="29"/>
  <c r="G49" i="29"/>
  <c r="F49" i="29"/>
  <c r="E49" i="29"/>
  <c r="N48" i="29"/>
  <c r="M48" i="29"/>
  <c r="L48" i="29"/>
  <c r="K48" i="29"/>
  <c r="J48" i="29"/>
  <c r="I48" i="29"/>
  <c r="O47" i="29"/>
  <c r="A47" i="29"/>
  <c r="A44" i="29"/>
  <c r="A64" i="29" s="1"/>
  <c r="D43" i="29"/>
  <c r="D63" i="29" s="1"/>
  <c r="C43" i="29"/>
  <c r="C63" i="29" s="1"/>
  <c r="B43" i="29"/>
  <c r="B63"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O27" i="29"/>
  <c r="A27" i="29"/>
  <c r="R24" i="29"/>
  <c r="P74" i="25" s="1"/>
  <c r="Q24" i="29"/>
  <c r="P24" i="29"/>
  <c r="O24" i="29"/>
  <c r="M74" i="25" s="1"/>
  <c r="M24" i="29"/>
  <c r="L24" i="29"/>
  <c r="K24" i="29"/>
  <c r="I74" i="25" s="1"/>
  <c r="J24" i="29"/>
  <c r="H74" i="25" s="1"/>
  <c r="I24" i="29"/>
  <c r="H24" i="29"/>
  <c r="G24" i="29"/>
  <c r="E74" i="25"/>
  <c r="F24" i="29"/>
  <c r="D74" i="25" s="1"/>
  <c r="E24" i="29"/>
  <c r="C74" i="25" s="1"/>
  <c r="A21" i="29"/>
  <c r="A19" i="29"/>
  <c r="O7" i="29"/>
  <c r="A7" i="29"/>
  <c r="A2" i="29"/>
  <c r="A1" i="29"/>
  <c r="C55" i="28"/>
  <c r="B55" i="28"/>
  <c r="A55" i="28"/>
  <c r="Q54" i="28"/>
  <c r="P54" i="28"/>
  <c r="O54" i="28"/>
  <c r="M54" i="28"/>
  <c r="L54" i="28"/>
  <c r="K54" i="28"/>
  <c r="J54" i="28"/>
  <c r="J55" i="28" s="1"/>
  <c r="I54" i="28"/>
  <c r="H54" i="28"/>
  <c r="G54" i="28"/>
  <c r="F54" i="28"/>
  <c r="E54" i="28"/>
  <c r="D54" i="28"/>
  <c r="A54" i="28"/>
  <c r="Q53" i="28"/>
  <c r="P53" i="28"/>
  <c r="O53" i="28"/>
  <c r="C53" i="28"/>
  <c r="B53" i="28"/>
  <c r="A53" i="28"/>
  <c r="Q52" i="28"/>
  <c r="P52" i="28"/>
  <c r="O52" i="28"/>
  <c r="AD141" i="25" s="1"/>
  <c r="C52" i="28"/>
  <c r="B52" i="28"/>
  <c r="A52" i="28"/>
  <c r="Q51" i="28"/>
  <c r="P51" i="28"/>
  <c r="O51" i="28"/>
  <c r="M51" i="28"/>
  <c r="L51" i="28"/>
  <c r="L55" i="28" s="1"/>
  <c r="K51" i="28"/>
  <c r="J51" i="28"/>
  <c r="I51" i="28"/>
  <c r="H51" i="28"/>
  <c r="G51" i="28"/>
  <c r="F51" i="28"/>
  <c r="E51" i="28"/>
  <c r="D51" i="28"/>
  <c r="D55" i="28" s="1"/>
  <c r="C51" i="28"/>
  <c r="B51" i="28"/>
  <c r="A51" i="28"/>
  <c r="Q50" i="28"/>
  <c r="AF140" i="25" s="1"/>
  <c r="P50" i="28"/>
  <c r="O50" i="28"/>
  <c r="AC140" i="25"/>
  <c r="M50" i="28"/>
  <c r="L50" i="28"/>
  <c r="K50" i="28"/>
  <c r="J50" i="28"/>
  <c r="I50" i="28"/>
  <c r="H50" i="28"/>
  <c r="G50" i="28"/>
  <c r="F50" i="28"/>
  <c r="U140" i="25"/>
  <c r="E50" i="28"/>
  <c r="D50" i="28"/>
  <c r="C50" i="28"/>
  <c r="B50" i="28"/>
  <c r="A50" i="28"/>
  <c r="Q49" i="28"/>
  <c r="P49" i="28"/>
  <c r="O49" i="28"/>
  <c r="M49" i="28"/>
  <c r="L49" i="28"/>
  <c r="K49" i="28"/>
  <c r="J49" i="28"/>
  <c r="I49" i="28"/>
  <c r="H49" i="28"/>
  <c r="G49" i="28"/>
  <c r="F49" i="28"/>
  <c r="F55" i="28" s="1"/>
  <c r="E49" i="28"/>
  <c r="D49" i="28"/>
  <c r="C49" i="28"/>
  <c r="B49" i="28"/>
  <c r="A49" i="28"/>
  <c r="Q48" i="28"/>
  <c r="AF139" i="25" s="1"/>
  <c r="P48" i="28"/>
  <c r="O48" i="28"/>
  <c r="AC139" i="25"/>
  <c r="M48" i="28"/>
  <c r="L48" i="28"/>
  <c r="AA139" i="25" s="1"/>
  <c r="K48" i="28"/>
  <c r="J48" i="28"/>
  <c r="I48" i="28"/>
  <c r="H48" i="28"/>
  <c r="G48" i="28"/>
  <c r="V139" i="25" s="1"/>
  <c r="F48" i="28"/>
  <c r="E48" i="28"/>
  <c r="D48" i="28"/>
  <c r="S139" i="25"/>
  <c r="C48" i="28"/>
  <c r="B48" i="28"/>
  <c r="A48" i="28"/>
  <c r="Q47" i="28"/>
  <c r="P47" i="28"/>
  <c r="O47" i="28"/>
  <c r="M47" i="28"/>
  <c r="L47" i="28"/>
  <c r="K47" i="28"/>
  <c r="J47" i="28"/>
  <c r="I47" i="28"/>
  <c r="H47" i="28"/>
  <c r="H55" i="28" s="1"/>
  <c r="G47" i="28"/>
  <c r="F47" i="28"/>
  <c r="E47" i="28"/>
  <c r="D47" i="28"/>
  <c r="C47" i="28"/>
  <c r="B47" i="28"/>
  <c r="A47" i="28"/>
  <c r="Q46" i="28"/>
  <c r="AF138" i="25" s="1"/>
  <c r="P46" i="28"/>
  <c r="O46" i="28"/>
  <c r="M46" i="28"/>
  <c r="L46" i="28"/>
  <c r="K46" i="28"/>
  <c r="J46" i="28"/>
  <c r="I46" i="28"/>
  <c r="X138" i="25" s="1"/>
  <c r="H46" i="28"/>
  <c r="G46" i="28"/>
  <c r="F46" i="28"/>
  <c r="E46" i="28"/>
  <c r="D46" i="28"/>
  <c r="C46" i="28"/>
  <c r="B46" i="28"/>
  <c r="A46" i="28"/>
  <c r="Q45" i="28"/>
  <c r="P45" i="28"/>
  <c r="O45" i="28"/>
  <c r="M45" i="28"/>
  <c r="L45" i="28"/>
  <c r="K45" i="28"/>
  <c r="J45" i="28"/>
  <c r="I45" i="28"/>
  <c r="H45" i="28"/>
  <c r="G45" i="28"/>
  <c r="F45" i="28"/>
  <c r="E45" i="28"/>
  <c r="D45" i="28"/>
  <c r="C45" i="28"/>
  <c r="B45" i="28"/>
  <c r="A45" i="28"/>
  <c r="Q44" i="28"/>
  <c r="P44" i="28"/>
  <c r="O44" i="28"/>
  <c r="M44" i="28"/>
  <c r="L44" i="28"/>
  <c r="K44" i="28"/>
  <c r="J44" i="28"/>
  <c r="I44" i="28"/>
  <c r="H44" i="28"/>
  <c r="G44" i="28"/>
  <c r="F44" i="28"/>
  <c r="E44" i="28"/>
  <c r="D44" i="28"/>
  <c r="C44" i="28"/>
  <c r="B44" i="28"/>
  <c r="A44" i="28"/>
  <c r="O43" i="28"/>
  <c r="M43" i="28"/>
  <c r="L43" i="28"/>
  <c r="K43" i="28"/>
  <c r="J43" i="28"/>
  <c r="I43" i="28"/>
  <c r="H43" i="28"/>
  <c r="G43" i="28"/>
  <c r="F43" i="28"/>
  <c r="E43" i="28"/>
  <c r="D43" i="28"/>
  <c r="C43" i="28"/>
  <c r="B43" i="28"/>
  <c r="A43" i="28"/>
  <c r="M42" i="28"/>
  <c r="L42" i="28"/>
  <c r="K42" i="28"/>
  <c r="J42" i="28"/>
  <c r="I42" i="28"/>
  <c r="H42" i="28"/>
  <c r="C42" i="28"/>
  <c r="B42" i="28"/>
  <c r="A42" i="28"/>
  <c r="N41"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N24" i="28"/>
  <c r="Q21" i="28"/>
  <c r="P21" i="28"/>
  <c r="O70" i="25" s="1"/>
  <c r="O21" i="28"/>
  <c r="M21" i="28"/>
  <c r="L21" i="28"/>
  <c r="K21" i="28"/>
  <c r="K38" i="28" s="1"/>
  <c r="J21" i="28"/>
  <c r="I70" i="25" s="1"/>
  <c r="I21" i="28"/>
  <c r="H21" i="28"/>
  <c r="G21" i="28"/>
  <c r="F21" i="28"/>
  <c r="E70" i="25" s="1"/>
  <c r="E21" i="28"/>
  <c r="D21" i="28"/>
  <c r="C70" i="25" s="1"/>
  <c r="N7" i="28"/>
  <c r="A7" i="28"/>
  <c r="A24" i="28" s="1"/>
  <c r="A2" i="28"/>
  <c r="A1" i="28"/>
  <c r="D210" i="27"/>
  <c r="C210" i="27"/>
  <c r="B210" i="27"/>
  <c r="A210" i="27"/>
  <c r="R209" i="27"/>
  <c r="Q209" i="27"/>
  <c r="P209" i="27"/>
  <c r="O209" i="27"/>
  <c r="N209" i="27"/>
  <c r="M209" i="27"/>
  <c r="L209" i="27"/>
  <c r="K209" i="27"/>
  <c r="J209" i="27"/>
  <c r="I209" i="27"/>
  <c r="H209" i="27"/>
  <c r="G209" i="27"/>
  <c r="F209" i="27"/>
  <c r="E209" i="27"/>
  <c r="D209" i="27"/>
  <c r="C209" i="27"/>
  <c r="B209" i="27"/>
  <c r="A209" i="27"/>
  <c r="R208" i="27"/>
  <c r="Q208" i="27"/>
  <c r="P208" i="27"/>
  <c r="O208" i="27"/>
  <c r="N208" i="27"/>
  <c r="M208" i="27"/>
  <c r="L208" i="27"/>
  <c r="K208" i="27"/>
  <c r="J208" i="27"/>
  <c r="I208" i="27"/>
  <c r="H208" i="27"/>
  <c r="G208" i="27"/>
  <c r="F208" i="27"/>
  <c r="E208" i="27"/>
  <c r="R207" i="27"/>
  <c r="Q207" i="27"/>
  <c r="P207" i="27"/>
  <c r="O207" i="27"/>
  <c r="N207" i="27"/>
  <c r="M207" i="27"/>
  <c r="R206" i="27"/>
  <c r="Q206" i="27"/>
  <c r="P206" i="27"/>
  <c r="O206" i="27"/>
  <c r="N206" i="27"/>
  <c r="M206" i="27"/>
  <c r="R205" i="27"/>
  <c r="Q205" i="27"/>
  <c r="P205" i="27"/>
  <c r="O205" i="27"/>
  <c r="N205" i="27"/>
  <c r="M205" i="27"/>
  <c r="R204" i="27"/>
  <c r="Q204" i="27"/>
  <c r="P204" i="27"/>
  <c r="O204" i="27"/>
  <c r="N204" i="27"/>
  <c r="M204" i="27"/>
  <c r="L204" i="27"/>
  <c r="K204" i="27"/>
  <c r="J204" i="27"/>
  <c r="I204" i="27"/>
  <c r="H204" i="27"/>
  <c r="G204" i="27"/>
  <c r="F204" i="27"/>
  <c r="E204" i="27"/>
  <c r="D204" i="27"/>
  <c r="C204" i="27"/>
  <c r="B204" i="27"/>
  <c r="A204" i="27"/>
  <c r="D203" i="27"/>
  <c r="C203" i="27"/>
  <c r="B203" i="27"/>
  <c r="A203" i="27"/>
  <c r="R202" i="27"/>
  <c r="Q202" i="27"/>
  <c r="P202" i="27"/>
  <c r="O202" i="27"/>
  <c r="N202" i="27"/>
  <c r="M202" i="27"/>
  <c r="L202" i="27"/>
  <c r="K202" i="27"/>
  <c r="Y109" i="25" s="1"/>
  <c r="J202" i="27"/>
  <c r="I202" i="27"/>
  <c r="H202" i="27"/>
  <c r="G202" i="27"/>
  <c r="F202" i="27"/>
  <c r="E202" i="27"/>
  <c r="D202" i="27"/>
  <c r="C202" i="27"/>
  <c r="B202" i="27"/>
  <c r="A202" i="27"/>
  <c r="R201" i="27"/>
  <c r="Q201" i="27"/>
  <c r="P201" i="27"/>
  <c r="O201" i="27"/>
  <c r="N201" i="27"/>
  <c r="M201" i="27"/>
  <c r="AA109" i="25" s="1"/>
  <c r="L201" i="27"/>
  <c r="K201" i="27"/>
  <c r="J201" i="27"/>
  <c r="I201" i="27"/>
  <c r="H201" i="27"/>
  <c r="G201" i="27"/>
  <c r="F201" i="27"/>
  <c r="E201" i="27"/>
  <c r="S109" i="25" s="1"/>
  <c r="D201" i="27"/>
  <c r="C201" i="27"/>
  <c r="B201" i="27"/>
  <c r="A201" i="27"/>
  <c r="R200" i="27"/>
  <c r="Q200" i="27"/>
  <c r="P200" i="27"/>
  <c r="O200" i="27"/>
  <c r="N200" i="27"/>
  <c r="M200" i="27"/>
  <c r="L200" i="27"/>
  <c r="K200" i="27"/>
  <c r="J200" i="27"/>
  <c r="I200" i="27"/>
  <c r="H200" i="27"/>
  <c r="G200" i="27"/>
  <c r="U109" i="25" s="1"/>
  <c r="F200" i="27"/>
  <c r="T109" i="25" s="1"/>
  <c r="E200" i="27"/>
  <c r="D200" i="27"/>
  <c r="C200" i="27"/>
  <c r="B200" i="27"/>
  <c r="A200" i="27"/>
  <c r="R199" i="27"/>
  <c r="Q199" i="27"/>
  <c r="P199" i="27"/>
  <c r="AD109" i="25" s="1"/>
  <c r="O199" i="27"/>
  <c r="N199" i="27"/>
  <c r="M199" i="27"/>
  <c r="L199" i="27"/>
  <c r="K199" i="27"/>
  <c r="J199" i="27"/>
  <c r="I199" i="27"/>
  <c r="W109" i="25" s="1"/>
  <c r="H199" i="27"/>
  <c r="G199" i="27"/>
  <c r="F199" i="27"/>
  <c r="E199" i="27"/>
  <c r="D199" i="27"/>
  <c r="C199" i="27"/>
  <c r="B199" i="27"/>
  <c r="A199" i="27"/>
  <c r="R198" i="27"/>
  <c r="Q198" i="27"/>
  <c r="P198" i="27"/>
  <c r="O198" i="27"/>
  <c r="N198" i="27"/>
  <c r="M198" i="27"/>
  <c r="L198" i="27"/>
  <c r="K198" i="27"/>
  <c r="J198" i="27"/>
  <c r="I198" i="27"/>
  <c r="H198" i="27"/>
  <c r="G198" i="27"/>
  <c r="F198" i="27"/>
  <c r="E198" i="27"/>
  <c r="D198" i="27"/>
  <c r="C198" i="27"/>
  <c r="B198" i="27"/>
  <c r="A198" i="27"/>
  <c r="R197" i="27"/>
  <c r="Q197" i="27"/>
  <c r="P197" i="27"/>
  <c r="O197" i="27"/>
  <c r="N197" i="27"/>
  <c r="M197" i="27"/>
  <c r="L197" i="27"/>
  <c r="K197" i="27"/>
  <c r="J197" i="27"/>
  <c r="I197" i="27"/>
  <c r="H197" i="27"/>
  <c r="G197" i="27"/>
  <c r="D197" i="27"/>
  <c r="C197" i="27"/>
  <c r="B197" i="27"/>
  <c r="A197" i="27"/>
  <c r="R196" i="27"/>
  <c r="Q196" i="27"/>
  <c r="P196" i="27"/>
  <c r="O196" i="27"/>
  <c r="N196" i="27"/>
  <c r="M196" i="27"/>
  <c r="D196" i="27"/>
  <c r="C196" i="27"/>
  <c r="B196" i="27"/>
  <c r="A196" i="27"/>
  <c r="R195" i="27"/>
  <c r="Q195" i="27"/>
  <c r="P195" i="27"/>
  <c r="O195" i="27"/>
  <c r="N195" i="27"/>
  <c r="M195" i="27"/>
  <c r="D195" i="27"/>
  <c r="C195" i="27"/>
  <c r="B195" i="27"/>
  <c r="A195" i="27"/>
  <c r="R194" i="27"/>
  <c r="Q194" i="27"/>
  <c r="P194" i="27"/>
  <c r="O194" i="27"/>
  <c r="N194" i="27"/>
  <c r="M194" i="27"/>
  <c r="L194" i="27"/>
  <c r="K194" i="27"/>
  <c r="J194" i="27"/>
  <c r="I194" i="27"/>
  <c r="H194" i="27"/>
  <c r="G194" i="27"/>
  <c r="F194" i="27"/>
  <c r="E194" i="27"/>
  <c r="D194" i="27"/>
  <c r="C194" i="27"/>
  <c r="B194" i="27"/>
  <c r="A194" i="27"/>
  <c r="R193" i="27"/>
  <c r="Q193" i="27"/>
  <c r="P193" i="27"/>
  <c r="O193" i="27"/>
  <c r="N193" i="27"/>
  <c r="M193" i="27"/>
  <c r="L193" i="27"/>
  <c r="K193" i="27"/>
  <c r="J193" i="27"/>
  <c r="I193" i="27"/>
  <c r="H193" i="27"/>
  <c r="G193" i="27"/>
  <c r="F193" i="27"/>
  <c r="E193" i="27"/>
  <c r="D193" i="27"/>
  <c r="C193" i="27"/>
  <c r="B193" i="27"/>
  <c r="A193" i="27"/>
  <c r="R192" i="27"/>
  <c r="Q192" i="27"/>
  <c r="P192" i="27"/>
  <c r="O192" i="27"/>
  <c r="N192" i="27"/>
  <c r="M192" i="27"/>
  <c r="L192" i="27"/>
  <c r="K192" i="27"/>
  <c r="J192" i="27"/>
  <c r="I192" i="27"/>
  <c r="H192" i="27"/>
  <c r="G192" i="27"/>
  <c r="F192" i="27"/>
  <c r="E192" i="27"/>
  <c r="S108" i="25" s="1"/>
  <c r="D192" i="27"/>
  <c r="C192" i="27"/>
  <c r="B192" i="27"/>
  <c r="A192" i="27"/>
  <c r="R191" i="27"/>
  <c r="Q191" i="27"/>
  <c r="P191" i="27"/>
  <c r="O191" i="27"/>
  <c r="N191" i="27"/>
  <c r="M191" i="27"/>
  <c r="L191" i="27"/>
  <c r="K191" i="27"/>
  <c r="J191" i="27"/>
  <c r="I191" i="27"/>
  <c r="H191" i="27"/>
  <c r="G191" i="27"/>
  <c r="G210" i="27" s="1"/>
  <c r="G141" i="27" s="1"/>
  <c r="F191" i="27"/>
  <c r="E191" i="27"/>
  <c r="D191" i="27"/>
  <c r="C191" i="27"/>
  <c r="B191" i="27"/>
  <c r="A191" i="27"/>
  <c r="R190" i="27"/>
  <c r="Q190" i="27"/>
  <c r="P190" i="27"/>
  <c r="O190" i="27"/>
  <c r="N190" i="27"/>
  <c r="M190" i="27"/>
  <c r="L190" i="27"/>
  <c r="K190" i="27"/>
  <c r="J190" i="27"/>
  <c r="I190" i="27"/>
  <c r="H190" i="27"/>
  <c r="G190" i="27"/>
  <c r="F190" i="27"/>
  <c r="E190" i="27"/>
  <c r="D190" i="27"/>
  <c r="C190" i="27"/>
  <c r="B190" i="27"/>
  <c r="A190" i="27"/>
  <c r="R189" i="27"/>
  <c r="Q189" i="27"/>
  <c r="P189" i="27"/>
  <c r="O189" i="27"/>
  <c r="N189" i="27"/>
  <c r="M189" i="27"/>
  <c r="L189" i="27"/>
  <c r="K189" i="27"/>
  <c r="Y108" i="25" s="1"/>
  <c r="J189" i="27"/>
  <c r="I189" i="27"/>
  <c r="H189" i="27"/>
  <c r="G189" i="27"/>
  <c r="F189" i="27"/>
  <c r="E189" i="27"/>
  <c r="D189" i="27"/>
  <c r="C189" i="27"/>
  <c r="B189" i="27"/>
  <c r="A189" i="27"/>
  <c r="P188" i="27"/>
  <c r="O188" i="27"/>
  <c r="N188" i="27"/>
  <c r="M188" i="27"/>
  <c r="A188" i="27"/>
  <c r="R187" i="27"/>
  <c r="Q187" i="27"/>
  <c r="P187" i="27"/>
  <c r="O187" i="27"/>
  <c r="N187" i="27"/>
  <c r="M187" i="27"/>
  <c r="L187" i="27"/>
  <c r="K187" i="27"/>
  <c r="J187" i="27"/>
  <c r="I187" i="27"/>
  <c r="H187" i="27"/>
  <c r="G187" i="27"/>
  <c r="F187" i="27"/>
  <c r="E187" i="27"/>
  <c r="D187" i="27"/>
  <c r="C187" i="27"/>
  <c r="B187" i="27"/>
  <c r="A187" i="27"/>
  <c r="P186" i="27"/>
  <c r="O186" i="27"/>
  <c r="N186" i="27"/>
  <c r="M186" i="27"/>
  <c r="D186" i="27"/>
  <c r="C186" i="27"/>
  <c r="B186" i="27"/>
  <c r="A186" i="27"/>
  <c r="R185" i="27"/>
  <c r="Q185" i="27"/>
  <c r="D185" i="27"/>
  <c r="C185" i="27"/>
  <c r="B185" i="27"/>
  <c r="A185" i="27"/>
  <c r="R184" i="27"/>
  <c r="Q184" i="27"/>
  <c r="P184" i="27"/>
  <c r="O184" i="27"/>
  <c r="N184" i="27"/>
  <c r="M184" i="27"/>
  <c r="L184" i="27"/>
  <c r="K184" i="27"/>
  <c r="J184" i="27"/>
  <c r="I184" i="27"/>
  <c r="H184" i="27"/>
  <c r="G184" i="27"/>
  <c r="F184" i="27"/>
  <c r="E184" i="27"/>
  <c r="D184" i="27"/>
  <c r="C184" i="27"/>
  <c r="B184" i="27"/>
  <c r="A184" i="27"/>
  <c r="R183" i="27"/>
  <c r="Q183" i="27"/>
  <c r="P183" i="27"/>
  <c r="O183" i="27"/>
  <c r="N183" i="27"/>
  <c r="M183" i="27"/>
  <c r="L183" i="27"/>
  <c r="K183" i="27"/>
  <c r="J183" i="27"/>
  <c r="I183" i="27"/>
  <c r="H183" i="27"/>
  <c r="G183" i="27"/>
  <c r="F183" i="27"/>
  <c r="E183" i="27"/>
  <c r="D183" i="27"/>
  <c r="C183" i="27"/>
  <c r="B183" i="27"/>
  <c r="A183" i="27"/>
  <c r="R182" i="27"/>
  <c r="Q182" i="27"/>
  <c r="P182" i="27"/>
  <c r="O182" i="27"/>
  <c r="N182" i="27"/>
  <c r="AB108" i="25" s="1"/>
  <c r="M182" i="27"/>
  <c r="L182" i="27"/>
  <c r="K182" i="27"/>
  <c r="J182" i="27"/>
  <c r="I182" i="27"/>
  <c r="H182" i="27"/>
  <c r="G182" i="27"/>
  <c r="F182" i="27"/>
  <c r="T108" i="25" s="1"/>
  <c r="E182" i="27"/>
  <c r="D182" i="27"/>
  <c r="C182" i="27"/>
  <c r="B182" i="27"/>
  <c r="A182" i="27"/>
  <c r="R181" i="27"/>
  <c r="Q181" i="27"/>
  <c r="P181" i="27"/>
  <c r="O181" i="27"/>
  <c r="N181" i="27"/>
  <c r="M181" i="27"/>
  <c r="L181" i="27"/>
  <c r="K181" i="27"/>
  <c r="Y107" i="25" s="1"/>
  <c r="J181" i="27"/>
  <c r="I181" i="27"/>
  <c r="H181" i="27"/>
  <c r="G181" i="27"/>
  <c r="U107" i="25" s="1"/>
  <c r="F181" i="27"/>
  <c r="E181" i="27"/>
  <c r="D181" i="27"/>
  <c r="C181" i="27"/>
  <c r="B181" i="27"/>
  <c r="A181" i="27"/>
  <c r="R180" i="27"/>
  <c r="P180" i="27"/>
  <c r="O180" i="27"/>
  <c r="N180" i="27"/>
  <c r="M180" i="27"/>
  <c r="L180" i="27"/>
  <c r="K180" i="27"/>
  <c r="J180" i="27"/>
  <c r="I180" i="27"/>
  <c r="W107" i="25" s="1"/>
  <c r="H180" i="27"/>
  <c r="G180" i="27"/>
  <c r="F180" i="27"/>
  <c r="E180" i="27"/>
  <c r="D180" i="27"/>
  <c r="C180" i="27"/>
  <c r="B180" i="27"/>
  <c r="A180" i="27"/>
  <c r="R179" i="27"/>
  <c r="P179" i="27"/>
  <c r="O179" i="27"/>
  <c r="N179" i="27"/>
  <c r="M179" i="27"/>
  <c r="L179" i="27"/>
  <c r="K179" i="27"/>
  <c r="J179" i="27"/>
  <c r="X107" i="25" s="1"/>
  <c r="I179" i="27"/>
  <c r="H179" i="27"/>
  <c r="G179" i="27"/>
  <c r="F179" i="27"/>
  <c r="E179" i="27"/>
  <c r="D179" i="27"/>
  <c r="C179" i="27"/>
  <c r="B179" i="27"/>
  <c r="A179" i="27"/>
  <c r="R178" i="27"/>
  <c r="Q178" i="27"/>
  <c r="P178" i="27"/>
  <c r="O178" i="27"/>
  <c r="N178" i="27"/>
  <c r="M178" i="27"/>
  <c r="L178" i="27"/>
  <c r="K178" i="27"/>
  <c r="J178" i="27"/>
  <c r="I178" i="27"/>
  <c r="H178" i="27"/>
  <c r="G178" i="27"/>
  <c r="F178" i="27"/>
  <c r="E178" i="27"/>
  <c r="D178" i="27"/>
  <c r="C178" i="27"/>
  <c r="B178" i="27"/>
  <c r="A178" i="27"/>
  <c r="R177" i="27"/>
  <c r="Q177" i="27"/>
  <c r="P177" i="27"/>
  <c r="O177" i="27"/>
  <c r="N177" i="27"/>
  <c r="M177" i="27"/>
  <c r="L177" i="27"/>
  <c r="K177" i="27"/>
  <c r="J177" i="27"/>
  <c r="I177" i="27"/>
  <c r="H177" i="27"/>
  <c r="G177" i="27"/>
  <c r="F177" i="27"/>
  <c r="E177" i="27"/>
  <c r="D177" i="27"/>
  <c r="C177" i="27"/>
  <c r="B177" i="27"/>
  <c r="A177" i="27"/>
  <c r="R176" i="27"/>
  <c r="Q176" i="27"/>
  <c r="P176" i="27"/>
  <c r="O176" i="27"/>
  <c r="N176" i="27"/>
  <c r="M176" i="27"/>
  <c r="L176" i="27"/>
  <c r="K176" i="27"/>
  <c r="J176" i="27"/>
  <c r="I176" i="27"/>
  <c r="H176" i="27"/>
  <c r="G176" i="27"/>
  <c r="F176" i="27"/>
  <c r="E176" i="27"/>
  <c r="D176" i="27"/>
  <c r="C176" i="27"/>
  <c r="B176" i="27"/>
  <c r="A176" i="27"/>
  <c r="R175" i="27"/>
  <c r="Q175" i="27"/>
  <c r="P175" i="27"/>
  <c r="O175" i="27"/>
  <c r="N175" i="27"/>
  <c r="M175" i="27"/>
  <c r="L175" i="27"/>
  <c r="K175" i="27"/>
  <c r="J175" i="27"/>
  <c r="I175" i="27"/>
  <c r="H175" i="27"/>
  <c r="G175" i="27"/>
  <c r="F175" i="27"/>
  <c r="E175" i="27"/>
  <c r="D175" i="27"/>
  <c r="C175" i="27"/>
  <c r="B175" i="27"/>
  <c r="A175" i="27"/>
  <c r="R174" i="27"/>
  <c r="Q174" i="27"/>
  <c r="P174" i="27"/>
  <c r="O174" i="27"/>
  <c r="N174" i="27"/>
  <c r="M174" i="27"/>
  <c r="L174" i="27"/>
  <c r="K174" i="27"/>
  <c r="J174" i="27"/>
  <c r="I174" i="27"/>
  <c r="H174" i="27"/>
  <c r="G174" i="27"/>
  <c r="F174" i="27"/>
  <c r="E174" i="27"/>
  <c r="D174" i="27"/>
  <c r="C174" i="27"/>
  <c r="B174" i="27"/>
  <c r="A174" i="27"/>
  <c r="R173" i="27"/>
  <c r="Q173" i="27"/>
  <c r="P173" i="27"/>
  <c r="O173" i="27"/>
  <c r="N173" i="27"/>
  <c r="M173" i="27"/>
  <c r="L173" i="27"/>
  <c r="K173" i="27"/>
  <c r="J173" i="27"/>
  <c r="I173" i="27"/>
  <c r="H173" i="27"/>
  <c r="G173" i="27"/>
  <c r="F173" i="27"/>
  <c r="E173" i="27"/>
  <c r="D173" i="27"/>
  <c r="C173" i="27"/>
  <c r="B173" i="27"/>
  <c r="A173" i="27"/>
  <c r="R172" i="27"/>
  <c r="Q172" i="27"/>
  <c r="P172" i="27"/>
  <c r="O172" i="27"/>
  <c r="N172" i="27"/>
  <c r="M172" i="27"/>
  <c r="L172" i="27"/>
  <c r="K172" i="27"/>
  <c r="J172" i="27"/>
  <c r="I172" i="27"/>
  <c r="H172" i="27"/>
  <c r="G172" i="27"/>
  <c r="F172" i="27"/>
  <c r="E172" i="27"/>
  <c r="D172" i="27"/>
  <c r="C172" i="27"/>
  <c r="B172" i="27"/>
  <c r="A172" i="27"/>
  <c r="R171" i="27"/>
  <c r="Q171" i="27"/>
  <c r="P171" i="27"/>
  <c r="O171" i="27"/>
  <c r="N171" i="27"/>
  <c r="M171" i="27"/>
  <c r="L171" i="27"/>
  <c r="K171" i="27"/>
  <c r="J171" i="27"/>
  <c r="I171" i="27"/>
  <c r="H171" i="27"/>
  <c r="G171" i="27"/>
  <c r="F171" i="27"/>
  <c r="E171" i="27"/>
  <c r="D171" i="27"/>
  <c r="C171" i="27"/>
  <c r="B171" i="27"/>
  <c r="A171" i="27"/>
  <c r="R170" i="27"/>
  <c r="Q170" i="27"/>
  <c r="P170" i="27"/>
  <c r="O170" i="27"/>
  <c r="N170" i="27"/>
  <c r="M170" i="27"/>
  <c r="L170" i="27"/>
  <c r="Z106" i="25" s="1"/>
  <c r="K170" i="27"/>
  <c r="J170" i="27"/>
  <c r="I170" i="27"/>
  <c r="H170" i="27"/>
  <c r="G170" i="27"/>
  <c r="F170" i="27"/>
  <c r="E170" i="27"/>
  <c r="D170" i="27"/>
  <c r="C170" i="27"/>
  <c r="B170" i="27"/>
  <c r="A170" i="27"/>
  <c r="R169" i="27"/>
  <c r="Q169" i="27"/>
  <c r="P169" i="27"/>
  <c r="O169" i="27"/>
  <c r="N169" i="27"/>
  <c r="AB106" i="25" s="1"/>
  <c r="M169" i="27"/>
  <c r="L169" i="27"/>
  <c r="K169" i="27"/>
  <c r="J169" i="27"/>
  <c r="I169" i="27"/>
  <c r="H169" i="27"/>
  <c r="G169" i="27"/>
  <c r="F169" i="27"/>
  <c r="T106" i="25" s="1"/>
  <c r="E169" i="27"/>
  <c r="D169" i="27"/>
  <c r="C169" i="27"/>
  <c r="B169" i="27"/>
  <c r="A169" i="27"/>
  <c r="R168" i="27"/>
  <c r="Q168" i="27"/>
  <c r="P168" i="27"/>
  <c r="AD106" i="25" s="1"/>
  <c r="O168" i="27"/>
  <c r="AC106" i="25" s="1"/>
  <c r="N168" i="27"/>
  <c r="M168" i="27"/>
  <c r="L168" i="27"/>
  <c r="K168" i="27"/>
  <c r="J168" i="27"/>
  <c r="I168" i="27"/>
  <c r="H168" i="27"/>
  <c r="V106" i="25" s="1"/>
  <c r="G168" i="27"/>
  <c r="U106" i="25" s="1"/>
  <c r="F168" i="27"/>
  <c r="E168" i="27"/>
  <c r="D168" i="27"/>
  <c r="C168" i="27"/>
  <c r="B168" i="27"/>
  <c r="A168" i="27"/>
  <c r="R167" i="27"/>
  <c r="Q167" i="27"/>
  <c r="P167" i="27"/>
  <c r="O167" i="27"/>
  <c r="N167" i="27"/>
  <c r="M167" i="27"/>
  <c r="L167" i="27"/>
  <c r="K167" i="27"/>
  <c r="J167" i="27"/>
  <c r="X106" i="25" s="1"/>
  <c r="I167" i="27"/>
  <c r="W106" i="25" s="1"/>
  <c r="H167" i="27"/>
  <c r="G167" i="27"/>
  <c r="F167" i="27"/>
  <c r="E167" i="27"/>
  <c r="D167" i="27"/>
  <c r="C167" i="27"/>
  <c r="B167" i="27"/>
  <c r="A167" i="27"/>
  <c r="R166" i="27"/>
  <c r="Q166" i="27"/>
  <c r="P166" i="27"/>
  <c r="O166" i="27"/>
  <c r="N166" i="27"/>
  <c r="M166" i="27"/>
  <c r="L166" i="27"/>
  <c r="Z105" i="25" s="1"/>
  <c r="K166" i="27"/>
  <c r="J166" i="27"/>
  <c r="I166" i="27"/>
  <c r="H166" i="27"/>
  <c r="G166" i="27"/>
  <c r="F166" i="27"/>
  <c r="E166" i="27"/>
  <c r="D166" i="27"/>
  <c r="C166" i="27"/>
  <c r="B166" i="27"/>
  <c r="A166" i="27"/>
  <c r="R165" i="27"/>
  <c r="Q165" i="27"/>
  <c r="P165" i="27"/>
  <c r="O165" i="27"/>
  <c r="N165" i="27"/>
  <c r="AB105" i="25" s="1"/>
  <c r="M165" i="27"/>
  <c r="AA105" i="25" s="1"/>
  <c r="L165" i="27"/>
  <c r="K165" i="27"/>
  <c r="J165" i="27"/>
  <c r="I165" i="27"/>
  <c r="W105" i="25" s="1"/>
  <c r="H165" i="27"/>
  <c r="G165" i="27"/>
  <c r="F165" i="27"/>
  <c r="T105" i="25" s="1"/>
  <c r="E165" i="27"/>
  <c r="S105" i="25" s="1"/>
  <c r="D165" i="27"/>
  <c r="C165" i="27"/>
  <c r="B165" i="27"/>
  <c r="A165" i="27"/>
  <c r="R164" i="27"/>
  <c r="Q164" i="27"/>
  <c r="P164" i="27"/>
  <c r="AD105" i="25" s="1"/>
  <c r="O164" i="27"/>
  <c r="AC105" i="25" s="1"/>
  <c r="N164" i="27"/>
  <c r="M164" i="27"/>
  <c r="L164" i="27"/>
  <c r="K164" i="27"/>
  <c r="J164" i="27"/>
  <c r="I164" i="27"/>
  <c r="H164" i="27"/>
  <c r="V105" i="25" s="1"/>
  <c r="G164" i="27"/>
  <c r="U105" i="25" s="1"/>
  <c r="F164" i="27"/>
  <c r="E164" i="27"/>
  <c r="D164" i="27"/>
  <c r="C164" i="27"/>
  <c r="B164" i="27"/>
  <c r="A164" i="27"/>
  <c r="R163" i="27"/>
  <c r="Q163" i="27"/>
  <c r="P163" i="27"/>
  <c r="O163" i="27"/>
  <c r="N163" i="27"/>
  <c r="M163" i="27"/>
  <c r="L163" i="27"/>
  <c r="K163" i="27"/>
  <c r="J163" i="27"/>
  <c r="I163" i="27"/>
  <c r="H163" i="27"/>
  <c r="G163" i="27"/>
  <c r="F163" i="27"/>
  <c r="E163" i="27"/>
  <c r="D163" i="27"/>
  <c r="C163" i="27"/>
  <c r="B163" i="27"/>
  <c r="A163" i="27"/>
  <c r="R162" i="27"/>
  <c r="Q162" i="27"/>
  <c r="P162" i="27"/>
  <c r="O162" i="27"/>
  <c r="N162" i="27"/>
  <c r="M162" i="27"/>
  <c r="L162" i="27"/>
  <c r="K162" i="27"/>
  <c r="J162" i="27"/>
  <c r="I162" i="27"/>
  <c r="H162" i="27"/>
  <c r="G162" i="27"/>
  <c r="F162" i="27"/>
  <c r="E162" i="27"/>
  <c r="D162" i="27"/>
  <c r="C162" i="27"/>
  <c r="B162" i="27"/>
  <c r="A162" i="27"/>
  <c r="R161" i="27"/>
  <c r="Q161" i="27"/>
  <c r="P161" i="27"/>
  <c r="O161" i="27"/>
  <c r="N161" i="27"/>
  <c r="M161" i="27"/>
  <c r="L161" i="27"/>
  <c r="K161" i="27"/>
  <c r="J161" i="27"/>
  <c r="I161" i="27"/>
  <c r="H161" i="27"/>
  <c r="G161" i="27"/>
  <c r="F161" i="27"/>
  <c r="E161" i="27"/>
  <c r="D161" i="27"/>
  <c r="C161" i="27"/>
  <c r="B161" i="27"/>
  <c r="A161" i="27"/>
  <c r="R160" i="27"/>
  <c r="Q160" i="27"/>
  <c r="P160" i="27"/>
  <c r="O160" i="27"/>
  <c r="N160" i="27"/>
  <c r="M160" i="27"/>
  <c r="L160" i="27"/>
  <c r="K160" i="27"/>
  <c r="J160" i="27"/>
  <c r="I160" i="27"/>
  <c r="H160" i="27"/>
  <c r="G160" i="27"/>
  <c r="F160" i="27"/>
  <c r="E160" i="27"/>
  <c r="D160" i="27"/>
  <c r="C160" i="27"/>
  <c r="B160" i="27"/>
  <c r="A160" i="27"/>
  <c r="R159" i="27"/>
  <c r="Q159" i="27"/>
  <c r="P159" i="27"/>
  <c r="O159" i="27"/>
  <c r="N159" i="27"/>
  <c r="M159" i="27"/>
  <c r="L159" i="27"/>
  <c r="K159" i="27"/>
  <c r="J159" i="27"/>
  <c r="I159" i="27"/>
  <c r="H159" i="27"/>
  <c r="G159" i="27"/>
  <c r="F159" i="27"/>
  <c r="E159" i="27"/>
  <c r="D159" i="27"/>
  <c r="C159" i="27"/>
  <c r="B159" i="27"/>
  <c r="A159" i="27"/>
  <c r="R158" i="27"/>
  <c r="Q158" i="27"/>
  <c r="P158" i="27"/>
  <c r="O158" i="27"/>
  <c r="N158" i="27"/>
  <c r="M158" i="27"/>
  <c r="L158" i="27"/>
  <c r="K158" i="27"/>
  <c r="J158" i="27"/>
  <c r="I158" i="27"/>
  <c r="H158" i="27"/>
  <c r="G158" i="27"/>
  <c r="F158" i="27"/>
  <c r="E158" i="27"/>
  <c r="D158" i="27"/>
  <c r="C158" i="27"/>
  <c r="B158" i="27"/>
  <c r="A158" i="27"/>
  <c r="R157" i="27"/>
  <c r="Q157" i="27"/>
  <c r="P157" i="27"/>
  <c r="O157" i="27"/>
  <c r="N157" i="27"/>
  <c r="M157" i="27"/>
  <c r="L157" i="27"/>
  <c r="K157" i="27"/>
  <c r="J157" i="27"/>
  <c r="I157" i="27"/>
  <c r="H157" i="27"/>
  <c r="G157" i="27"/>
  <c r="F157" i="27"/>
  <c r="E157" i="27"/>
  <c r="D157" i="27"/>
  <c r="C157" i="27"/>
  <c r="B157" i="27"/>
  <c r="A157" i="27"/>
  <c r="R156" i="27"/>
  <c r="Q156" i="27"/>
  <c r="P156" i="27"/>
  <c r="O156" i="27"/>
  <c r="N156" i="27"/>
  <c r="M156" i="27"/>
  <c r="L156" i="27"/>
  <c r="K156" i="27"/>
  <c r="J156" i="27"/>
  <c r="I156" i="27"/>
  <c r="H156" i="27"/>
  <c r="G156" i="27"/>
  <c r="F156" i="27"/>
  <c r="E156" i="27"/>
  <c r="D156" i="27"/>
  <c r="C156" i="27"/>
  <c r="B156" i="27"/>
  <c r="A156" i="27"/>
  <c r="R155" i="27"/>
  <c r="Q155" i="27"/>
  <c r="P155" i="27"/>
  <c r="O155" i="27"/>
  <c r="N155" i="27"/>
  <c r="M155" i="27"/>
  <c r="L155" i="27"/>
  <c r="K155" i="27"/>
  <c r="J155" i="27"/>
  <c r="I155" i="27"/>
  <c r="H155" i="27"/>
  <c r="G155" i="27"/>
  <c r="F155" i="27"/>
  <c r="E155" i="27"/>
  <c r="D155" i="27"/>
  <c r="C155" i="27"/>
  <c r="B155" i="27"/>
  <c r="A155" i="27"/>
  <c r="R154" i="27"/>
  <c r="Q154" i="27"/>
  <c r="P154" i="27"/>
  <c r="O154" i="27"/>
  <c r="N154" i="27"/>
  <c r="M154" i="27"/>
  <c r="L154" i="27"/>
  <c r="Z104" i="25" s="1"/>
  <c r="K154" i="27"/>
  <c r="J154" i="27"/>
  <c r="I154" i="27"/>
  <c r="H154" i="27"/>
  <c r="G154" i="27"/>
  <c r="F154" i="27"/>
  <c r="E154" i="27"/>
  <c r="D154" i="27"/>
  <c r="C154" i="27"/>
  <c r="B154" i="27"/>
  <c r="A154" i="27"/>
  <c r="R153" i="27"/>
  <c r="Q153" i="27"/>
  <c r="P153" i="27"/>
  <c r="O153" i="27"/>
  <c r="N153" i="27"/>
  <c r="AB104" i="25" s="1"/>
  <c r="M153" i="27"/>
  <c r="L153" i="27"/>
  <c r="K153" i="27"/>
  <c r="J153" i="27"/>
  <c r="I153" i="27"/>
  <c r="H153" i="27"/>
  <c r="G153" i="27"/>
  <c r="F153" i="27"/>
  <c r="T104" i="25" s="1"/>
  <c r="E153" i="27"/>
  <c r="D153" i="27"/>
  <c r="C153" i="27"/>
  <c r="B153" i="27"/>
  <c r="A153" i="27"/>
  <c r="R152" i="27"/>
  <c r="Q152" i="27"/>
  <c r="P152" i="27"/>
  <c r="AD104" i="25" s="1"/>
  <c r="O152" i="27"/>
  <c r="N152" i="27"/>
  <c r="M152" i="27"/>
  <c r="L152" i="27"/>
  <c r="K152" i="27"/>
  <c r="J152" i="27"/>
  <c r="I152" i="27"/>
  <c r="H152" i="27"/>
  <c r="V104" i="25" s="1"/>
  <c r="G152" i="27"/>
  <c r="U104" i="25" s="1"/>
  <c r="F152" i="27"/>
  <c r="E152" i="27"/>
  <c r="D152" i="27"/>
  <c r="C152" i="27"/>
  <c r="B152" i="27"/>
  <c r="A152" i="27"/>
  <c r="R151" i="27"/>
  <c r="Q151" i="27"/>
  <c r="P151" i="27"/>
  <c r="O151" i="27"/>
  <c r="N151" i="27"/>
  <c r="M151" i="27"/>
  <c r="L151" i="27"/>
  <c r="K151" i="27"/>
  <c r="J151" i="27"/>
  <c r="X104" i="25" s="1"/>
  <c r="I151" i="27"/>
  <c r="W104" i="25" s="1"/>
  <c r="H151" i="27"/>
  <c r="G151" i="27"/>
  <c r="F151" i="27"/>
  <c r="E151" i="27"/>
  <c r="D151" i="27"/>
  <c r="C151" i="27"/>
  <c r="B151" i="27"/>
  <c r="A151" i="27"/>
  <c r="R150" i="27"/>
  <c r="Q150" i="27"/>
  <c r="P150" i="27"/>
  <c r="O150" i="27"/>
  <c r="N150" i="27"/>
  <c r="M150" i="27"/>
  <c r="L150" i="27"/>
  <c r="Z103" i="25" s="1"/>
  <c r="K150" i="27"/>
  <c r="J150" i="27"/>
  <c r="I150" i="27"/>
  <c r="H150" i="27"/>
  <c r="G150" i="27"/>
  <c r="F150" i="27"/>
  <c r="E150" i="27"/>
  <c r="D150" i="27"/>
  <c r="C150" i="27"/>
  <c r="B150" i="27"/>
  <c r="A150" i="27"/>
  <c r="R149" i="27"/>
  <c r="Q149" i="27"/>
  <c r="P149" i="27"/>
  <c r="O149" i="27"/>
  <c r="N149" i="27"/>
  <c r="M149" i="27"/>
  <c r="L149" i="27"/>
  <c r="K149" i="27"/>
  <c r="J149" i="27"/>
  <c r="I149" i="27"/>
  <c r="H149" i="27"/>
  <c r="G149" i="27"/>
  <c r="F149" i="27"/>
  <c r="T103" i="25" s="1"/>
  <c r="E149" i="27"/>
  <c r="D149" i="27"/>
  <c r="C149" i="27"/>
  <c r="B149" i="27"/>
  <c r="A149" i="27"/>
  <c r="R148" i="27"/>
  <c r="Q148" i="27"/>
  <c r="P148" i="27"/>
  <c r="AD103" i="25" s="1"/>
  <c r="O148" i="27"/>
  <c r="AC103" i="25" s="1"/>
  <c r="N148" i="27"/>
  <c r="M148" i="27"/>
  <c r="L148" i="27"/>
  <c r="K148" i="27"/>
  <c r="J148" i="27"/>
  <c r="I148" i="27"/>
  <c r="H148" i="27"/>
  <c r="V103" i="25" s="1"/>
  <c r="G148" i="27"/>
  <c r="U103" i="25" s="1"/>
  <c r="F148" i="27"/>
  <c r="E148" i="27"/>
  <c r="D148" i="27"/>
  <c r="C148" i="27"/>
  <c r="B148" i="27"/>
  <c r="A148" i="27"/>
  <c r="R147" i="27"/>
  <c r="Q147" i="27"/>
  <c r="P147" i="27"/>
  <c r="O147" i="27"/>
  <c r="N147" i="27"/>
  <c r="M147" i="27"/>
  <c r="L147" i="27"/>
  <c r="K147" i="27"/>
  <c r="J147" i="27"/>
  <c r="X103" i="25" s="1"/>
  <c r="I147" i="27"/>
  <c r="H147" i="27"/>
  <c r="G147" i="27"/>
  <c r="F147" i="27"/>
  <c r="E147" i="27"/>
  <c r="D147" i="27"/>
  <c r="C147" i="27"/>
  <c r="B147" i="27"/>
  <c r="A147" i="27"/>
  <c r="R146" i="27"/>
  <c r="Q146" i="27"/>
  <c r="P146" i="27"/>
  <c r="O146" i="27"/>
  <c r="N146" i="27"/>
  <c r="M146" i="27"/>
  <c r="L146" i="27"/>
  <c r="K146" i="27"/>
  <c r="J146" i="27"/>
  <c r="I146" i="27"/>
  <c r="H146" i="27"/>
  <c r="G146" i="27"/>
  <c r="F146" i="27"/>
  <c r="E146" i="27"/>
  <c r="D146" i="27"/>
  <c r="C146" i="27"/>
  <c r="B146" i="27"/>
  <c r="A146" i="27"/>
  <c r="L145" i="27"/>
  <c r="K145" i="27"/>
  <c r="J145" i="27"/>
  <c r="I145" i="27"/>
  <c r="O144" i="27"/>
  <c r="D141" i="27"/>
  <c r="C141" i="27"/>
  <c r="B141" i="27"/>
  <c r="A141" i="27"/>
  <c r="D140" i="27"/>
  <c r="C140" i="27"/>
  <c r="B140" i="27"/>
  <c r="A140" i="27"/>
  <c r="D138" i="27"/>
  <c r="D207" i="27" s="1"/>
  <c r="A138" i="27"/>
  <c r="A207" i="27" s="1"/>
  <c r="D137" i="27"/>
  <c r="D206" i="27" s="1"/>
  <c r="A137" i="27"/>
  <c r="A206" i="27" s="1"/>
  <c r="D136" i="27"/>
  <c r="D205" i="27" s="1"/>
  <c r="A136" i="27"/>
  <c r="A205" i="27" s="1"/>
  <c r="D135" i="27"/>
  <c r="C135" i="27"/>
  <c r="B135" i="27"/>
  <c r="A135" i="27"/>
  <c r="D134" i="27"/>
  <c r="C134" i="27"/>
  <c r="B134" i="27"/>
  <c r="A134" i="27"/>
  <c r="D133" i="27"/>
  <c r="C133" i="27"/>
  <c r="B133" i="27"/>
  <c r="A133" i="27"/>
  <c r="D132" i="27"/>
  <c r="C132" i="27"/>
  <c r="B132" i="27"/>
  <c r="A132" i="27"/>
  <c r="D131" i="27"/>
  <c r="C131" i="27"/>
  <c r="B131" i="27"/>
  <c r="A131" i="27"/>
  <c r="D130" i="27"/>
  <c r="C130" i="27"/>
  <c r="B130" i="27"/>
  <c r="A130" i="27"/>
  <c r="D129" i="27"/>
  <c r="C129" i="27"/>
  <c r="B129" i="27"/>
  <c r="A129" i="27"/>
  <c r="D128" i="27"/>
  <c r="C128" i="27"/>
  <c r="B128" i="27"/>
  <c r="A128" i="27"/>
  <c r="B127" i="27"/>
  <c r="C126" i="27"/>
  <c r="B126" i="27"/>
  <c r="A126" i="27"/>
  <c r="D125" i="27"/>
  <c r="C125" i="27"/>
  <c r="B125" i="27"/>
  <c r="A125" i="27"/>
  <c r="D124" i="27"/>
  <c r="C124" i="27"/>
  <c r="B124" i="27"/>
  <c r="A124" i="27"/>
  <c r="D123" i="27"/>
  <c r="C123" i="27"/>
  <c r="B123" i="27"/>
  <c r="A123" i="27"/>
  <c r="D122" i="27"/>
  <c r="C122" i="27"/>
  <c r="B122" i="27"/>
  <c r="A122" i="27"/>
  <c r="D121" i="27"/>
  <c r="C121" i="27"/>
  <c r="B121" i="27"/>
  <c r="A121" i="27"/>
  <c r="D120" i="27"/>
  <c r="C120" i="27"/>
  <c r="B120" i="27"/>
  <c r="A120" i="27"/>
  <c r="A119" i="27"/>
  <c r="D118" i="27"/>
  <c r="C118" i="27"/>
  <c r="B118" i="27"/>
  <c r="A118" i="27"/>
  <c r="D116"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D109" i="27"/>
  <c r="C109" i="27"/>
  <c r="B109" i="27"/>
  <c r="A109" i="27"/>
  <c r="D108" i="27"/>
  <c r="C108" i="27"/>
  <c r="B108" i="27"/>
  <c r="A108" i="27"/>
  <c r="D107" i="27"/>
  <c r="C107" i="27"/>
  <c r="B107" i="27"/>
  <c r="A107"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N76" i="27"/>
  <c r="N145" i="27" s="1"/>
  <c r="M76" i="27"/>
  <c r="M145" i="27" s="1"/>
  <c r="L76" i="27"/>
  <c r="K76" i="27"/>
  <c r="J76" i="27"/>
  <c r="I76" i="27"/>
  <c r="O75" i="27"/>
  <c r="P72" i="27"/>
  <c r="O72" i="27"/>
  <c r="M69" i="25" s="1"/>
  <c r="M72" i="27"/>
  <c r="K69" i="25" s="1"/>
  <c r="L72" i="27"/>
  <c r="K72" i="27"/>
  <c r="I69" i="25" s="1"/>
  <c r="J72" i="27"/>
  <c r="H69" i="25" s="1"/>
  <c r="I72" i="27"/>
  <c r="G69" i="25" s="1"/>
  <c r="H72" i="27"/>
  <c r="F69" i="25" s="1"/>
  <c r="G72" i="27"/>
  <c r="F72" i="27"/>
  <c r="D69" i="25" s="1"/>
  <c r="E72" i="27"/>
  <c r="C69" i="25" s="1"/>
  <c r="O6" i="27"/>
  <c r="A6" i="27"/>
  <c r="A144" i="27" s="1"/>
  <c r="A2" i="27"/>
  <c r="A1" i="27"/>
  <c r="P69" i="26"/>
  <c r="O69" i="26"/>
  <c r="N69" i="26"/>
  <c r="M69" i="26"/>
  <c r="L69" i="26"/>
  <c r="K69" i="26"/>
  <c r="J69" i="26"/>
  <c r="I69" i="26"/>
  <c r="I70" i="26" s="1"/>
  <c r="H69" i="26"/>
  <c r="G69" i="26"/>
  <c r="F69" i="26"/>
  <c r="E69" i="26"/>
  <c r="B69" i="26"/>
  <c r="A69" i="26"/>
  <c r="D68" i="26"/>
  <c r="C68" i="26"/>
  <c r="B68" i="26"/>
  <c r="A68" i="26"/>
  <c r="P67" i="26"/>
  <c r="O67" i="26"/>
  <c r="N67" i="26"/>
  <c r="M67" i="26"/>
  <c r="L67" i="26"/>
  <c r="K67" i="26"/>
  <c r="AO23" i="26" s="1"/>
  <c r="J67" i="26"/>
  <c r="I67" i="26"/>
  <c r="H67" i="26"/>
  <c r="G67" i="26"/>
  <c r="F67" i="26"/>
  <c r="E67" i="26"/>
  <c r="D67" i="26"/>
  <c r="C67" i="26"/>
  <c r="B67" i="26"/>
  <c r="A67" i="26"/>
  <c r="P66" i="26"/>
  <c r="O66" i="26"/>
  <c r="N66" i="26"/>
  <c r="M66" i="26"/>
  <c r="L66" i="26"/>
  <c r="K66" i="26"/>
  <c r="AO22" i="26" s="1"/>
  <c r="AQ22" i="26" s="1"/>
  <c r="J66" i="26"/>
  <c r="I66" i="26"/>
  <c r="H66" i="26"/>
  <c r="G66" i="26"/>
  <c r="F66" i="26"/>
  <c r="E66" i="26"/>
  <c r="D66" i="26"/>
  <c r="C66" i="26"/>
  <c r="B66" i="26"/>
  <c r="A66" i="26"/>
  <c r="P65" i="26"/>
  <c r="O65" i="26"/>
  <c r="N65" i="26"/>
  <c r="M65" i="26"/>
  <c r="L65" i="26"/>
  <c r="K65" i="26"/>
  <c r="AO21" i="26" s="1"/>
  <c r="AQ21" i="26" s="1"/>
  <c r="J65" i="26"/>
  <c r="I65" i="26"/>
  <c r="H65" i="26"/>
  <c r="G65" i="26"/>
  <c r="F65" i="26"/>
  <c r="E65" i="26"/>
  <c r="D65" i="26"/>
  <c r="C65" i="26"/>
  <c r="B65" i="26"/>
  <c r="A65" i="26"/>
  <c r="P64" i="26"/>
  <c r="O64" i="26"/>
  <c r="N64" i="26"/>
  <c r="M64" i="26"/>
  <c r="L64" i="26"/>
  <c r="K64" i="26"/>
  <c r="AO20" i="26" s="1"/>
  <c r="J64" i="26"/>
  <c r="I64" i="26"/>
  <c r="H64" i="26"/>
  <c r="G64" i="26"/>
  <c r="U176" i="25" s="1"/>
  <c r="F64" i="26"/>
  <c r="E64" i="26"/>
  <c r="D64" i="26"/>
  <c r="C64" i="26"/>
  <c r="B64" i="26"/>
  <c r="A64" i="26"/>
  <c r="P63" i="26"/>
  <c r="O63" i="26"/>
  <c r="AC175" i="25" s="1"/>
  <c r="N63" i="26"/>
  <c r="AB175" i="25" s="1"/>
  <c r="M63" i="26"/>
  <c r="L63" i="26"/>
  <c r="Z175" i="25" s="1"/>
  <c r="K63" i="26"/>
  <c r="J63" i="26"/>
  <c r="X175" i="25" s="1"/>
  <c r="X177" i="25" s="1"/>
  <c r="X178" i="25" s="1"/>
  <c r="I63" i="26"/>
  <c r="H63" i="26"/>
  <c r="V175" i="25"/>
  <c r="G63" i="26"/>
  <c r="U175" i="25"/>
  <c r="F63" i="26"/>
  <c r="T175" i="25"/>
  <c r="E63" i="26"/>
  <c r="D63" i="26"/>
  <c r="C63" i="26"/>
  <c r="B63" i="26"/>
  <c r="A63" i="26"/>
  <c r="P62" i="26"/>
  <c r="O62" i="26"/>
  <c r="N62" i="26"/>
  <c r="M62" i="26"/>
  <c r="L62" i="26"/>
  <c r="K62" i="26"/>
  <c r="J62" i="26"/>
  <c r="I62" i="26"/>
  <c r="H62" i="26"/>
  <c r="G62" i="26"/>
  <c r="F62" i="26"/>
  <c r="E62" i="26"/>
  <c r="D62" i="26"/>
  <c r="C62" i="26"/>
  <c r="B62" i="26"/>
  <c r="A62" i="26"/>
  <c r="P61" i="26"/>
  <c r="O61" i="26"/>
  <c r="N61" i="26"/>
  <c r="M61" i="26"/>
  <c r="L61" i="26"/>
  <c r="K61" i="26"/>
  <c r="J61" i="26"/>
  <c r="I61" i="26"/>
  <c r="H61" i="26"/>
  <c r="G61" i="26"/>
  <c r="F61" i="26"/>
  <c r="E61" i="26"/>
  <c r="D61" i="26"/>
  <c r="C61" i="26"/>
  <c r="B61" i="26"/>
  <c r="A61" i="26"/>
  <c r="P60" i="26"/>
  <c r="O60" i="26"/>
  <c r="N60" i="26"/>
  <c r="M60" i="26"/>
  <c r="L60" i="26"/>
  <c r="K60" i="26"/>
  <c r="J60" i="26"/>
  <c r="I60" i="26"/>
  <c r="H60" i="26"/>
  <c r="G60" i="26"/>
  <c r="F60" i="26"/>
  <c r="E60" i="26"/>
  <c r="D60" i="26"/>
  <c r="C60" i="26"/>
  <c r="B60" i="26"/>
  <c r="A60" i="26"/>
  <c r="P59" i="26"/>
  <c r="O59" i="26"/>
  <c r="N59" i="26"/>
  <c r="AB174" i="25" s="1"/>
  <c r="M59" i="26"/>
  <c r="AA174" i="25" s="1"/>
  <c r="L59" i="26"/>
  <c r="K59" i="26"/>
  <c r="J59" i="26"/>
  <c r="I59" i="26"/>
  <c r="H59" i="26"/>
  <c r="G59" i="26"/>
  <c r="F59" i="26"/>
  <c r="E59" i="26"/>
  <c r="D59" i="26"/>
  <c r="C59" i="26"/>
  <c r="B59" i="26"/>
  <c r="A59" i="26"/>
  <c r="P58" i="26"/>
  <c r="AD173" i="25" s="1"/>
  <c r="O58" i="26"/>
  <c r="AC173" i="25" s="1"/>
  <c r="N58" i="26"/>
  <c r="AB173" i="25" s="1"/>
  <c r="M58" i="26"/>
  <c r="AA173" i="25" s="1"/>
  <c r="AA177" i="25" s="1"/>
  <c r="AA178" i="25" s="1"/>
  <c r="L58" i="26"/>
  <c r="Z173" i="25" s="1"/>
  <c r="K58" i="26"/>
  <c r="J58" i="26"/>
  <c r="I58" i="26"/>
  <c r="H58" i="26"/>
  <c r="V173" i="25" s="1"/>
  <c r="G58" i="26"/>
  <c r="U173" i="25" s="1"/>
  <c r="F58" i="26"/>
  <c r="T173" i="25" s="1"/>
  <c r="E58" i="26"/>
  <c r="S173" i="25" s="1"/>
  <c r="S177" i="25" s="1"/>
  <c r="S178" i="25" s="1"/>
  <c r="D58" i="26"/>
  <c r="C58" i="26"/>
  <c r="B58" i="26"/>
  <c r="A58" i="26"/>
  <c r="P57" i="26"/>
  <c r="O57" i="26"/>
  <c r="N57" i="26"/>
  <c r="M57" i="26"/>
  <c r="L57" i="26"/>
  <c r="K57" i="26"/>
  <c r="J57" i="26"/>
  <c r="I57" i="26"/>
  <c r="H57" i="26"/>
  <c r="G57" i="26"/>
  <c r="F57" i="26"/>
  <c r="E57" i="26"/>
  <c r="D57" i="26"/>
  <c r="C57" i="26"/>
  <c r="B57" i="26"/>
  <c r="A57" i="26"/>
  <c r="P56" i="26"/>
  <c r="O56" i="26"/>
  <c r="N56" i="26"/>
  <c r="M56" i="26"/>
  <c r="L56" i="26"/>
  <c r="K56" i="26"/>
  <c r="J56" i="26"/>
  <c r="I56" i="26"/>
  <c r="H56" i="26"/>
  <c r="G56" i="26"/>
  <c r="F56" i="26"/>
  <c r="E56" i="26"/>
  <c r="D56" i="26"/>
  <c r="C56" i="26"/>
  <c r="B56" i="26"/>
  <c r="A56" i="26"/>
  <c r="P55" i="26"/>
  <c r="O55" i="26"/>
  <c r="N55" i="26"/>
  <c r="M55" i="26"/>
  <c r="L55" i="26"/>
  <c r="K55" i="26"/>
  <c r="J55" i="26"/>
  <c r="I55" i="26"/>
  <c r="H55" i="26"/>
  <c r="G55" i="26"/>
  <c r="F55" i="26"/>
  <c r="E55" i="26"/>
  <c r="D55" i="26"/>
  <c r="C55" i="26"/>
  <c r="B55" i="26"/>
  <c r="A55" i="26"/>
  <c r="P54" i="26"/>
  <c r="O54" i="26"/>
  <c r="N54" i="26"/>
  <c r="M54" i="26"/>
  <c r="L54" i="26"/>
  <c r="K54" i="26"/>
  <c r="J54" i="26"/>
  <c r="I54" i="26"/>
  <c r="H54" i="26"/>
  <c r="G54" i="26"/>
  <c r="F54" i="26"/>
  <c r="E54" i="26"/>
  <c r="D54" i="26"/>
  <c r="C54" i="26"/>
  <c r="B54" i="26"/>
  <c r="A54" i="26"/>
  <c r="P53" i="26"/>
  <c r="O53" i="26"/>
  <c r="N53" i="26"/>
  <c r="AB172" i="25" s="1"/>
  <c r="M53" i="26"/>
  <c r="L53" i="26"/>
  <c r="K53" i="26"/>
  <c r="J53" i="26"/>
  <c r="I53" i="26"/>
  <c r="H53" i="26"/>
  <c r="G53" i="26"/>
  <c r="F53" i="26"/>
  <c r="E53" i="26"/>
  <c r="D53" i="26"/>
  <c r="C53" i="26"/>
  <c r="B53" i="26"/>
  <c r="A53" i="26"/>
  <c r="N52" i="26"/>
  <c r="M52" i="26"/>
  <c r="L52" i="26"/>
  <c r="K52" i="26"/>
  <c r="J52" i="26"/>
  <c r="I52" i="26"/>
  <c r="O51" i="26"/>
  <c r="A48" i="26"/>
  <c r="A70" i="26" s="1"/>
  <c r="B47" i="26"/>
  <c r="A47" i="26"/>
  <c r="D46" i="26"/>
  <c r="C46" i="26"/>
  <c r="B46" i="26"/>
  <c r="A46" i="26"/>
  <c r="D45" i="26"/>
  <c r="C45" i="26"/>
  <c r="B45" i="26"/>
  <c r="A45" i="26"/>
  <c r="D44" i="26"/>
  <c r="C44" i="26"/>
  <c r="B44" i="26"/>
  <c r="A44" i="26"/>
  <c r="D43" i="26"/>
  <c r="C43" i="26"/>
  <c r="B43" i="26"/>
  <c r="A43" i="26"/>
  <c r="D42" i="26"/>
  <c r="C42" i="26"/>
  <c r="B42" i="26"/>
  <c r="A42" i="26"/>
  <c r="D41" i="26"/>
  <c r="C41" i="26"/>
  <c r="B41" i="26"/>
  <c r="A41" i="26"/>
  <c r="D40" i="26"/>
  <c r="C40" i="26"/>
  <c r="B40" i="26"/>
  <c r="A40" i="26"/>
  <c r="D39" i="26"/>
  <c r="C39" i="26"/>
  <c r="B39" i="26"/>
  <c r="A39" i="26"/>
  <c r="D38" i="26"/>
  <c r="C38" i="26"/>
  <c r="B38" i="26"/>
  <c r="A38" i="26"/>
  <c r="D37" i="26"/>
  <c r="C37" i="26"/>
  <c r="B37" i="26"/>
  <c r="A37" i="26"/>
  <c r="D36" i="26"/>
  <c r="C36" i="26"/>
  <c r="B36" i="26"/>
  <c r="A36" i="26"/>
  <c r="D35" i="26"/>
  <c r="C35" i="26"/>
  <c r="B35" i="26"/>
  <c r="A35" i="26"/>
  <c r="D34" i="26"/>
  <c r="C34" i="26"/>
  <c r="B34" i="26"/>
  <c r="A34" i="26"/>
  <c r="D33" i="26"/>
  <c r="C33" i="26"/>
  <c r="B33" i="26"/>
  <c r="A33" i="26"/>
  <c r="D32" i="26"/>
  <c r="C32" i="26"/>
  <c r="B32" i="26"/>
  <c r="A32" i="26"/>
  <c r="D31" i="26"/>
  <c r="C31" i="26"/>
  <c r="B31" i="26"/>
  <c r="A31" i="26"/>
  <c r="N30" i="26"/>
  <c r="M30" i="26"/>
  <c r="L30" i="26"/>
  <c r="K30" i="26"/>
  <c r="J30" i="26"/>
  <c r="I30" i="26"/>
  <c r="O29" i="26"/>
  <c r="R26" i="26"/>
  <c r="P178" i="25" s="1"/>
  <c r="Q26" i="26"/>
  <c r="O72" i="25" s="1"/>
  <c r="P26" i="26"/>
  <c r="N72" i="25" s="1"/>
  <c r="N75" i="25" s="1"/>
  <c r="N38" i="25" s="1"/>
  <c r="O26" i="26"/>
  <c r="M72" i="25" s="1"/>
  <c r="M26" i="26"/>
  <c r="K72" i="25" s="1"/>
  <c r="L26" i="26"/>
  <c r="K26" i="26"/>
  <c r="I72" i="25" s="1"/>
  <c r="J26" i="26"/>
  <c r="H72" i="25" s="1"/>
  <c r="I26" i="26"/>
  <c r="G72" i="25" s="1"/>
  <c r="H26" i="26"/>
  <c r="F72" i="25" s="1"/>
  <c r="G26" i="26"/>
  <c r="F26" i="26"/>
  <c r="D72" i="25" s="1"/>
  <c r="E26" i="26"/>
  <c r="AM21" i="26"/>
  <c r="O7" i="26"/>
  <c r="A7" i="26"/>
  <c r="A29" i="26" s="1"/>
  <c r="A51" i="26" s="1"/>
  <c r="A2" i="26"/>
  <c r="A1" i="26"/>
  <c r="Z284" i="25"/>
  <c r="Y284" i="25"/>
  <c r="W284" i="25"/>
  <c r="V284" i="25"/>
  <c r="U284" i="25"/>
  <c r="T284" i="25"/>
  <c r="S284" i="25"/>
  <c r="J284" i="25"/>
  <c r="I284" i="25"/>
  <c r="H284" i="25"/>
  <c r="G284" i="25"/>
  <c r="F284" i="25"/>
  <c r="E284" i="25"/>
  <c r="D284" i="25"/>
  <c r="C284" i="25"/>
  <c r="Z283" i="25"/>
  <c r="Y283" i="25"/>
  <c r="X283" i="25"/>
  <c r="W283" i="25"/>
  <c r="V283" i="25"/>
  <c r="U283" i="25"/>
  <c r="T283" i="25"/>
  <c r="S283" i="25"/>
  <c r="J283" i="25"/>
  <c r="I283" i="25"/>
  <c r="H283" i="25"/>
  <c r="G283" i="25"/>
  <c r="F283" i="25"/>
  <c r="E283" i="25"/>
  <c r="D283" i="25"/>
  <c r="C283" i="25"/>
  <c r="Z282" i="25"/>
  <c r="V282" i="25"/>
  <c r="U282" i="25"/>
  <c r="T282" i="25"/>
  <c r="S282" i="25"/>
  <c r="F282" i="25"/>
  <c r="E282" i="25"/>
  <c r="E285" i="25" s="1"/>
  <c r="D282" i="25"/>
  <c r="C282" i="25"/>
  <c r="AB281" i="25"/>
  <c r="Z281" i="25"/>
  <c r="V281" i="25"/>
  <c r="U281" i="25"/>
  <c r="L281" i="25"/>
  <c r="K281" i="25"/>
  <c r="K285" i="25" s="1"/>
  <c r="J281" i="25"/>
  <c r="I281" i="25"/>
  <c r="H281" i="25"/>
  <c r="G281" i="25"/>
  <c r="F281" i="25"/>
  <c r="E281" i="25"/>
  <c r="D281" i="25"/>
  <c r="C281" i="25"/>
  <c r="C285" i="25" s="1"/>
  <c r="L280" i="25"/>
  <c r="K280" i="25"/>
  <c r="J280" i="25"/>
  <c r="I280" i="25"/>
  <c r="H280" i="25"/>
  <c r="G280" i="25"/>
  <c r="F280" i="25"/>
  <c r="F285" i="25" s="1"/>
  <c r="E280" i="25"/>
  <c r="D280" i="25"/>
  <c r="C280" i="25"/>
  <c r="Z279" i="25"/>
  <c r="Y279" i="25"/>
  <c r="L279" i="25"/>
  <c r="K279" i="25"/>
  <c r="J279" i="25"/>
  <c r="I279" i="25"/>
  <c r="H279" i="25"/>
  <c r="G279" i="25"/>
  <c r="F279" i="25"/>
  <c r="E279" i="25"/>
  <c r="D279" i="25"/>
  <c r="C279" i="25"/>
  <c r="AB278" i="25"/>
  <c r="AA278" i="25"/>
  <c r="Z278" i="25"/>
  <c r="Y278" i="25"/>
  <c r="X278" i="25"/>
  <c r="S278" i="25"/>
  <c r="L278" i="25"/>
  <c r="K278" i="25"/>
  <c r="J278" i="25"/>
  <c r="J285" i="25" s="1"/>
  <c r="I278" i="25"/>
  <c r="H278" i="25"/>
  <c r="G278" i="25"/>
  <c r="F278" i="25"/>
  <c r="E278" i="25"/>
  <c r="D278" i="25"/>
  <c r="C278" i="25"/>
  <c r="S275" i="25"/>
  <c r="Z246" i="25"/>
  <c r="Y246" i="25"/>
  <c r="X246" i="25"/>
  <c r="W246" i="25"/>
  <c r="V246" i="25"/>
  <c r="U246" i="25"/>
  <c r="T246" i="25"/>
  <c r="S246" i="25"/>
  <c r="P246" i="25"/>
  <c r="O246" i="25"/>
  <c r="N246" i="25"/>
  <c r="M246" i="25"/>
  <c r="L246" i="25"/>
  <c r="K246" i="25"/>
  <c r="J246" i="25"/>
  <c r="I246" i="25"/>
  <c r="H246" i="25"/>
  <c r="G246" i="25"/>
  <c r="F246" i="25"/>
  <c r="E246" i="25"/>
  <c r="D246" i="25"/>
  <c r="C246" i="25"/>
  <c r="AE245" i="25"/>
  <c r="AD245" i="25"/>
  <c r="AA245" i="25"/>
  <c r="Z245" i="25"/>
  <c r="W245" i="25"/>
  <c r="V245" i="25"/>
  <c r="S245" i="25"/>
  <c r="P245" i="25"/>
  <c r="O245" i="25"/>
  <c r="N245" i="25"/>
  <c r="M245" i="25"/>
  <c r="L245" i="25"/>
  <c r="K245" i="25"/>
  <c r="J245" i="25"/>
  <c r="I245" i="25"/>
  <c r="H245" i="25"/>
  <c r="G245" i="25"/>
  <c r="F245" i="25"/>
  <c r="E245" i="25"/>
  <c r="D245" i="25"/>
  <c r="C245" i="25"/>
  <c r="AA244" i="25"/>
  <c r="S244" i="25"/>
  <c r="O244" i="25"/>
  <c r="N244" i="25"/>
  <c r="M244" i="25"/>
  <c r="L244" i="25"/>
  <c r="K244" i="25"/>
  <c r="J244" i="25"/>
  <c r="I244" i="25"/>
  <c r="H244" i="25"/>
  <c r="G244" i="25"/>
  <c r="F244" i="25"/>
  <c r="E244" i="25"/>
  <c r="D244" i="25"/>
  <c r="C244" i="25"/>
  <c r="S241" i="25"/>
  <c r="AD210" i="25"/>
  <c r="AC210" i="25"/>
  <c r="AB210" i="25"/>
  <c r="Z210" i="25"/>
  <c r="Y210" i="25"/>
  <c r="X210" i="25"/>
  <c r="W210" i="25"/>
  <c r="V210" i="25"/>
  <c r="U210" i="25"/>
  <c r="T210" i="25"/>
  <c r="M210" i="25"/>
  <c r="L210" i="25"/>
  <c r="K210" i="25"/>
  <c r="J210" i="25"/>
  <c r="I210" i="25"/>
  <c r="H210" i="25"/>
  <c r="G210" i="25"/>
  <c r="F210" i="25"/>
  <c r="E210" i="25"/>
  <c r="D210" i="25"/>
  <c r="C210" i="25"/>
  <c r="AD209" i="25"/>
  <c r="AB209" i="25"/>
  <c r="Z209" i="25"/>
  <c r="Y209" i="25"/>
  <c r="X209" i="25"/>
  <c r="V209" i="25"/>
  <c r="T209" i="25"/>
  <c r="M209" i="25"/>
  <c r="L209" i="25"/>
  <c r="K209" i="25"/>
  <c r="J209" i="25"/>
  <c r="I209" i="25"/>
  <c r="I212" i="25" s="1"/>
  <c r="H209" i="25"/>
  <c r="G209" i="25"/>
  <c r="F209" i="25"/>
  <c r="E209" i="25"/>
  <c r="D209" i="25"/>
  <c r="C209" i="25"/>
  <c r="AE208" i="25"/>
  <c r="AC208" i="25"/>
  <c r="AA208" i="25"/>
  <c r="Y208" i="25"/>
  <c r="W208" i="25"/>
  <c r="U208" i="25"/>
  <c r="S208" i="25"/>
  <c r="P208" i="25"/>
  <c r="O208" i="25"/>
  <c r="M208" i="25"/>
  <c r="L208" i="25"/>
  <c r="K208" i="25"/>
  <c r="J208" i="25"/>
  <c r="I208" i="25"/>
  <c r="H208" i="25"/>
  <c r="G208" i="25"/>
  <c r="F208" i="25"/>
  <c r="E208" i="25"/>
  <c r="E212" i="25" s="1"/>
  <c r="D208" i="25"/>
  <c r="C208" i="25"/>
  <c r="AB207" i="25"/>
  <c r="X207" i="25"/>
  <c r="V207" i="25"/>
  <c r="T207" i="25"/>
  <c r="P207" i="25"/>
  <c r="O207" i="25"/>
  <c r="O212" i="25" s="1"/>
  <c r="M207" i="25"/>
  <c r="L207" i="25"/>
  <c r="K207" i="25"/>
  <c r="J207" i="25"/>
  <c r="I207" i="25"/>
  <c r="H207" i="25"/>
  <c r="G207" i="25"/>
  <c r="F207" i="25"/>
  <c r="E207" i="25"/>
  <c r="D207" i="25"/>
  <c r="C207" i="25"/>
  <c r="S204" i="25"/>
  <c r="H176" i="25"/>
  <c r="G176" i="25"/>
  <c r="F176" i="25"/>
  <c r="E176" i="25"/>
  <c r="D176" i="25"/>
  <c r="C176" i="25"/>
  <c r="AF175" i="25"/>
  <c r="AE175" i="25"/>
  <c r="AD175" i="25"/>
  <c r="AA175" i="25"/>
  <c r="W175" i="25"/>
  <c r="S175" i="25"/>
  <c r="H175" i="25"/>
  <c r="G175" i="25"/>
  <c r="F175" i="25"/>
  <c r="E175" i="25"/>
  <c r="D175" i="25"/>
  <c r="C175" i="25"/>
  <c r="H174" i="25"/>
  <c r="G174" i="25"/>
  <c r="F174" i="25"/>
  <c r="E174" i="25"/>
  <c r="D174" i="25"/>
  <c r="D177" i="25" s="1"/>
  <c r="C174" i="25"/>
  <c r="Y173" i="25"/>
  <c r="X173" i="25"/>
  <c r="W173" i="25"/>
  <c r="H173" i="25"/>
  <c r="G173" i="25"/>
  <c r="G177" i="25" s="1"/>
  <c r="F173" i="25"/>
  <c r="E173" i="25"/>
  <c r="D173" i="25"/>
  <c r="C173" i="25"/>
  <c r="H172" i="25"/>
  <c r="G172" i="25"/>
  <c r="F172" i="25"/>
  <c r="E172" i="25"/>
  <c r="D172" i="25"/>
  <c r="C172" i="25"/>
  <c r="S169" i="25"/>
  <c r="B146" i="25"/>
  <c r="Y140" i="25"/>
  <c r="X140" i="25"/>
  <c r="T140" i="25"/>
  <c r="P140" i="25"/>
  <c r="O140" i="25"/>
  <c r="L140" i="25"/>
  <c r="K140" i="25"/>
  <c r="J140" i="25"/>
  <c r="I140" i="25"/>
  <c r="H140" i="25"/>
  <c r="G140" i="25"/>
  <c r="G142" i="25" s="1"/>
  <c r="F140" i="25"/>
  <c r="E140" i="25"/>
  <c r="D140" i="25"/>
  <c r="C140" i="25"/>
  <c r="X139" i="25"/>
  <c r="P139" i="25"/>
  <c r="O139" i="25"/>
  <c r="L139" i="25"/>
  <c r="L142" i="25" s="1"/>
  <c r="K139" i="25"/>
  <c r="J139" i="25"/>
  <c r="I139" i="25"/>
  <c r="H139" i="25"/>
  <c r="G139" i="25"/>
  <c r="F139" i="25"/>
  <c r="E139" i="25"/>
  <c r="D139" i="25"/>
  <c r="D142" i="25" s="1"/>
  <c r="C139" i="25"/>
  <c r="C142" i="25" s="1"/>
  <c r="AB138" i="25"/>
  <c r="AA138" i="25"/>
  <c r="U138" i="25"/>
  <c r="T138" i="25"/>
  <c r="P138" i="25"/>
  <c r="O138" i="25"/>
  <c r="O142" i="25" s="1"/>
  <c r="L138" i="25"/>
  <c r="K138" i="25"/>
  <c r="J138" i="25"/>
  <c r="I138" i="25"/>
  <c r="H138" i="25"/>
  <c r="G138" i="25"/>
  <c r="F138" i="25"/>
  <c r="E138" i="25"/>
  <c r="E142" i="25" s="1"/>
  <c r="D138" i="25"/>
  <c r="C138" i="25"/>
  <c r="P137" i="25"/>
  <c r="O137" i="25"/>
  <c r="L137" i="25"/>
  <c r="K137" i="25"/>
  <c r="J137" i="25"/>
  <c r="I137" i="25"/>
  <c r="I142" i="25" s="1"/>
  <c r="H137" i="25"/>
  <c r="G137" i="25"/>
  <c r="F137" i="25"/>
  <c r="E137" i="25"/>
  <c r="D137" i="25"/>
  <c r="C137" i="25"/>
  <c r="S134" i="25"/>
  <c r="AC109" i="25"/>
  <c r="V109" i="25"/>
  <c r="P109" i="25"/>
  <c r="O109" i="25"/>
  <c r="N109" i="25"/>
  <c r="M109" i="25"/>
  <c r="K109" i="25"/>
  <c r="J109" i="25"/>
  <c r="I109" i="25"/>
  <c r="H109" i="25"/>
  <c r="G109" i="25"/>
  <c r="F109" i="25"/>
  <c r="E109" i="25"/>
  <c r="D109" i="25"/>
  <c r="C109" i="25"/>
  <c r="AD108" i="25"/>
  <c r="P108" i="25"/>
  <c r="O108" i="25"/>
  <c r="N108" i="25"/>
  <c r="M108" i="25"/>
  <c r="K108" i="25"/>
  <c r="J108" i="25"/>
  <c r="I108" i="25"/>
  <c r="H108" i="25"/>
  <c r="G108" i="25"/>
  <c r="F108" i="25"/>
  <c r="E108" i="25"/>
  <c r="D108" i="25"/>
  <c r="C108" i="25"/>
  <c r="AA107" i="25"/>
  <c r="T107" i="25"/>
  <c r="S107" i="25"/>
  <c r="P107" i="25"/>
  <c r="O107" i="25"/>
  <c r="N107" i="25"/>
  <c r="M107" i="25"/>
  <c r="K107" i="25"/>
  <c r="J107" i="25"/>
  <c r="I107" i="25"/>
  <c r="H107" i="25"/>
  <c r="G107" i="25"/>
  <c r="F107" i="25"/>
  <c r="E107" i="25"/>
  <c r="D107" i="25"/>
  <c r="C107" i="25"/>
  <c r="Y106" i="25"/>
  <c r="P106" i="25"/>
  <c r="O106" i="25"/>
  <c r="N106" i="25"/>
  <c r="M106" i="25"/>
  <c r="K106" i="25"/>
  <c r="J106" i="25"/>
  <c r="I106" i="25"/>
  <c r="H106" i="25"/>
  <c r="G106" i="25"/>
  <c r="F106" i="25"/>
  <c r="E106" i="25"/>
  <c r="D106" i="25"/>
  <c r="C106" i="25"/>
  <c r="X105" i="25"/>
  <c r="P105" i="25"/>
  <c r="O105" i="25"/>
  <c r="N105" i="25"/>
  <c r="M105" i="25"/>
  <c r="K105" i="25"/>
  <c r="J105" i="25"/>
  <c r="I105" i="25"/>
  <c r="H105" i="25"/>
  <c r="G105" i="25"/>
  <c r="F105" i="25"/>
  <c r="E105" i="25"/>
  <c r="D105" i="25"/>
  <c r="C105" i="25"/>
  <c r="P104" i="25"/>
  <c r="O104" i="25"/>
  <c r="N104" i="25"/>
  <c r="M104" i="25"/>
  <c r="K104" i="25"/>
  <c r="J104" i="25"/>
  <c r="I104" i="25"/>
  <c r="H104" i="25"/>
  <c r="G104" i="25"/>
  <c r="F104" i="25"/>
  <c r="E104" i="25"/>
  <c r="D104" i="25"/>
  <c r="C104" i="25"/>
  <c r="P103" i="25"/>
  <c r="O103" i="25"/>
  <c r="N103" i="25"/>
  <c r="M103" i="25"/>
  <c r="K103" i="25"/>
  <c r="J103" i="25"/>
  <c r="I103" i="25"/>
  <c r="H103" i="25"/>
  <c r="G103" i="25"/>
  <c r="F103" i="25"/>
  <c r="E103" i="25"/>
  <c r="D103" i="25"/>
  <c r="C103" i="25"/>
  <c r="B100" i="25"/>
  <c r="S100" i="25" s="1"/>
  <c r="AK75" i="25"/>
  <c r="AK74" i="25"/>
  <c r="O74" i="25"/>
  <c r="L74" i="25"/>
  <c r="K74" i="25"/>
  <c r="J74" i="25"/>
  <c r="G74" i="25"/>
  <c r="F74" i="25"/>
  <c r="AK73" i="25"/>
  <c r="N73" i="25"/>
  <c r="M73" i="25"/>
  <c r="L73" i="25"/>
  <c r="K73" i="25"/>
  <c r="J73" i="25"/>
  <c r="H73" i="25"/>
  <c r="D73" i="25"/>
  <c r="C73" i="25"/>
  <c r="AK72" i="25"/>
  <c r="L72" i="25"/>
  <c r="J72" i="25"/>
  <c r="E72" i="25"/>
  <c r="AK71" i="25"/>
  <c r="O71" i="25"/>
  <c r="N71" i="25"/>
  <c r="M71" i="25"/>
  <c r="L71" i="25"/>
  <c r="K71" i="25"/>
  <c r="C71" i="25"/>
  <c r="AK70" i="25"/>
  <c r="P70" i="25"/>
  <c r="M70" i="25"/>
  <c r="L70" i="25"/>
  <c r="K70" i="25"/>
  <c r="J70" i="25"/>
  <c r="H70" i="25"/>
  <c r="G70" i="25"/>
  <c r="F70" i="25"/>
  <c r="D70" i="25"/>
  <c r="AK69" i="25"/>
  <c r="N69" i="25"/>
  <c r="J69" i="25"/>
  <c r="E69" i="25"/>
  <c r="E75" i="25" s="1"/>
  <c r="E38" i="25" s="1"/>
  <c r="V68" i="25"/>
  <c r="U68" i="25"/>
  <c r="U102" i="25" s="1"/>
  <c r="F68" i="25"/>
  <c r="F136" i="25" s="1"/>
  <c r="E68" i="25"/>
  <c r="E102" i="25" s="1"/>
  <c r="AD40" i="25"/>
  <c r="AC40" i="25"/>
  <c r="AB40" i="25"/>
  <c r="AB68" i="25" s="1"/>
  <c r="AA40" i="25"/>
  <c r="AA68" i="25" s="1"/>
  <c r="Z40" i="25"/>
  <c r="Z68" i="25" s="1"/>
  <c r="Z171" i="25" s="1"/>
  <c r="Y40" i="25"/>
  <c r="Y68" i="25" s="1"/>
  <c r="X40" i="25"/>
  <c r="X68" i="25" s="1"/>
  <c r="W40" i="25"/>
  <c r="W68" i="25" s="1"/>
  <c r="T40" i="25"/>
  <c r="T68" i="25" s="1"/>
  <c r="T277" i="25" s="1"/>
  <c r="S40" i="25"/>
  <c r="S68" i="25" s="1"/>
  <c r="N40" i="25"/>
  <c r="M40" i="25"/>
  <c r="L40" i="25"/>
  <c r="L68" i="25" s="1"/>
  <c r="L171" i="25" s="1"/>
  <c r="K40" i="25"/>
  <c r="K68" i="25" s="1"/>
  <c r="J40" i="25"/>
  <c r="J68" i="25" s="1"/>
  <c r="I40" i="25"/>
  <c r="I68" i="25" s="1"/>
  <c r="H40" i="25"/>
  <c r="H68" i="25" s="1"/>
  <c r="H243" i="25" s="1"/>
  <c r="G40" i="25"/>
  <c r="G68" i="25" s="1"/>
  <c r="D40" i="25"/>
  <c r="D68" i="25" s="1"/>
  <c r="C40" i="25"/>
  <c r="C68" i="25" s="1"/>
  <c r="AD37" i="25"/>
  <c r="AC37" i="25"/>
  <c r="Z37" i="25"/>
  <c r="Y37" i="25"/>
  <c r="X37" i="25"/>
  <c r="W37" i="25"/>
  <c r="B2" i="25"/>
  <c r="B1" i="25"/>
  <c r="G70" i="26"/>
  <c r="O70" i="26"/>
  <c r="T176" i="25"/>
  <c r="X176" i="25"/>
  <c r="AB176" i="25"/>
  <c r="U278" i="25"/>
  <c r="W278" i="25"/>
  <c r="AD244" i="25"/>
  <c r="S207" i="25"/>
  <c r="E70" i="26"/>
  <c r="M70" i="26"/>
  <c r="V176" i="25"/>
  <c r="Z176" i="25"/>
  <c r="AD176" i="25"/>
  <c r="AD177" i="25" s="1"/>
  <c r="AC282" i="25"/>
  <c r="AB244" i="25"/>
  <c r="J70" i="26"/>
  <c r="N70" i="26"/>
  <c r="AB72" i="25" s="1"/>
  <c r="AQ240" i="2" s="1"/>
  <c r="AF222" i="2" s="1"/>
  <c r="S176" i="25"/>
  <c r="W176" i="25"/>
  <c r="AA176" i="25"/>
  <c r="AB107" i="25"/>
  <c r="W137" i="25"/>
  <c r="AA137" i="25"/>
  <c r="S172" i="25"/>
  <c r="W172" i="25"/>
  <c r="AA172" i="25"/>
  <c r="AD174" i="25"/>
  <c r="U174" i="25"/>
  <c r="AN20" i="26"/>
  <c r="U139" i="25"/>
  <c r="Y139" i="25"/>
  <c r="V140" i="25"/>
  <c r="Z140" i="25"/>
  <c r="W282" i="25"/>
  <c r="AB284" i="25"/>
  <c r="S174" i="25"/>
  <c r="W174" i="25"/>
  <c r="AL23" i="26"/>
  <c r="AN23" i="26"/>
  <c r="S209" i="25"/>
  <c r="AA207" i="25"/>
  <c r="S137" i="25"/>
  <c r="Z137" i="25"/>
  <c r="Y103" i="25"/>
  <c r="AC104" i="25"/>
  <c r="AC107" i="25"/>
  <c r="S279" i="25"/>
  <c r="W279" i="25"/>
  <c r="T281" i="25"/>
  <c r="D53" i="31"/>
  <c r="T71" i="25" s="1"/>
  <c r="X71" i="25"/>
  <c r="AM239" i="2" s="1"/>
  <c r="AA279" i="25"/>
  <c r="AE104" i="25"/>
  <c r="AB208" i="25"/>
  <c r="AB212" i="25" s="1"/>
  <c r="N74" i="25"/>
  <c r="Y280" i="25"/>
  <c r="S281" i="25"/>
  <c r="AA281" i="25"/>
  <c r="O73" i="25"/>
  <c r="P73" i="25"/>
  <c r="T278" i="25"/>
  <c r="V278" i="25"/>
  <c r="U279" i="25"/>
  <c r="AB279" i="25"/>
  <c r="V279" i="25"/>
  <c r="V285" i="25" s="1"/>
  <c r="T280" i="25"/>
  <c r="U137" i="25"/>
  <c r="Y137" i="25"/>
  <c r="AD138" i="25"/>
  <c r="V174" i="25"/>
  <c r="T174" i="25"/>
  <c r="X174" i="25"/>
  <c r="Y174" i="25"/>
  <c r="X244" i="25"/>
  <c r="T244" i="25"/>
  <c r="Y71" i="25"/>
  <c r="AN239" i="2" s="1"/>
  <c r="V280" i="25"/>
  <c r="AD281" i="25"/>
  <c r="E55" i="28"/>
  <c r="E38" i="28"/>
  <c r="K142" i="25"/>
  <c r="Z174" i="25"/>
  <c r="AF172" i="25"/>
  <c r="AF177" i="25" s="1"/>
  <c r="AE174" i="25"/>
  <c r="AF174" i="25"/>
  <c r="AM22" i="26"/>
  <c r="AL20" i="26"/>
  <c r="AC174" i="25"/>
  <c r="J48" i="26"/>
  <c r="U172" i="25"/>
  <c r="Y172" i="25"/>
  <c r="AC172" i="25"/>
  <c r="V172" i="25"/>
  <c r="Z172" i="25"/>
  <c r="AD172" i="25"/>
  <c r="AE172" i="25"/>
  <c r="T137" i="25"/>
  <c r="AB137" i="25"/>
  <c r="X172" i="25"/>
  <c r="F212" i="25"/>
  <c r="J212" i="25"/>
  <c r="AE210" i="25"/>
  <c r="AF280" i="25"/>
  <c r="AE283" i="25"/>
  <c r="N70" i="25"/>
  <c r="C72" i="25"/>
  <c r="AF109" i="25"/>
  <c r="C212" i="25"/>
  <c r="G212" i="25"/>
  <c r="K212" i="25"/>
  <c r="AA72" i="25"/>
  <c r="AP240" i="2" s="1"/>
  <c r="AE222" i="2" s="1"/>
  <c r="AE140" i="25"/>
  <c r="P72" i="25"/>
  <c r="X72" i="25"/>
  <c r="AM240" i="2" s="1"/>
  <c r="U244" i="25"/>
  <c r="Y244" i="25"/>
  <c r="AC244" i="25"/>
  <c r="AL22" i="26"/>
  <c r="AN22" i="26"/>
  <c r="AF137" i="25"/>
  <c r="AD140" i="25"/>
  <c r="A41" i="29"/>
  <c r="A61" i="29"/>
  <c r="AE209" i="25"/>
  <c r="AD279" i="25"/>
  <c r="AD283" i="25"/>
  <c r="AA284" i="25"/>
  <c r="AE284" i="25"/>
  <c r="AL21" i="26"/>
  <c r="AN21" i="26"/>
  <c r="AM23" i="26"/>
  <c r="AB109" i="25"/>
  <c r="AD137" i="25"/>
  <c r="AE138" i="25"/>
  <c r="A39" i="29"/>
  <c r="A59" i="29"/>
  <c r="K64" i="29"/>
  <c r="R278" i="25"/>
  <c r="R279" i="25"/>
  <c r="R281" i="25"/>
  <c r="E94" i="30"/>
  <c r="AC280" i="25"/>
  <c r="AF283" i="25"/>
  <c r="AC284" i="25"/>
  <c r="F53" i="31"/>
  <c r="AM20" i="26"/>
  <c r="A75" i="27"/>
  <c r="K55" i="28"/>
  <c r="Z70" i="25" s="1"/>
  <c r="AO238" i="2" s="1"/>
  <c r="AE137" i="25"/>
  <c r="H64" i="29"/>
  <c r="V74" i="25" s="1"/>
  <c r="AD280" i="25"/>
  <c r="AC281" i="25"/>
  <c r="AC283" i="25"/>
  <c r="C53" i="31"/>
  <c r="G285" i="25"/>
  <c r="AC137" i="25"/>
  <c r="H177" i="25"/>
  <c r="F142" i="25"/>
  <c r="J142" i="25"/>
  <c r="H142" i="25"/>
  <c r="F177" i="25"/>
  <c r="D212" i="25"/>
  <c r="H212" i="25"/>
  <c r="L212" i="25"/>
  <c r="D285" i="25"/>
  <c r="H285" i="25"/>
  <c r="L285" i="25"/>
  <c r="C177" i="25"/>
  <c r="I285" i="25"/>
  <c r="M212" i="25"/>
  <c r="I243" i="25"/>
  <c r="I171" i="25"/>
  <c r="I277" i="25"/>
  <c r="I206" i="25"/>
  <c r="I102" i="25"/>
  <c r="I136" i="25"/>
  <c r="Y171" i="25"/>
  <c r="Y277" i="25"/>
  <c r="Y243" i="25"/>
  <c r="Y206" i="25"/>
  <c r="Y136" i="25"/>
  <c r="Y102" i="25"/>
  <c r="D277" i="25"/>
  <c r="D243" i="25"/>
  <c r="D206" i="25"/>
  <c r="D171" i="25"/>
  <c r="D136" i="25"/>
  <c r="D102" i="25"/>
  <c r="J206" i="25"/>
  <c r="J277" i="25"/>
  <c r="J243" i="25"/>
  <c r="J136" i="25"/>
  <c r="J171" i="25"/>
  <c r="J102" i="25"/>
  <c r="T206" i="25"/>
  <c r="T136" i="25"/>
  <c r="Z206" i="25"/>
  <c r="G171" i="25"/>
  <c r="G277" i="25"/>
  <c r="G243" i="25"/>
  <c r="G206" i="25"/>
  <c r="G136" i="25"/>
  <c r="G102" i="25"/>
  <c r="K171" i="25"/>
  <c r="K277" i="25"/>
  <c r="K243" i="25"/>
  <c r="K206" i="25"/>
  <c r="K136" i="25"/>
  <c r="K102" i="25"/>
  <c r="W243" i="25"/>
  <c r="W171" i="25"/>
  <c r="W277" i="25"/>
  <c r="W102" i="25"/>
  <c r="W206" i="25"/>
  <c r="W136" i="25"/>
  <c r="H277" i="25"/>
  <c r="H136" i="25"/>
  <c r="L206" i="25"/>
  <c r="X206" i="25"/>
  <c r="X277" i="25"/>
  <c r="X243" i="25"/>
  <c r="X171" i="25"/>
  <c r="X136" i="25"/>
  <c r="X102" i="25"/>
  <c r="AB206" i="25"/>
  <c r="AB277" i="25"/>
  <c r="AB243" i="25"/>
  <c r="AB171" i="25"/>
  <c r="AB136" i="25"/>
  <c r="AB102" i="25"/>
  <c r="S243" i="25"/>
  <c r="S171" i="25"/>
  <c r="S277" i="25"/>
  <c r="S206" i="25"/>
  <c r="S136" i="25"/>
  <c r="S102" i="25"/>
  <c r="V277" i="25"/>
  <c r="V243" i="25"/>
  <c r="V206" i="25"/>
  <c r="V171" i="25"/>
  <c r="E243" i="25"/>
  <c r="E171" i="25"/>
  <c r="E277" i="25"/>
  <c r="F102" i="25"/>
  <c r="E136" i="25"/>
  <c r="F206" i="25"/>
  <c r="F277" i="25"/>
  <c r="F243" i="25"/>
  <c r="U171" i="25"/>
  <c r="U277" i="25"/>
  <c r="U243" i="25"/>
  <c r="U206" i="25"/>
  <c r="V102" i="25"/>
  <c r="U136" i="25"/>
  <c r="E206" i="25"/>
  <c r="V136" i="25"/>
  <c r="F171" i="25"/>
  <c r="AC72" i="25"/>
  <c r="AR240" i="2" s="1"/>
  <c r="AG222" i="2" s="1"/>
  <c r="A24" i="31"/>
  <c r="A67" i="30"/>
  <c r="Z9" i="7"/>
  <c r="Z10" i="7"/>
  <c r="Z11" i="7"/>
  <c r="Z13" i="7"/>
  <c r="Z15" i="7"/>
  <c r="Z16" i="7"/>
  <c r="Z17" i="7"/>
  <c r="Z18" i="7"/>
  <c r="Z19" i="7"/>
  <c r="Z21" i="7"/>
  <c r="Z22" i="7"/>
  <c r="Z23" i="7"/>
  <c r="Z24" i="7"/>
  <c r="Z8" i="7"/>
  <c r="AX179" i="2"/>
  <c r="AX178" i="2"/>
  <c r="W177" i="25"/>
  <c r="S71" i="25"/>
  <c r="V177" i="25"/>
  <c r="R103" i="25"/>
  <c r="Q103" i="25"/>
  <c r="R109" i="25"/>
  <c r="Q109" i="25"/>
  <c r="Q104" i="25"/>
  <c r="R107" i="25"/>
  <c r="Q107" i="25"/>
  <c r="R105" i="25"/>
  <c r="Q105" i="25"/>
  <c r="Q106" i="25"/>
  <c r="R283" i="25"/>
  <c r="Q283" i="25"/>
  <c r="R280" i="25"/>
  <c r="Q280" i="25"/>
  <c r="Q281" i="25"/>
  <c r="Q278" i="25"/>
  <c r="R284" i="25"/>
  <c r="Q284" i="25"/>
  <c r="Q279" i="25"/>
  <c r="T70" i="25"/>
  <c r="H44" i="29"/>
  <c r="Z71" i="25"/>
  <c r="AO239" i="2" s="1"/>
  <c r="Y74" i="25"/>
  <c r="AN242" i="2" s="1"/>
  <c r="V71" i="25"/>
  <c r="Z73" i="25"/>
  <c r="AO241" i="2" s="1"/>
  <c r="E48" i="26"/>
  <c r="S72" i="25"/>
  <c r="D64" i="30"/>
  <c r="S29" i="7"/>
  <c r="T30" i="7" s="1"/>
  <c r="W71" i="25"/>
  <c r="AL239" i="2" s="1"/>
  <c r="G48" i="26"/>
  <c r="U72" i="25"/>
  <c r="S31" i="7"/>
  <c r="S24" i="7"/>
  <c r="S41" i="7" s="1"/>
  <c r="X32" i="6"/>
  <c r="X30" i="6"/>
  <c r="Q73" i="25"/>
  <c r="R106" i="25"/>
  <c r="R104" i="25"/>
  <c r="S24" i="3"/>
  <c r="S46" i="3"/>
  <c r="T48" i="3" s="1"/>
  <c r="S44" i="7"/>
  <c r="I276" i="2"/>
  <c r="AT130" i="2"/>
  <c r="AT132" i="2"/>
  <c r="AT133" i="2"/>
  <c r="AT134" i="2"/>
  <c r="AT135" i="2"/>
  <c r="AT136" i="2"/>
  <c r="AT137" i="2"/>
  <c r="AT138" i="2"/>
  <c r="AT139" i="2"/>
  <c r="AT140" i="2"/>
  <c r="AT141" i="2"/>
  <c r="AT142" i="2"/>
  <c r="AT143" i="2"/>
  <c r="AT29" i="2"/>
  <c r="AT41" i="2"/>
  <c r="B37" i="20"/>
  <c r="L37" i="20"/>
  <c r="K37" i="20"/>
  <c r="B59" i="20"/>
  <c r="AH8" i="7"/>
  <c r="S22" i="6"/>
  <c r="T22" i="6"/>
  <c r="S30" i="6"/>
  <c r="S52" i="3"/>
  <c r="S60" i="3"/>
  <c r="AT45" i="2" s="1"/>
  <c r="R22" i="5"/>
  <c r="AC9" i="5"/>
  <c r="AC10" i="5"/>
  <c r="AC11" i="5"/>
  <c r="AC13" i="5"/>
  <c r="AC14" i="5"/>
  <c r="AC15" i="5"/>
  <c r="AC16" i="5"/>
  <c r="AC17" i="5"/>
  <c r="AC8" i="5"/>
  <c r="N51" i="4"/>
  <c r="O51" i="4"/>
  <c r="P51" i="4"/>
  <c r="Q51" i="4"/>
  <c r="U52" i="4" s="1"/>
  <c r="R51" i="4"/>
  <c r="R52" i="4" s="1"/>
  <c r="N56" i="4"/>
  <c r="T32" i="6"/>
  <c r="S32" i="6"/>
  <c r="B77" i="2"/>
  <c r="B78" i="2"/>
  <c r="B79" i="2"/>
  <c r="B80" i="2"/>
  <c r="B81" i="2"/>
  <c r="B82" i="2"/>
  <c r="B83" i="2"/>
  <c r="B84" i="2"/>
  <c r="B85" i="2"/>
  <c r="B86" i="2"/>
  <c r="B87" i="2"/>
  <c r="B88" i="2"/>
  <c r="B89" i="2"/>
  <c r="B90" i="2"/>
  <c r="B91" i="2"/>
  <c r="AB39" i="3"/>
  <c r="AB38" i="3"/>
  <c r="AB37" i="3"/>
  <c r="AB40" i="3" s="1"/>
  <c r="AA39" i="3"/>
  <c r="AA40" i="3" s="1"/>
  <c r="AA38" i="3"/>
  <c r="AA37" i="3"/>
  <c r="R52" i="3"/>
  <c r="R60" i="3"/>
  <c r="AS45" i="2"/>
  <c r="R22" i="6"/>
  <c r="R23" i="6" s="1"/>
  <c r="R30" i="6"/>
  <c r="R46" i="3"/>
  <c r="S48" i="3" s="1"/>
  <c r="R24" i="3"/>
  <c r="R50" i="20"/>
  <c r="R36" i="20"/>
  <c r="V27" i="20"/>
  <c r="R37" i="20"/>
  <c r="R53" i="20"/>
  <c r="R51" i="20"/>
  <c r="R46" i="20"/>
  <c r="R39" i="20"/>
  <c r="R44" i="20"/>
  <c r="R47" i="20"/>
  <c r="R48" i="20"/>
  <c r="R54" i="20"/>
  <c r="R43" i="20"/>
  <c r="R52" i="20"/>
  <c r="AS29" i="2"/>
  <c r="R23" i="4"/>
  <c r="AE21" i="7"/>
  <c r="AF21" i="7"/>
  <c r="AH21" i="7"/>
  <c r="B49" i="7"/>
  <c r="B70" i="7"/>
  <c r="AF14" i="7"/>
  <c r="AE9" i="7"/>
  <c r="AF9" i="7"/>
  <c r="AH9" i="7"/>
  <c r="AE10" i="7"/>
  <c r="AF10" i="7"/>
  <c r="AH10" i="7"/>
  <c r="AE11" i="7"/>
  <c r="AF11" i="7"/>
  <c r="AH11" i="7"/>
  <c r="AE12" i="7"/>
  <c r="AF12" i="7"/>
  <c r="AH12" i="7"/>
  <c r="AE13" i="7"/>
  <c r="AF13" i="7"/>
  <c r="AH13" i="7"/>
  <c r="AE14" i="7"/>
  <c r="AH14" i="7"/>
  <c r="AE15" i="7"/>
  <c r="AF15" i="7"/>
  <c r="AE16" i="7"/>
  <c r="AF16" i="7"/>
  <c r="AH16" i="7"/>
  <c r="AE17" i="7"/>
  <c r="AF17" i="7"/>
  <c r="AH17" i="7"/>
  <c r="AE18" i="7"/>
  <c r="AF18" i="7"/>
  <c r="AH18" i="7"/>
  <c r="AE19" i="7"/>
  <c r="AF19" i="7"/>
  <c r="AH19" i="7"/>
  <c r="AE20" i="7"/>
  <c r="AF20" i="7"/>
  <c r="AH20" i="7"/>
  <c r="AE22" i="7"/>
  <c r="AF22" i="7"/>
  <c r="AE23" i="7"/>
  <c r="AF23" i="7"/>
  <c r="AF8" i="7"/>
  <c r="AE8" i="7"/>
  <c r="J29" i="7"/>
  <c r="R29" i="7"/>
  <c r="Q24" i="7"/>
  <c r="AH23" i="7"/>
  <c r="AH22" i="7"/>
  <c r="R31" i="7"/>
  <c r="R24" i="7"/>
  <c r="R49" i="7" s="1"/>
  <c r="AS177" i="2"/>
  <c r="AS130" i="2"/>
  <c r="AS132" i="2"/>
  <c r="AS133" i="2"/>
  <c r="AS134" i="2"/>
  <c r="AS135" i="2"/>
  <c r="AS136" i="2"/>
  <c r="AS137" i="2"/>
  <c r="AS138" i="2"/>
  <c r="AS139" i="2"/>
  <c r="AS140" i="2"/>
  <c r="AS141" i="2"/>
  <c r="AS142" i="2"/>
  <c r="AS143" i="2"/>
  <c r="AS94" i="2"/>
  <c r="AS42" i="2"/>
  <c r="AH218" i="2"/>
  <c r="AS264" i="2"/>
  <c r="AT264" i="2"/>
  <c r="AU264" i="2"/>
  <c r="AV264" i="2"/>
  <c r="AW264" i="2"/>
  <c r="AR264" i="2"/>
  <c r="AX244" i="2"/>
  <c r="AX245" i="2"/>
  <c r="E17" i="2"/>
  <c r="L8" i="2"/>
  <c r="AW101" i="2"/>
  <c r="AW100" i="2"/>
  <c r="AW99" i="2"/>
  <c r="J98" i="2"/>
  <c r="K98" i="2"/>
  <c r="L98" i="2"/>
  <c r="M98" i="2"/>
  <c r="N98" i="2"/>
  <c r="O98" i="2"/>
  <c r="P98" i="2"/>
  <c r="Q98" i="2"/>
  <c r="R98" i="2"/>
  <c r="S98" i="2"/>
  <c r="T98" i="2"/>
  <c r="U98" i="2"/>
  <c r="V98" i="2"/>
  <c r="J282" i="2"/>
  <c r="I287" i="2"/>
  <c r="I282" i="2"/>
  <c r="I275" i="2"/>
  <c r="I277" i="2"/>
  <c r="I278" i="2"/>
  <c r="J279" i="2"/>
  <c r="I283" i="2"/>
  <c r="I284" i="2"/>
  <c r="AG218" i="2"/>
  <c r="AR130" i="2"/>
  <c r="AW130" i="2" s="1"/>
  <c r="AR132" i="2"/>
  <c r="AX132" i="2" s="1"/>
  <c r="AR133" i="2"/>
  <c r="AX133" i="2" s="1"/>
  <c r="AR134" i="2"/>
  <c r="AW134" i="2" s="1"/>
  <c r="AR135" i="2"/>
  <c r="AX135" i="2" s="1"/>
  <c r="AR136" i="2"/>
  <c r="AX136" i="2" s="1"/>
  <c r="AR137" i="2"/>
  <c r="AX137" i="2" s="1"/>
  <c r="AR138" i="2"/>
  <c r="AW138" i="2" s="1"/>
  <c r="AR139" i="2"/>
  <c r="AW139" i="2" s="1"/>
  <c r="AR140" i="2"/>
  <c r="AX140" i="2" s="1"/>
  <c r="AR141" i="2"/>
  <c r="AR142" i="2"/>
  <c r="AW142" i="2" s="1"/>
  <c r="AR143" i="2"/>
  <c r="AW143" i="2" s="1"/>
  <c r="AR29" i="2"/>
  <c r="J285" i="2"/>
  <c r="I285" i="2"/>
  <c r="J284" i="2"/>
  <c r="I279" i="2"/>
  <c r="J283" i="2"/>
  <c r="J278" i="2"/>
  <c r="Q46" i="3"/>
  <c r="Q24" i="3"/>
  <c r="Q22" i="5"/>
  <c r="Q22" i="6"/>
  <c r="Q52" i="3"/>
  <c r="Q60" i="3"/>
  <c r="AR45" i="2" s="1"/>
  <c r="S28" i="4"/>
  <c r="T28" i="4"/>
  <c r="U28" i="4"/>
  <c r="V28" i="4"/>
  <c r="S57" i="20"/>
  <c r="T57" i="20"/>
  <c r="U57" i="20"/>
  <c r="V57" i="20"/>
  <c r="S35" i="20"/>
  <c r="T35" i="20"/>
  <c r="U35" i="20"/>
  <c r="V35" i="20"/>
  <c r="S35" i="7"/>
  <c r="S56" i="7"/>
  <c r="T35" i="7"/>
  <c r="T56" i="7" s="1"/>
  <c r="U35" i="7"/>
  <c r="U56" i="7" s="1"/>
  <c r="V35" i="7"/>
  <c r="V56" i="7" s="1"/>
  <c r="Q29" i="7"/>
  <c r="R30" i="7" s="1"/>
  <c r="Q31" i="7"/>
  <c r="U32" i="7" s="1"/>
  <c r="Q30" i="6"/>
  <c r="U31" i="6" s="1"/>
  <c r="Q18" i="5"/>
  <c r="U19" i="5" s="1"/>
  <c r="G11" i="2" s="1"/>
  <c r="Q23" i="4"/>
  <c r="Q23" i="5"/>
  <c r="P26" i="20"/>
  <c r="P54" i="20" s="1"/>
  <c r="F89" i="20"/>
  <c r="AB18" i="7"/>
  <c r="P46" i="3"/>
  <c r="AQ130" i="2"/>
  <c r="AQ132" i="2"/>
  <c r="AQ133" i="2"/>
  <c r="AQ134" i="2"/>
  <c r="AQ135" i="2"/>
  <c r="AQ136" i="2"/>
  <c r="AQ137" i="2"/>
  <c r="AQ138" i="2"/>
  <c r="AQ139" i="2"/>
  <c r="AQ140" i="2"/>
  <c r="AQ141" i="2"/>
  <c r="AQ142" i="2"/>
  <c r="AQ143" i="2"/>
  <c r="AP264" i="2"/>
  <c r="AQ264" i="2"/>
  <c r="AB10" i="7"/>
  <c r="AC13" i="7"/>
  <c r="AB14" i="7"/>
  <c r="AC16" i="7"/>
  <c r="P29" i="7"/>
  <c r="P31" i="7"/>
  <c r="T32" i="7" s="1"/>
  <c r="P30" i="6"/>
  <c r="T31" i="6" s="1"/>
  <c r="P22" i="6"/>
  <c r="P32" i="6" s="1"/>
  <c r="T33" i="6" s="1"/>
  <c r="P22" i="5"/>
  <c r="P18" i="5"/>
  <c r="P19" i="5" s="1"/>
  <c r="P23" i="4"/>
  <c r="P52" i="3"/>
  <c r="T53" i="3" s="1"/>
  <c r="P60" i="3"/>
  <c r="P24" i="3"/>
  <c r="AC11" i="7"/>
  <c r="AR206" i="2"/>
  <c r="AC19" i="7"/>
  <c r="P24" i="7"/>
  <c r="P49" i="7" s="1"/>
  <c r="AB17" i="7"/>
  <c r="AC22" i="7"/>
  <c r="AB23" i="7"/>
  <c r="AQ46" i="2"/>
  <c r="P42" i="7"/>
  <c r="Q26" i="7"/>
  <c r="P47" i="7"/>
  <c r="P51" i="7"/>
  <c r="P50" i="7"/>
  <c r="P36" i="7"/>
  <c r="P37" i="7"/>
  <c r="P45" i="7"/>
  <c r="P43" i="7"/>
  <c r="P41" i="7"/>
  <c r="P39" i="7"/>
  <c r="P46" i="7"/>
  <c r="AQ208" i="2"/>
  <c r="P38" i="7"/>
  <c r="P44" i="7"/>
  <c r="AR208" i="2"/>
  <c r="AV209" i="2" s="1"/>
  <c r="Q36" i="7"/>
  <c r="Q41" i="7"/>
  <c r="Q37" i="7"/>
  <c r="Q46" i="7"/>
  <c r="Q38" i="7"/>
  <c r="Q44" i="7"/>
  <c r="AQ206" i="2"/>
  <c r="Q39" i="7"/>
  <c r="AE218" i="2"/>
  <c r="AF218" i="2"/>
  <c r="K341" i="2"/>
  <c r="L341" i="2"/>
  <c r="M341" i="2"/>
  <c r="N341" i="2"/>
  <c r="O341" i="2"/>
  <c r="P341" i="2"/>
  <c r="Q341" i="2"/>
  <c r="R341" i="2"/>
  <c r="S341" i="2"/>
  <c r="T341" i="2"/>
  <c r="U341" i="2"/>
  <c r="V341" i="2"/>
  <c r="W341" i="2"/>
  <c r="X341" i="2"/>
  <c r="Y341" i="2"/>
  <c r="Z341" i="2"/>
  <c r="AA341" i="2"/>
  <c r="AB341" i="2"/>
  <c r="AC341" i="2"/>
  <c r="AD341" i="2"/>
  <c r="AE341" i="2"/>
  <c r="AF341" i="2"/>
  <c r="AG341" i="2"/>
  <c r="AH341" i="2"/>
  <c r="AI341" i="2"/>
  <c r="AJ341" i="2"/>
  <c r="AK341" i="2"/>
  <c r="AL341" i="2"/>
  <c r="AM341" i="2"/>
  <c r="AN341" i="2"/>
  <c r="AO341" i="2"/>
  <c r="AP341" i="2"/>
  <c r="AQ341" i="2"/>
  <c r="AR341" i="2"/>
  <c r="AS341" i="2"/>
  <c r="AT341" i="2"/>
  <c r="AU341" i="2"/>
  <c r="AV341" i="2"/>
  <c r="AW341" i="2"/>
  <c r="J341" i="2"/>
  <c r="AK265" i="2"/>
  <c r="AD243" i="2"/>
  <c r="AE243" i="2"/>
  <c r="AF243" i="2"/>
  <c r="AG243" i="2"/>
  <c r="AH15" i="7"/>
  <c r="K29" i="7"/>
  <c r="L29" i="7"/>
  <c r="M29" i="7"/>
  <c r="O29" i="7"/>
  <c r="AP130" i="2"/>
  <c r="AP132" i="2"/>
  <c r="AP133" i="2"/>
  <c r="AP134" i="2"/>
  <c r="AP135" i="2"/>
  <c r="AP136" i="2"/>
  <c r="AP137" i="2"/>
  <c r="AP138" i="2"/>
  <c r="AP139" i="2"/>
  <c r="AP140" i="2"/>
  <c r="AP141" i="2"/>
  <c r="AP142" i="2"/>
  <c r="AP143" i="2"/>
  <c r="O46" i="3"/>
  <c r="O50" i="20"/>
  <c r="O36" i="20"/>
  <c r="N49" i="3"/>
  <c r="O37" i="20"/>
  <c r="AP177" i="2"/>
  <c r="O43" i="20"/>
  <c r="O51" i="20"/>
  <c r="AI42" i="20" s="1"/>
  <c r="O39" i="20"/>
  <c r="AI40" i="20" s="1"/>
  <c r="O47" i="20"/>
  <c r="O53" i="20"/>
  <c r="O44" i="20"/>
  <c r="AI41" i="20" s="1"/>
  <c r="O48" i="20"/>
  <c r="O52" i="20"/>
  <c r="O54" i="20"/>
  <c r="O46" i="20"/>
  <c r="D30" i="6"/>
  <c r="H31" i="6" s="1"/>
  <c r="E30" i="6"/>
  <c r="F30" i="6"/>
  <c r="G30" i="6"/>
  <c r="H30" i="6"/>
  <c r="I30" i="6"/>
  <c r="I31" i="6"/>
  <c r="J30" i="6"/>
  <c r="J31" i="6" s="1"/>
  <c r="K30" i="6"/>
  <c r="L30" i="6"/>
  <c r="P31" i="6" s="1"/>
  <c r="M30" i="6"/>
  <c r="M31" i="6" s="1"/>
  <c r="N30" i="6"/>
  <c r="O30" i="6"/>
  <c r="O31" i="6" s="1"/>
  <c r="C30" i="6"/>
  <c r="C32" i="6" s="1"/>
  <c r="O22" i="6"/>
  <c r="N31" i="7"/>
  <c r="O22" i="5"/>
  <c r="O18" i="5"/>
  <c r="AP70" i="2" s="1"/>
  <c r="Q31" i="6"/>
  <c r="L31" i="6"/>
  <c r="O23" i="4"/>
  <c r="O24" i="4" s="1"/>
  <c r="O52" i="3"/>
  <c r="AP46" i="2" s="1"/>
  <c r="O60" i="3"/>
  <c r="AP45" i="2" s="1"/>
  <c r="O24" i="3"/>
  <c r="S25" i="3" s="1"/>
  <c r="N22" i="5"/>
  <c r="O27" i="20"/>
  <c r="AO130" i="2"/>
  <c r="AO132" i="2"/>
  <c r="AO133" i="2"/>
  <c r="AO134" i="2"/>
  <c r="AO135" i="2"/>
  <c r="AO136" i="2"/>
  <c r="AO137" i="2"/>
  <c r="AO138" i="2"/>
  <c r="AO139" i="2"/>
  <c r="AO140" i="2"/>
  <c r="AO141" i="2"/>
  <c r="AO142" i="2"/>
  <c r="AO143" i="2"/>
  <c r="N24" i="7"/>
  <c r="AG20" i="7"/>
  <c r="N29" i="7"/>
  <c r="F82" i="20"/>
  <c r="F83" i="20"/>
  <c r="F84" i="20"/>
  <c r="F85" i="20"/>
  <c r="F86" i="20"/>
  <c r="F87" i="20"/>
  <c r="F88" i="20"/>
  <c r="D82" i="20"/>
  <c r="E82" i="20" s="1"/>
  <c r="D83" i="20"/>
  <c r="D84" i="20"/>
  <c r="D85" i="20"/>
  <c r="D86" i="20"/>
  <c r="E86" i="20" s="1"/>
  <c r="D87" i="20"/>
  <c r="D88" i="20"/>
  <c r="C82" i="20"/>
  <c r="C83" i="20"/>
  <c r="C84" i="20"/>
  <c r="C85" i="20"/>
  <c r="C86" i="20"/>
  <c r="C87" i="20"/>
  <c r="C88" i="20"/>
  <c r="E88" i="20" s="1"/>
  <c r="E85" i="20"/>
  <c r="AC266" i="2"/>
  <c r="AB266" i="2"/>
  <c r="AA266" i="2"/>
  <c r="Z266" i="2"/>
  <c r="Y266" i="2"/>
  <c r="X266" i="2"/>
  <c r="W266" i="2"/>
  <c r="V266" i="2"/>
  <c r="V270" i="2" s="1"/>
  <c r="U266" i="2"/>
  <c r="T266" i="2"/>
  <c r="S266" i="2"/>
  <c r="R266" i="2"/>
  <c r="Q266" i="2"/>
  <c r="P266" i="2"/>
  <c r="O266" i="2"/>
  <c r="M266" i="2"/>
  <c r="Q270" i="2" s="1"/>
  <c r="L266" i="2"/>
  <c r="K266" i="2"/>
  <c r="J266" i="2"/>
  <c r="I266" i="2"/>
  <c r="H266" i="2"/>
  <c r="G266" i="2"/>
  <c r="F266" i="2"/>
  <c r="AC243" i="2"/>
  <c r="AB243" i="2"/>
  <c r="AA243" i="2"/>
  <c r="Z243" i="2"/>
  <c r="Y243" i="2"/>
  <c r="X243" i="2"/>
  <c r="W243" i="2"/>
  <c r="V243" i="2"/>
  <c r="U243" i="2"/>
  <c r="T243" i="2"/>
  <c r="S243" i="2"/>
  <c r="R243" i="2"/>
  <c r="Q243" i="2"/>
  <c r="P243" i="2"/>
  <c r="O243" i="2"/>
  <c r="M243" i="2"/>
  <c r="L243" i="2"/>
  <c r="K243" i="2"/>
  <c r="J243" i="2"/>
  <c r="I243" i="2"/>
  <c r="H243" i="2"/>
  <c r="G243" i="2"/>
  <c r="F243" i="2"/>
  <c r="G57" i="20"/>
  <c r="H57" i="20"/>
  <c r="I57" i="20"/>
  <c r="J57" i="20"/>
  <c r="K57" i="20"/>
  <c r="L57" i="20"/>
  <c r="M57" i="20"/>
  <c r="N57" i="20"/>
  <c r="O57" i="20"/>
  <c r="P57" i="20"/>
  <c r="Q57" i="20"/>
  <c r="R57" i="20"/>
  <c r="G35" i="20"/>
  <c r="H35" i="20"/>
  <c r="I35" i="20"/>
  <c r="J35" i="20"/>
  <c r="K35" i="20"/>
  <c r="L35" i="20"/>
  <c r="M35" i="20"/>
  <c r="N35" i="20"/>
  <c r="O35" i="20"/>
  <c r="P35" i="20"/>
  <c r="Q35" i="20"/>
  <c r="R35" i="20"/>
  <c r="O35" i="7"/>
  <c r="O56" i="7" s="1"/>
  <c r="P35" i="7"/>
  <c r="P56" i="7" s="1"/>
  <c r="Q35" i="7"/>
  <c r="Q56" i="7" s="1"/>
  <c r="R35" i="7"/>
  <c r="R56" i="7" s="1"/>
  <c r="O28" i="4"/>
  <c r="P28" i="4"/>
  <c r="Q28" i="4"/>
  <c r="R28" i="4"/>
  <c r="N52" i="3"/>
  <c r="N55" i="3" s="1"/>
  <c r="N60" i="3"/>
  <c r="AO45" i="2" s="1"/>
  <c r="R47" i="3"/>
  <c r="AO42" i="2"/>
  <c r="N51" i="20"/>
  <c r="AH42" i="20" s="1"/>
  <c r="N46" i="20"/>
  <c r="N52" i="20"/>
  <c r="AO264" i="2"/>
  <c r="AN264" i="2"/>
  <c r="L28" i="4"/>
  <c r="M28" i="4"/>
  <c r="N28" i="4"/>
  <c r="K28" i="4"/>
  <c r="Q23" i="6"/>
  <c r="M24" i="3"/>
  <c r="Q25" i="3" s="1"/>
  <c r="I24" i="7"/>
  <c r="E24" i="7"/>
  <c r="D24" i="7"/>
  <c r="H24" i="7"/>
  <c r="AN130" i="2"/>
  <c r="AN144" i="2" s="1"/>
  <c r="AN132" i="2"/>
  <c r="AN133" i="2"/>
  <c r="AN134" i="2"/>
  <c r="AN135" i="2"/>
  <c r="AN136" i="2"/>
  <c r="AN137" i="2"/>
  <c r="AN138" i="2"/>
  <c r="AN139" i="2"/>
  <c r="AN140" i="2"/>
  <c r="AN141" i="2"/>
  <c r="AN142" i="2"/>
  <c r="AN143" i="2"/>
  <c r="J24" i="7"/>
  <c r="K39" i="7"/>
  <c r="B187" i="2"/>
  <c r="B188" i="2"/>
  <c r="B189" i="2"/>
  <c r="B190" i="2"/>
  <c r="B191" i="2"/>
  <c r="B204" i="2"/>
  <c r="B192" i="2"/>
  <c r="B193" i="2"/>
  <c r="B194" i="2"/>
  <c r="B195" i="2"/>
  <c r="B196" i="2"/>
  <c r="B207" i="2"/>
  <c r="B197" i="2"/>
  <c r="B198" i="2"/>
  <c r="AJ144" i="2"/>
  <c r="A107" i="2"/>
  <c r="A108" i="2"/>
  <c r="A109" i="2"/>
  <c r="A110" i="2"/>
  <c r="A111" i="2"/>
  <c r="A112" i="2"/>
  <c r="A113" i="2"/>
  <c r="A114" i="2"/>
  <c r="A115" i="2"/>
  <c r="A116" i="2"/>
  <c r="A117" i="2"/>
  <c r="A118" i="2"/>
  <c r="A119" i="2"/>
  <c r="A120" i="2"/>
  <c r="AN29" i="2"/>
  <c r="AO29" i="2"/>
  <c r="AP29" i="2"/>
  <c r="AQ29" i="2"/>
  <c r="M60" i="3"/>
  <c r="M52" i="3"/>
  <c r="I22" i="6"/>
  <c r="I18" i="5"/>
  <c r="I23" i="5"/>
  <c r="AM29" i="2"/>
  <c r="L60" i="3"/>
  <c r="AM45" i="2" s="1"/>
  <c r="AM48" i="2" s="1"/>
  <c r="L52" i="3"/>
  <c r="AM42" i="2"/>
  <c r="L24" i="3"/>
  <c r="P23" i="6"/>
  <c r="AM130" i="2"/>
  <c r="AM132" i="2"/>
  <c r="AM133" i="2"/>
  <c r="AM134" i="2"/>
  <c r="AM135" i="2"/>
  <c r="AM136" i="2"/>
  <c r="AM137" i="2"/>
  <c r="AM138" i="2"/>
  <c r="AM139" i="2"/>
  <c r="AM140" i="2"/>
  <c r="AM141" i="2"/>
  <c r="AM142" i="2"/>
  <c r="AM143" i="2"/>
  <c r="L47" i="4"/>
  <c r="AL138" i="2"/>
  <c r="AL135" i="2"/>
  <c r="D26" i="20"/>
  <c r="E26" i="20"/>
  <c r="F26" i="20"/>
  <c r="G26" i="20"/>
  <c r="C26" i="20"/>
  <c r="C24" i="7"/>
  <c r="C49" i="7" s="1"/>
  <c r="C31" i="7"/>
  <c r="F24" i="7"/>
  <c r="F42" i="7" s="1"/>
  <c r="G24" i="7"/>
  <c r="G48" i="2"/>
  <c r="H48" i="2"/>
  <c r="I48" i="2"/>
  <c r="J48" i="2"/>
  <c r="K48" i="2"/>
  <c r="L48" i="2"/>
  <c r="M48" i="2"/>
  <c r="N48" i="2"/>
  <c r="O48" i="2"/>
  <c r="P48" i="2"/>
  <c r="Q48" i="2"/>
  <c r="R48" i="2"/>
  <c r="S48" i="2"/>
  <c r="T48" i="2"/>
  <c r="U48" i="2"/>
  <c r="V48" i="2"/>
  <c r="W48" i="2"/>
  <c r="X48" i="2"/>
  <c r="Y48" i="2"/>
  <c r="Z48" i="2"/>
  <c r="AA48" i="2"/>
  <c r="AB48" i="2"/>
  <c r="AC48" i="2"/>
  <c r="C24" i="3"/>
  <c r="AD41" i="2" s="1"/>
  <c r="C60" i="3"/>
  <c r="AD45" i="2" s="1"/>
  <c r="D24" i="3"/>
  <c r="D60" i="3"/>
  <c r="E24" i="3"/>
  <c r="AF41" i="2" s="1"/>
  <c r="AF38" i="2" s="1"/>
  <c r="E60" i="3"/>
  <c r="AF45" i="2" s="1"/>
  <c r="F24" i="3"/>
  <c r="F60" i="3"/>
  <c r="AG45" i="2" s="1"/>
  <c r="G24" i="3"/>
  <c r="AH41" i="2" s="1"/>
  <c r="G60" i="3"/>
  <c r="AH45" i="2" s="1"/>
  <c r="H24" i="3"/>
  <c r="H60" i="3"/>
  <c r="AI45" i="2" s="1"/>
  <c r="I24" i="3"/>
  <c r="M25" i="3" s="1"/>
  <c r="I60" i="3"/>
  <c r="AJ45" i="2" s="1"/>
  <c r="J24" i="3"/>
  <c r="J60" i="3"/>
  <c r="AK45" i="2" s="1"/>
  <c r="K24" i="3"/>
  <c r="K60" i="3"/>
  <c r="G49" i="2"/>
  <c r="H49" i="2"/>
  <c r="I49" i="2"/>
  <c r="J49" i="2"/>
  <c r="K49" i="2"/>
  <c r="L49" i="2"/>
  <c r="M49" i="2"/>
  <c r="N49" i="2"/>
  <c r="O49" i="2"/>
  <c r="P49" i="2"/>
  <c r="Q49" i="2"/>
  <c r="R49" i="2"/>
  <c r="S49" i="2"/>
  <c r="T49" i="2"/>
  <c r="U49" i="2"/>
  <c r="V49" i="2"/>
  <c r="W49" i="2"/>
  <c r="X49" i="2"/>
  <c r="Y49" i="2"/>
  <c r="Z49" i="2"/>
  <c r="AA49" i="2"/>
  <c r="AB49" i="2"/>
  <c r="AC49" i="2"/>
  <c r="C46" i="3"/>
  <c r="AD42" i="2" s="1"/>
  <c r="C52" i="3"/>
  <c r="AD46" i="2" s="1"/>
  <c r="D46" i="3"/>
  <c r="AE42" i="2" s="1"/>
  <c r="D52" i="3"/>
  <c r="AE46" i="2" s="1"/>
  <c r="E46" i="3"/>
  <c r="AF42" i="2" s="1"/>
  <c r="AF39" i="2" s="1"/>
  <c r="E52" i="3"/>
  <c r="F46" i="3"/>
  <c r="F52" i="3"/>
  <c r="G46" i="3"/>
  <c r="G47" i="3" s="1"/>
  <c r="G52" i="3"/>
  <c r="H46" i="3"/>
  <c r="AI42" i="2" s="1"/>
  <c r="H52" i="3"/>
  <c r="H54" i="3" s="1"/>
  <c r="I46" i="3"/>
  <c r="AJ42" i="2" s="1"/>
  <c r="I52" i="3"/>
  <c r="J46" i="3"/>
  <c r="AK42" i="2" s="1"/>
  <c r="J52" i="3"/>
  <c r="N53" i="3"/>
  <c r="K52" i="3"/>
  <c r="F49" i="2"/>
  <c r="F48" i="2"/>
  <c r="G22" i="6"/>
  <c r="K47" i="4"/>
  <c r="G44" i="4"/>
  <c r="AL94" i="2"/>
  <c r="G23" i="4"/>
  <c r="AH94" i="2" s="1"/>
  <c r="G18" i="5"/>
  <c r="AL29" i="2"/>
  <c r="AL132" i="2"/>
  <c r="AL133" i="2"/>
  <c r="AL134" i="2"/>
  <c r="AL136" i="2"/>
  <c r="AL137" i="2"/>
  <c r="AL139" i="2"/>
  <c r="AL140" i="2"/>
  <c r="AL141" i="2"/>
  <c r="AL142" i="2"/>
  <c r="AL143" i="2"/>
  <c r="AL130" i="2"/>
  <c r="AL177" i="2"/>
  <c r="AP179" i="2" s="1"/>
  <c r="J26" i="20"/>
  <c r="AX237" i="2"/>
  <c r="AX238" i="2"/>
  <c r="AX239" i="2"/>
  <c r="AX240" i="2"/>
  <c r="AX241" i="2"/>
  <c r="AX242" i="2"/>
  <c r="H26" i="20"/>
  <c r="I26" i="20"/>
  <c r="K53" i="20"/>
  <c r="K51" i="20"/>
  <c r="AE42" i="20" s="1"/>
  <c r="K47" i="20"/>
  <c r="K43" i="20"/>
  <c r="K31" i="7"/>
  <c r="K32" i="7" s="1"/>
  <c r="H22" i="6"/>
  <c r="H32" i="6"/>
  <c r="J18" i="5"/>
  <c r="J44" i="4"/>
  <c r="AK95" i="2" s="1"/>
  <c r="I44" i="4"/>
  <c r="AJ95" i="2" s="1"/>
  <c r="H44" i="4"/>
  <c r="AM94" i="2"/>
  <c r="J23" i="4"/>
  <c r="AK94" i="2" s="1"/>
  <c r="AG327" i="2" s="1"/>
  <c r="I23" i="4"/>
  <c r="AJ94" i="2" s="1"/>
  <c r="H23" i="4"/>
  <c r="AI94" i="2" s="1"/>
  <c r="X258" i="2"/>
  <c r="P202" i="2"/>
  <c r="P145" i="2"/>
  <c r="C18" i="5"/>
  <c r="D18" i="5"/>
  <c r="E18" i="5"/>
  <c r="F18" i="5"/>
  <c r="H18" i="5"/>
  <c r="U34" i="2"/>
  <c r="U35" i="2"/>
  <c r="D31" i="7"/>
  <c r="E31" i="7"/>
  <c r="I32" i="7" s="1"/>
  <c r="F31" i="7"/>
  <c r="G31" i="7"/>
  <c r="H31" i="7"/>
  <c r="H32" i="7" s="1"/>
  <c r="I31" i="7"/>
  <c r="J31" i="7"/>
  <c r="J32" i="7" s="1"/>
  <c r="G22" i="5"/>
  <c r="H22" i="5"/>
  <c r="I22" i="5"/>
  <c r="J22" i="5"/>
  <c r="J22" i="6"/>
  <c r="J32" i="6" s="1"/>
  <c r="AK29" i="2"/>
  <c r="F22" i="6"/>
  <c r="F32" i="6" s="1"/>
  <c r="F23" i="4"/>
  <c r="AG94" i="2" s="1"/>
  <c r="E23" i="4"/>
  <c r="I24" i="4" s="1"/>
  <c r="D23" i="4"/>
  <c r="C23" i="4"/>
  <c r="AD94" i="2" s="1"/>
  <c r="Z327" i="2" s="1"/>
  <c r="F44" i="4"/>
  <c r="AG95" i="2" s="1"/>
  <c r="AG97" i="2" s="1"/>
  <c r="AG31" i="2" s="1"/>
  <c r="E44" i="4"/>
  <c r="AF95" i="2" s="1"/>
  <c r="AF97" i="2" s="1"/>
  <c r="AF31" i="2" s="1"/>
  <c r="D44" i="4"/>
  <c r="C44" i="4"/>
  <c r="AD95" i="2" s="1"/>
  <c r="AD97" i="2" s="1"/>
  <c r="AD31" i="2" s="1"/>
  <c r="B43" i="4"/>
  <c r="B42" i="4"/>
  <c r="B41" i="4"/>
  <c r="B40" i="4"/>
  <c r="B39" i="4"/>
  <c r="B38" i="4"/>
  <c r="B37" i="4"/>
  <c r="B36" i="4"/>
  <c r="B35" i="4"/>
  <c r="B34" i="4"/>
  <c r="B33" i="4"/>
  <c r="B32" i="4"/>
  <c r="B31" i="4"/>
  <c r="B30" i="4"/>
  <c r="B29" i="4"/>
  <c r="T265" i="2"/>
  <c r="S265" i="2"/>
  <c r="O265" i="2"/>
  <c r="AJ29" i="2"/>
  <c r="E22" i="6"/>
  <c r="D22" i="6"/>
  <c r="D32" i="6" s="1"/>
  <c r="C22" i="6"/>
  <c r="AW96" i="2"/>
  <c r="AW97" i="2"/>
  <c r="E133" i="2"/>
  <c r="W331" i="2"/>
  <c r="G330" i="2"/>
  <c r="K330" i="2"/>
  <c r="O330" i="2"/>
  <c r="AB265" i="2"/>
  <c r="AC265" i="2"/>
  <c r="B64" i="20"/>
  <c r="B42" i="20"/>
  <c r="AI29" i="2"/>
  <c r="S253" i="2"/>
  <c r="S255" i="2"/>
  <c r="T256" i="2"/>
  <c r="G63" i="20"/>
  <c r="G67" i="20"/>
  <c r="G45" i="20"/>
  <c r="G41" i="20"/>
  <c r="F331" i="2"/>
  <c r="J331" i="2"/>
  <c r="N331" i="2"/>
  <c r="V331" i="2"/>
  <c r="AH29" i="2"/>
  <c r="F38" i="20"/>
  <c r="H330" i="2"/>
  <c r="S202" i="2"/>
  <c r="L207" i="2"/>
  <c r="S256" i="2"/>
  <c r="S257" i="2"/>
  <c r="AA265" i="2"/>
  <c r="Z265" i="2"/>
  <c r="W328" i="2"/>
  <c r="S251" i="2"/>
  <c r="S252" i="2"/>
  <c r="J234" i="2"/>
  <c r="K234" i="2"/>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C43" i="2"/>
  <c r="H43" i="2"/>
  <c r="AG29" i="2"/>
  <c r="Z39" i="20"/>
  <c r="B51" i="20"/>
  <c r="X42" i="20" s="1"/>
  <c r="B44" i="20"/>
  <c r="X41" i="20" s="1"/>
  <c r="B39" i="20"/>
  <c r="X40" i="20" s="1"/>
  <c r="N207" i="2"/>
  <c r="F341" i="2"/>
  <c r="G341" i="2"/>
  <c r="H341" i="2"/>
  <c r="I341" i="2"/>
  <c r="J342" i="2"/>
  <c r="B57" i="7"/>
  <c r="B36" i="7"/>
  <c r="AF29" i="2"/>
  <c r="B75" i="20"/>
  <c r="B61" i="20"/>
  <c r="B62" i="20"/>
  <c r="B63" i="20"/>
  <c r="B65" i="20"/>
  <c r="B66" i="20"/>
  <c r="B67" i="20"/>
  <c r="B68" i="20"/>
  <c r="B69" i="20"/>
  <c r="B70" i="20"/>
  <c r="B71" i="20"/>
  <c r="B73" i="20"/>
  <c r="B74" i="20"/>
  <c r="B54" i="20"/>
  <c r="B40" i="20"/>
  <c r="B41" i="20"/>
  <c r="B43" i="20"/>
  <c r="B45" i="20"/>
  <c r="B46" i="20"/>
  <c r="B47" i="20"/>
  <c r="B48" i="20"/>
  <c r="B49" i="20"/>
  <c r="B52" i="20"/>
  <c r="B53" i="20"/>
  <c r="B60" i="20"/>
  <c r="B38" i="20"/>
  <c r="B76" i="20"/>
  <c r="B2" i="20"/>
  <c r="M342" i="2"/>
  <c r="N342" i="2"/>
  <c r="R342" i="2"/>
  <c r="S342" i="2"/>
  <c r="V342" i="2"/>
  <c r="W342" i="2"/>
  <c r="Z342" i="2"/>
  <c r="AA342" i="2"/>
  <c r="AE29" i="2"/>
  <c r="Z39" i="2"/>
  <c r="AA39" i="2"/>
  <c r="AB38" i="2"/>
  <c r="AB39" i="2"/>
  <c r="B73" i="7"/>
  <c r="B72" i="7"/>
  <c r="B71" i="7"/>
  <c r="B69" i="7"/>
  <c r="B68" i="7"/>
  <c r="B67" i="7"/>
  <c r="B66" i="7"/>
  <c r="B64" i="7"/>
  <c r="B63" i="7"/>
  <c r="B62" i="7"/>
  <c r="B61" i="7"/>
  <c r="B60" i="7"/>
  <c r="B59" i="7"/>
  <c r="B58" i="7"/>
  <c r="B52" i="7"/>
  <c r="B51" i="7"/>
  <c r="B50" i="7"/>
  <c r="B48" i="7"/>
  <c r="B47" i="7"/>
  <c r="B46" i="7"/>
  <c r="B45" i="7"/>
  <c r="B43" i="7"/>
  <c r="B42" i="7"/>
  <c r="B40" i="7"/>
  <c r="B39" i="7"/>
  <c r="B38" i="7"/>
  <c r="B37" i="7"/>
  <c r="B2" i="7"/>
  <c r="B2" i="6"/>
  <c r="B2" i="5"/>
  <c r="L97" i="2"/>
  <c r="B2" i="4"/>
  <c r="B45" i="3"/>
  <c r="B39" i="2" s="1"/>
  <c r="B44" i="3"/>
  <c r="B38" i="2" s="1"/>
  <c r="B42" i="3"/>
  <c r="B37" i="2"/>
  <c r="B41" i="3"/>
  <c r="B36" i="2" s="1"/>
  <c r="B40" i="3"/>
  <c r="B35" i="2"/>
  <c r="B39" i="3"/>
  <c r="B34" i="2" s="1"/>
  <c r="B38" i="3"/>
  <c r="B33" i="2" s="1"/>
  <c r="B37" i="3"/>
  <c r="B32" i="2" s="1"/>
  <c r="B36" i="3"/>
  <c r="B31" i="2" s="1"/>
  <c r="B35" i="3"/>
  <c r="B30" i="2" s="1"/>
  <c r="B34" i="3"/>
  <c r="B29" i="2" s="1"/>
  <c r="B33" i="3"/>
  <c r="B28" i="2" s="1"/>
  <c r="B32" i="3"/>
  <c r="B27" i="2"/>
  <c r="B31" i="3"/>
  <c r="B26" i="2" s="1"/>
  <c r="B30" i="3"/>
  <c r="B25" i="2" s="1"/>
  <c r="B2" i="3"/>
  <c r="H328" i="2"/>
  <c r="F328" i="2"/>
  <c r="X326" i="2"/>
  <c r="U326" i="2"/>
  <c r="T326" i="2"/>
  <c r="S326" i="2"/>
  <c r="AC270" i="2"/>
  <c r="X270" i="2"/>
  <c r="O270" i="2"/>
  <c r="Y265" i="2"/>
  <c r="X265" i="2"/>
  <c r="W265" i="2"/>
  <c r="V265" i="2"/>
  <c r="Z269" i="2" s="1"/>
  <c r="U265" i="2"/>
  <c r="Q265" i="2"/>
  <c r="P265" i="2"/>
  <c r="T269" i="2" s="1"/>
  <c r="R265" i="2"/>
  <c r="M265" i="2"/>
  <c r="L265" i="2"/>
  <c r="K265" i="2"/>
  <c r="J265" i="2"/>
  <c r="I265" i="2"/>
  <c r="H265" i="2"/>
  <c r="G265" i="2"/>
  <c r="F265" i="2"/>
  <c r="W255" i="2"/>
  <c r="W256" i="2"/>
  <c r="W257" i="2"/>
  <c r="X255" i="2"/>
  <c r="X256" i="2"/>
  <c r="X257" i="2"/>
  <c r="V255" i="2"/>
  <c r="V261" i="2" s="1"/>
  <c r="V256" i="2"/>
  <c r="V257" i="2"/>
  <c r="U255" i="2"/>
  <c r="U256" i="2"/>
  <c r="U257" i="2"/>
  <c r="T255" i="2"/>
  <c r="T257" i="2"/>
  <c r="W251" i="2"/>
  <c r="W260" i="2" s="1"/>
  <c r="W252" i="2"/>
  <c r="W253" i="2"/>
  <c r="X251" i="2"/>
  <c r="X252" i="2"/>
  <c r="X253" i="2"/>
  <c r="V251" i="2"/>
  <c r="V252" i="2"/>
  <c r="V253" i="2"/>
  <c r="V260" i="2" s="1"/>
  <c r="U251" i="2"/>
  <c r="U252" i="2"/>
  <c r="U253" i="2"/>
  <c r="T251" i="2"/>
  <c r="T252" i="2"/>
  <c r="T253" i="2"/>
  <c r="AA245" i="2"/>
  <c r="Z245" i="2"/>
  <c r="W245" i="2"/>
  <c r="V245" i="2"/>
  <c r="S245" i="2"/>
  <c r="R245" i="2"/>
  <c r="O245" i="2"/>
  <c r="N245" i="2"/>
  <c r="M245" i="2"/>
  <c r="J245" i="2"/>
  <c r="AA244" i="2"/>
  <c r="Z244" i="2"/>
  <c r="X244" i="2"/>
  <c r="W244" i="2"/>
  <c r="T244" i="2"/>
  <c r="S244" i="2"/>
  <c r="O244" i="2"/>
  <c r="N244" i="2"/>
  <c r="J244" i="2"/>
  <c r="AA209" i="2"/>
  <c r="Z209" i="2"/>
  <c r="W207" i="2"/>
  <c r="S207" i="2"/>
  <c r="E141" i="2"/>
  <c r="E130" i="2"/>
  <c r="E131" i="2"/>
  <c r="E139" i="2"/>
  <c r="E140" i="2"/>
  <c r="E137" i="2"/>
  <c r="E132" i="2"/>
  <c r="E136" i="2"/>
  <c r="AB43" i="2"/>
  <c r="AA43" i="2"/>
  <c r="Z43" i="2"/>
  <c r="Y43" i="2"/>
  <c r="W43" i="2"/>
  <c r="V43" i="2"/>
  <c r="U43" i="2"/>
  <c r="T43" i="2"/>
  <c r="R43" i="2"/>
  <c r="Q43" i="2"/>
  <c r="P43" i="2"/>
  <c r="N43" i="2"/>
  <c r="M43" i="2"/>
  <c r="L43" i="2"/>
  <c r="J43" i="2"/>
  <c r="I43" i="2"/>
  <c r="G43" i="2"/>
  <c r="F43" i="2"/>
  <c r="Y34" i="2"/>
  <c r="X34" i="2"/>
  <c r="AC30" i="2"/>
  <c r="AA30" i="2"/>
  <c r="Z30" i="2"/>
  <c r="W30" i="2"/>
  <c r="AD29" i="2"/>
  <c r="AC29" i="2"/>
  <c r="AB29" i="2"/>
  <c r="AA29" i="2"/>
  <c r="Z29" i="2"/>
  <c r="Y29" i="2"/>
  <c r="X29" i="2"/>
  <c r="W29" i="2"/>
  <c r="V29" i="2"/>
  <c r="Z97" i="2"/>
  <c r="Z31" i="2" s="1"/>
  <c r="X327" i="2"/>
  <c r="AC96" i="2"/>
  <c r="L96" i="2"/>
  <c r="U97" i="2"/>
  <c r="P96" i="2"/>
  <c r="I327" i="2"/>
  <c r="O96" i="2"/>
  <c r="Q327" i="2"/>
  <c r="U327" i="2"/>
  <c r="S327" i="2"/>
  <c r="Q97" i="2"/>
  <c r="Y97" i="2"/>
  <c r="Y31" i="2" s="1"/>
  <c r="K326" i="2"/>
  <c r="N326" i="2"/>
  <c r="I326" i="2"/>
  <c r="F326" i="2"/>
  <c r="M326" i="2"/>
  <c r="J326" i="2"/>
  <c r="Q326" i="2"/>
  <c r="O326" i="2"/>
  <c r="AA38" i="2"/>
  <c r="AB98" i="2"/>
  <c r="K97" i="2"/>
  <c r="AK55" i="2"/>
  <c r="Y328" i="2"/>
  <c r="AC97" i="2"/>
  <c r="AC31" i="2" s="1"/>
  <c r="M328" i="2"/>
  <c r="AC71" i="2"/>
  <c r="N97" i="2"/>
  <c r="S97" i="2"/>
  <c r="L328" i="2"/>
  <c r="O328" i="2"/>
  <c r="X96" i="2"/>
  <c r="T97" i="2"/>
  <c r="Y270" i="2"/>
  <c r="R326" i="2"/>
  <c r="K207" i="2"/>
  <c r="R330" i="2"/>
  <c r="I330" i="2"/>
  <c r="X209" i="2"/>
  <c r="P207" i="2"/>
  <c r="L330" i="2"/>
  <c r="R202" i="2"/>
  <c r="M330" i="2"/>
  <c r="U207" i="2"/>
  <c r="F330" i="2"/>
  <c r="T330" i="2"/>
  <c r="T202" i="2"/>
  <c r="AB207" i="2"/>
  <c r="N330" i="2"/>
  <c r="V207" i="2"/>
  <c r="R207" i="2"/>
  <c r="U330" i="2"/>
  <c r="Y207" i="2"/>
  <c r="Y209" i="2"/>
  <c r="AB71" i="2"/>
  <c r="T328" i="2"/>
  <c r="J328" i="2"/>
  <c r="AH55" i="2"/>
  <c r="AJ55" i="2"/>
  <c r="R328" i="2"/>
  <c r="Z71" i="2"/>
  <c r="N328" i="2"/>
  <c r="AI55" i="2"/>
  <c r="S328" i="2"/>
  <c r="K328" i="2"/>
  <c r="U328" i="2"/>
  <c r="V328" i="2"/>
  <c r="Q202" i="2"/>
  <c r="O207" i="2"/>
  <c r="P326" i="2"/>
  <c r="G328" i="2"/>
  <c r="S96" i="2"/>
  <c r="X82" i="2"/>
  <c r="X97" i="2"/>
  <c r="X31" i="2" s="1"/>
  <c r="V83" i="2"/>
  <c r="X98" i="2"/>
  <c r="J97" i="2"/>
  <c r="T327" i="2"/>
  <c r="Q96" i="2"/>
  <c r="AB97" i="2"/>
  <c r="AB31" i="2" s="1"/>
  <c r="Y83" i="2"/>
  <c r="AB96" i="2"/>
  <c r="M96" i="2"/>
  <c r="J327" i="2"/>
  <c r="G327" i="2"/>
  <c r="N327" i="2"/>
  <c r="AA96" i="2"/>
  <c r="AC98" i="2"/>
  <c r="R327" i="2"/>
  <c r="V96" i="2"/>
  <c r="Y327" i="2"/>
  <c r="Y82" i="2"/>
  <c r="H96" i="2"/>
  <c r="J96" i="2"/>
  <c r="U82" i="2"/>
  <c r="K327" i="2"/>
  <c r="P327" i="2"/>
  <c r="V82" i="2"/>
  <c r="H327" i="2"/>
  <c r="AA98" i="2"/>
  <c r="L327" i="2"/>
  <c r="O327" i="2"/>
  <c r="W98" i="2"/>
  <c r="N96" i="2"/>
  <c r="M327" i="2"/>
  <c r="T96" i="2"/>
  <c r="G96" i="2"/>
  <c r="P329" i="2"/>
  <c r="S145" i="2"/>
  <c r="L329" i="2"/>
  <c r="K329" i="2"/>
  <c r="O146" i="2"/>
  <c r="Y30" i="2"/>
  <c r="O342" i="2"/>
  <c r="Q146" i="2"/>
  <c r="R329" i="2"/>
  <c r="H127" i="2"/>
  <c r="Z146" i="2"/>
  <c r="P330" i="2"/>
  <c r="X330" i="2"/>
  <c r="Z207" i="2"/>
  <c r="V330" i="2"/>
  <c r="J330" i="2"/>
  <c r="U270" i="2"/>
  <c r="J207" i="2"/>
  <c r="Z38" i="2"/>
  <c r="G326" i="2"/>
  <c r="Q328" i="2"/>
  <c r="Y146" i="2"/>
  <c r="W35" i="2"/>
  <c r="S270" i="2"/>
  <c r="AB270" i="2"/>
  <c r="W34" i="2"/>
  <c r="M97" i="2"/>
  <c r="T83" i="2"/>
  <c r="T146" i="2"/>
  <c r="Z35" i="2"/>
  <c r="K96" i="2"/>
  <c r="V327" i="2"/>
  <c r="W96" i="2"/>
  <c r="W83" i="2"/>
  <c r="S331" i="2"/>
  <c r="V145" i="2"/>
  <c r="AA146" i="2"/>
  <c r="AA97" i="2"/>
  <c r="AA31" i="2" s="1"/>
  <c r="R97" i="2"/>
  <c r="Z96" i="2"/>
  <c r="F96" i="2"/>
  <c r="P97" i="2"/>
  <c r="X328" i="2"/>
  <c r="T82" i="2"/>
  <c r="L326" i="2"/>
  <c r="Y330" i="2"/>
  <c r="V30" i="2"/>
  <c r="X35" i="2"/>
  <c r="K43" i="2"/>
  <c r="O43" i="2"/>
  <c r="S43" i="2"/>
  <c r="AG55" i="2"/>
  <c r="AB209" i="2"/>
  <c r="I244" i="2"/>
  <c r="Y244" i="2"/>
  <c r="L245" i="2"/>
  <c r="T245" i="2"/>
  <c r="Y326" i="2"/>
  <c r="U258" i="2"/>
  <c r="Q329" i="2"/>
  <c r="Z145" i="2"/>
  <c r="R145" i="2"/>
  <c r="Q207" i="2"/>
  <c r="AA71" i="2"/>
  <c r="AC207" i="2"/>
  <c r="X207" i="2"/>
  <c r="T207" i="2"/>
  <c r="H326" i="2"/>
  <c r="V97" i="2"/>
  <c r="V31" i="2" s="1"/>
  <c r="I96" i="2"/>
  <c r="Z98" i="2"/>
  <c r="U96" i="2"/>
  <c r="Y98" i="2"/>
  <c r="Q330" i="2"/>
  <c r="V34" i="2"/>
  <c r="Y35" i="2"/>
  <c r="X43" i="2"/>
  <c r="AC209" i="2"/>
  <c r="R244" i="2"/>
  <c r="Q245" i="2"/>
  <c r="V326" i="2"/>
  <c r="AC39" i="2"/>
  <c r="P146" i="2"/>
  <c r="N329" i="2"/>
  <c r="I328" i="2"/>
  <c r="M207" i="2"/>
  <c r="U83" i="2"/>
  <c r="W327" i="2"/>
  <c r="W82" i="2"/>
  <c r="W209" i="2"/>
  <c r="X30" i="2"/>
  <c r="AB30" i="2"/>
  <c r="V35" i="2"/>
  <c r="Z34" i="2"/>
  <c r="W270" i="2"/>
  <c r="AA270" i="2"/>
  <c r="W326" i="2"/>
  <c r="P328" i="2"/>
  <c r="T331" i="2"/>
  <c r="AC38" i="2"/>
  <c r="Q342" i="2"/>
  <c r="R146" i="2"/>
  <c r="M329" i="2"/>
  <c r="AB127" i="2"/>
  <c r="R96" i="2"/>
  <c r="W97" i="2"/>
  <c r="W31" i="2" s="1"/>
  <c r="AF55" i="2"/>
  <c r="K331" i="2"/>
  <c r="P270" i="2"/>
  <c r="X145" i="2"/>
  <c r="X83" i="2"/>
  <c r="N270" i="2"/>
  <c r="O331" i="2"/>
  <c r="S146" i="2"/>
  <c r="G127" i="2"/>
  <c r="U145" i="2"/>
  <c r="O97" i="2"/>
  <c r="F327" i="2"/>
  <c r="S330" i="2"/>
  <c r="Y96" i="2"/>
  <c r="Z127" i="2"/>
  <c r="O329" i="2"/>
  <c r="W329" i="2"/>
  <c r="AA207" i="2"/>
  <c r="W330" i="2"/>
  <c r="U202" i="2"/>
  <c r="T329" i="2"/>
  <c r="N145" i="2"/>
  <c r="V329" i="2"/>
  <c r="N146" i="2"/>
  <c r="F329" i="2"/>
  <c r="AB146" i="2"/>
  <c r="F127" i="2"/>
  <c r="E127" i="2"/>
  <c r="M145" i="2"/>
  <c r="Q145" i="2"/>
  <c r="J329" i="2"/>
  <c r="AC146" i="2"/>
  <c r="AC127" i="2"/>
  <c r="AC145" i="2"/>
  <c r="Y329" i="2"/>
  <c r="O145" i="2"/>
  <c r="G329" i="2"/>
  <c r="H329" i="2"/>
  <c r="AA127" i="2"/>
  <c r="X146" i="2"/>
  <c r="W145" i="2"/>
  <c r="U146" i="2"/>
  <c r="W146" i="2"/>
  <c r="Y145" i="2"/>
  <c r="J127" i="2"/>
  <c r="I127" i="2"/>
  <c r="AB145" i="2"/>
  <c r="U329" i="2"/>
  <c r="T145" i="2"/>
  <c r="X329" i="2"/>
  <c r="AA145" i="2"/>
  <c r="S329" i="2"/>
  <c r="V146" i="2"/>
  <c r="M146" i="2"/>
  <c r="I329" i="2"/>
  <c r="AG144" i="2"/>
  <c r="AG145" i="2" s="1"/>
  <c r="AD144" i="2"/>
  <c r="AD146" i="2" s="1"/>
  <c r="AF144" i="2"/>
  <c r="AK144" i="2"/>
  <c r="AE144" i="2"/>
  <c r="AE145" i="2" s="1"/>
  <c r="AI144" i="2"/>
  <c r="AH144" i="2"/>
  <c r="T270" i="2"/>
  <c r="D50" i="20"/>
  <c r="D36" i="20"/>
  <c r="I50" i="20"/>
  <c r="I36" i="20"/>
  <c r="J50" i="20"/>
  <c r="J36" i="20"/>
  <c r="J58" i="20"/>
  <c r="G36" i="20"/>
  <c r="J72" i="20"/>
  <c r="G50" i="20"/>
  <c r="H50" i="20"/>
  <c r="H36" i="20"/>
  <c r="I58" i="20"/>
  <c r="E50" i="20"/>
  <c r="H58" i="20"/>
  <c r="E36" i="20"/>
  <c r="D38" i="20"/>
  <c r="D37" i="20"/>
  <c r="I47" i="20"/>
  <c r="I37" i="20"/>
  <c r="AK177" i="2"/>
  <c r="J37" i="20"/>
  <c r="G37" i="20"/>
  <c r="J59" i="20"/>
  <c r="H37" i="20"/>
  <c r="I59" i="20"/>
  <c r="L24" i="7"/>
  <c r="L37" i="7" s="1"/>
  <c r="D41" i="20"/>
  <c r="AF177" i="2"/>
  <c r="AF179" i="2" s="1"/>
  <c r="E37" i="20"/>
  <c r="K36" i="7"/>
  <c r="K44" i="7"/>
  <c r="I40" i="20"/>
  <c r="F44" i="7"/>
  <c r="F37" i="7"/>
  <c r="N32" i="7"/>
  <c r="O23" i="6"/>
  <c r="N23" i="6"/>
  <c r="I39" i="20"/>
  <c r="AC40" i="20" s="1"/>
  <c r="G43" i="7"/>
  <c r="G49" i="7"/>
  <c r="J70" i="7"/>
  <c r="K38" i="7"/>
  <c r="K49" i="7"/>
  <c r="F48" i="7"/>
  <c r="F49" i="7"/>
  <c r="I70" i="7"/>
  <c r="AF206" i="2"/>
  <c r="E49" i="7"/>
  <c r="H70" i="7"/>
  <c r="H47" i="7"/>
  <c r="H49" i="7"/>
  <c r="I49" i="7"/>
  <c r="H41" i="7"/>
  <c r="K48" i="7"/>
  <c r="K43" i="7"/>
  <c r="K51" i="7"/>
  <c r="K41" i="7"/>
  <c r="AK206" i="2"/>
  <c r="G42" i="7"/>
  <c r="G26" i="7"/>
  <c r="K42" i="7"/>
  <c r="K45" i="7"/>
  <c r="K25" i="7"/>
  <c r="K50" i="7"/>
  <c r="D43" i="7"/>
  <c r="K46" i="7"/>
  <c r="K47" i="7"/>
  <c r="K40" i="7"/>
  <c r="AL208" i="2"/>
  <c r="K37" i="7"/>
  <c r="D50" i="7"/>
  <c r="D42" i="7"/>
  <c r="AI206" i="2"/>
  <c r="H26" i="7"/>
  <c r="AJ206" i="2"/>
  <c r="I26" i="7"/>
  <c r="I48" i="7"/>
  <c r="I44" i="7"/>
  <c r="H45" i="7"/>
  <c r="I36" i="7"/>
  <c r="AC269" i="2"/>
  <c r="D55" i="3"/>
  <c r="H39" i="7"/>
  <c r="L23" i="6"/>
  <c r="L47" i="3"/>
  <c r="I40" i="7"/>
  <c r="F41" i="7"/>
  <c r="X269" i="2"/>
  <c r="F51" i="7"/>
  <c r="G47" i="20"/>
  <c r="N54" i="3"/>
  <c r="Q53" i="3"/>
  <c r="M32" i="6"/>
  <c r="F47" i="7"/>
  <c r="F38" i="7"/>
  <c r="F43" i="7"/>
  <c r="H47" i="3"/>
  <c r="I25" i="3"/>
  <c r="F40" i="7"/>
  <c r="F36" i="7"/>
  <c r="G46" i="20"/>
  <c r="K23" i="6"/>
  <c r="K55" i="3"/>
  <c r="E42" i="7"/>
  <c r="Q19" i="5"/>
  <c r="Q21" i="5"/>
  <c r="AI145" i="2"/>
  <c r="H46" i="20"/>
  <c r="E45" i="20"/>
  <c r="H54" i="20"/>
  <c r="H42" i="20"/>
  <c r="H43" i="20"/>
  <c r="H53" i="20"/>
  <c r="J49" i="20"/>
  <c r="E39" i="20"/>
  <c r="H39" i="20"/>
  <c r="AB40" i="20" s="1"/>
  <c r="H44" i="20"/>
  <c r="AB41" i="20"/>
  <c r="H48" i="20"/>
  <c r="H51" i="20"/>
  <c r="AB42" i="20"/>
  <c r="H47" i="20"/>
  <c r="J69" i="20"/>
  <c r="E38" i="20"/>
  <c r="H40" i="20"/>
  <c r="H49" i="20"/>
  <c r="H52" i="20"/>
  <c r="E42" i="20"/>
  <c r="X260" i="2"/>
  <c r="H24" i="4"/>
  <c r="E59" i="3"/>
  <c r="L59" i="3"/>
  <c r="G47" i="7"/>
  <c r="J54" i="3"/>
  <c r="C59" i="3"/>
  <c r="AE329" i="2"/>
  <c r="H55" i="3"/>
  <c r="I66" i="7"/>
  <c r="I59" i="3"/>
  <c r="K54" i="3"/>
  <c r="AI208" i="2"/>
  <c r="AK70" i="2"/>
  <c r="AK72" i="2" s="1"/>
  <c r="I57" i="7"/>
  <c r="D54" i="3"/>
  <c r="D52" i="20"/>
  <c r="G36" i="7"/>
  <c r="C55" i="3"/>
  <c r="D42" i="20"/>
  <c r="H44" i="7"/>
  <c r="H38" i="7"/>
  <c r="I47" i="3"/>
  <c r="H46" i="7"/>
  <c r="I37" i="7"/>
  <c r="I41" i="7"/>
  <c r="I45" i="7"/>
  <c r="I50" i="7"/>
  <c r="K47" i="3"/>
  <c r="G48" i="7"/>
  <c r="J23" i="6"/>
  <c r="I27" i="7"/>
  <c r="I28" i="7" s="1"/>
  <c r="I61" i="7"/>
  <c r="Y269" i="2"/>
  <c r="AE94" i="2"/>
  <c r="AE98" i="2" s="1"/>
  <c r="D49" i="20"/>
  <c r="AH208" i="2"/>
  <c r="H51" i="7"/>
  <c r="H43" i="7"/>
  <c r="H37" i="7"/>
  <c r="H42" i="7"/>
  <c r="P25" i="3"/>
  <c r="I38" i="7"/>
  <c r="I42" i="7"/>
  <c r="I46" i="7"/>
  <c r="I51" i="7"/>
  <c r="H48" i="7"/>
  <c r="H54" i="7" s="1"/>
  <c r="L24" i="4"/>
  <c r="G46" i="7"/>
  <c r="I55" i="3"/>
  <c r="I68" i="7"/>
  <c r="I69" i="7"/>
  <c r="D40" i="20"/>
  <c r="D54" i="20"/>
  <c r="C52" i="20"/>
  <c r="G44" i="7"/>
  <c r="H50" i="7"/>
  <c r="H40" i="7"/>
  <c r="H36" i="7"/>
  <c r="L32" i="6"/>
  <c r="I39" i="7"/>
  <c r="I43" i="7"/>
  <c r="I47" i="7"/>
  <c r="I54" i="7" s="1"/>
  <c r="I55" i="7" s="1"/>
  <c r="I52" i="7"/>
  <c r="G64" i="7"/>
  <c r="G58" i="7"/>
  <c r="G72" i="7"/>
  <c r="H58" i="7"/>
  <c r="E45" i="7"/>
  <c r="G65" i="7"/>
  <c r="G27" i="7"/>
  <c r="G28" i="7" s="1"/>
  <c r="H68" i="7"/>
  <c r="H63" i="7"/>
  <c r="AF208" i="2"/>
  <c r="AF209" i="2"/>
  <c r="E39" i="7"/>
  <c r="C45" i="7"/>
  <c r="H71" i="7"/>
  <c r="H67" i="7"/>
  <c r="F63" i="7"/>
  <c r="E36" i="7"/>
  <c r="E44" i="7"/>
  <c r="E38" i="7"/>
  <c r="G60" i="7"/>
  <c r="G63" i="7"/>
  <c r="E47" i="7"/>
  <c r="AH206" i="2"/>
  <c r="J36" i="7"/>
  <c r="H62" i="7"/>
  <c r="E41" i="7"/>
  <c r="H59" i="7"/>
  <c r="H69" i="7"/>
  <c r="G41" i="7"/>
  <c r="I62" i="7"/>
  <c r="I63" i="7"/>
  <c r="E51" i="7"/>
  <c r="E43" i="7"/>
  <c r="E37" i="7"/>
  <c r="C51" i="7"/>
  <c r="G39" i="7"/>
  <c r="G38" i="7"/>
  <c r="G51" i="7"/>
  <c r="G50" i="7"/>
  <c r="E48" i="7"/>
  <c r="H60" i="7"/>
  <c r="H73" i="7" s="1"/>
  <c r="H66" i="7"/>
  <c r="H61" i="7"/>
  <c r="H72" i="7"/>
  <c r="I71" i="7"/>
  <c r="I60" i="7"/>
  <c r="I65" i="7"/>
  <c r="I25" i="7"/>
  <c r="E50" i="7"/>
  <c r="E40" i="7"/>
  <c r="G69" i="7"/>
  <c r="G40" i="7"/>
  <c r="G37" i="7"/>
  <c r="G45" i="7"/>
  <c r="E46" i="7"/>
  <c r="AM95" i="2"/>
  <c r="H27" i="20"/>
  <c r="D51" i="20"/>
  <c r="D48" i="20"/>
  <c r="J44" i="20"/>
  <c r="AD41" i="20" s="1"/>
  <c r="J61" i="20"/>
  <c r="D47" i="20"/>
  <c r="D53" i="20"/>
  <c r="D39" i="20"/>
  <c r="D43" i="20"/>
  <c r="G40" i="20"/>
  <c r="D46" i="20"/>
  <c r="AE177" i="2"/>
  <c r="J65" i="20"/>
  <c r="D45" i="20"/>
  <c r="D44" i="20"/>
  <c r="G54" i="20"/>
  <c r="G43" i="20"/>
  <c r="H33" i="6"/>
  <c r="N32" i="6"/>
  <c r="AH95" i="2"/>
  <c r="AH97" i="2" s="1"/>
  <c r="AH31" i="2" s="1"/>
  <c r="M23" i="6"/>
  <c r="I32" i="6"/>
  <c r="AL206" i="2"/>
  <c r="O269" i="2"/>
  <c r="J33" i="6"/>
  <c r="L26" i="6"/>
  <c r="K32" i="6"/>
  <c r="AM177" i="2"/>
  <c r="O53" i="3"/>
  <c r="AJ70" i="2"/>
  <c r="AJ72" i="2" s="1"/>
  <c r="AF70" i="2"/>
  <c r="AF72" i="2" s="1"/>
  <c r="I19" i="5"/>
  <c r="AL95" i="2"/>
  <c r="AI70" i="2"/>
  <c r="AI72" i="2" s="1"/>
  <c r="H23" i="5"/>
  <c r="J55" i="3"/>
  <c r="K57" i="3" s="1"/>
  <c r="N47" i="3"/>
  <c r="AF329" i="2"/>
  <c r="P269" i="2"/>
  <c r="F23" i="5"/>
  <c r="AG70" i="2"/>
  <c r="AG72" i="2" s="1"/>
  <c r="L45" i="4"/>
  <c r="J21" i="5"/>
  <c r="AA269" i="2"/>
  <c r="AH42" i="2"/>
  <c r="G55" i="3"/>
  <c r="J49" i="3"/>
  <c r="K22" i="5"/>
  <c r="AG42" i="2"/>
  <c r="J47" i="3"/>
  <c r="F55" i="3"/>
  <c r="AI95" i="2"/>
  <c r="AM97" i="2" s="1"/>
  <c r="AM31" i="2" s="1"/>
  <c r="F49" i="3"/>
  <c r="W269" i="2"/>
  <c r="V269" i="2"/>
  <c r="AL45" i="2"/>
  <c r="AK41" i="2"/>
  <c r="AK48" i="2" s="1"/>
  <c r="J59" i="3"/>
  <c r="J25" i="3"/>
  <c r="AG41" i="2"/>
  <c r="F59" i="3"/>
  <c r="AE41" i="2"/>
  <c r="F26" i="3"/>
  <c r="AG206" i="2"/>
  <c r="I58" i="7"/>
  <c r="F45" i="7"/>
  <c r="G68" i="7"/>
  <c r="AG208" i="2"/>
  <c r="AG209" i="2" s="1"/>
  <c r="F46" i="7"/>
  <c r="F39" i="7"/>
  <c r="F50" i="7"/>
  <c r="G59" i="7"/>
  <c r="G61" i="7"/>
  <c r="G57" i="7"/>
  <c r="I67" i="7"/>
  <c r="I59" i="7"/>
  <c r="I64" i="7"/>
  <c r="I72" i="7"/>
  <c r="H27" i="7"/>
  <c r="H28" i="7" s="1"/>
  <c r="H65" i="7"/>
  <c r="H57" i="7"/>
  <c r="H64" i="7"/>
  <c r="AH177" i="2"/>
  <c r="G42" i="20"/>
  <c r="G52" i="20"/>
  <c r="G49" i="20"/>
  <c r="G39" i="20"/>
  <c r="AA40" i="20" s="1"/>
  <c r="G53" i="20"/>
  <c r="G51" i="20"/>
  <c r="AA42" i="20" s="1"/>
  <c r="G48" i="20"/>
  <c r="G44" i="20"/>
  <c r="AA41" i="20"/>
  <c r="Y253" i="2"/>
  <c r="Q47" i="3"/>
  <c r="M55" i="3"/>
  <c r="AB269" i="2"/>
  <c r="AN41" i="2"/>
  <c r="M53" i="3"/>
  <c r="K68" i="7"/>
  <c r="K61" i="7"/>
  <c r="K69" i="7"/>
  <c r="J69" i="7"/>
  <c r="K60" i="7"/>
  <c r="J47" i="7"/>
  <c r="J38" i="7"/>
  <c r="J41" i="7"/>
  <c r="K62" i="7"/>
  <c r="J50" i="7"/>
  <c r="AK46" i="2"/>
  <c r="AK49" i="2" s="1"/>
  <c r="AN42" i="2"/>
  <c r="H26" i="6"/>
  <c r="L27" i="6" s="1"/>
  <c r="AL42" i="2"/>
  <c r="AD329" i="2"/>
  <c r="AN46" i="2"/>
  <c r="K59" i="7"/>
  <c r="K27" i="7"/>
  <c r="K65" i="7"/>
  <c r="AK208" i="2"/>
  <c r="J63" i="7"/>
  <c r="J60" i="7"/>
  <c r="J43" i="7"/>
  <c r="J66" i="7"/>
  <c r="J65" i="7"/>
  <c r="K57" i="7"/>
  <c r="J42" i="7"/>
  <c r="K67" i="7"/>
  <c r="J44" i="7"/>
  <c r="J67" i="7"/>
  <c r="J39" i="7"/>
  <c r="J37" i="7"/>
  <c r="J25" i="7"/>
  <c r="J48" i="7"/>
  <c r="K64" i="7"/>
  <c r="K58" i="7"/>
  <c r="K72" i="7"/>
  <c r="J40" i="7"/>
  <c r="J72" i="7"/>
  <c r="J58" i="7"/>
  <c r="J61" i="7"/>
  <c r="J57" i="7"/>
  <c r="J52" i="7"/>
  <c r="AJ208" i="2"/>
  <c r="E51" i="20"/>
  <c r="E40" i="20"/>
  <c r="E44" i="20"/>
  <c r="E48" i="20"/>
  <c r="E49" i="20"/>
  <c r="E54" i="20"/>
  <c r="I27" i="20"/>
  <c r="E52" i="20"/>
  <c r="E53" i="20"/>
  <c r="E41" i="20"/>
  <c r="E46" i="20"/>
  <c r="E43" i="20"/>
  <c r="E47" i="20"/>
  <c r="J54" i="20"/>
  <c r="J52" i="20"/>
  <c r="J48" i="20"/>
  <c r="J43" i="20"/>
  <c r="J66" i="20"/>
  <c r="J70" i="20"/>
  <c r="J73" i="20"/>
  <c r="J75" i="20"/>
  <c r="G71" i="20"/>
  <c r="F45" i="20"/>
  <c r="H62" i="20"/>
  <c r="J39" i="20"/>
  <c r="AD40" i="20" s="1"/>
  <c r="J53" i="20"/>
  <c r="J47" i="20"/>
  <c r="J42" i="20"/>
  <c r="J62" i="20"/>
  <c r="J71" i="20"/>
  <c r="J74" i="20"/>
  <c r="J76" i="20"/>
  <c r="F49" i="20"/>
  <c r="H69" i="20"/>
  <c r="D89" i="20"/>
  <c r="L39" i="20"/>
  <c r="AF40" i="20" s="1"/>
  <c r="J28" i="20"/>
  <c r="J51" i="20"/>
  <c r="AD42" i="20" s="1"/>
  <c r="J46" i="20"/>
  <c r="J40" i="20"/>
  <c r="J64" i="20"/>
  <c r="J68" i="20"/>
  <c r="G69" i="20"/>
  <c r="F44" i="20"/>
  <c r="Z41" i="20" s="1"/>
  <c r="C89" i="20"/>
  <c r="I49" i="20"/>
  <c r="I42" i="20"/>
  <c r="I51" i="20"/>
  <c r="AC42" i="20" s="1"/>
  <c r="K44" i="20"/>
  <c r="AE41" i="20" s="1"/>
  <c r="K48" i="20"/>
  <c r="K52" i="20"/>
  <c r="K54" i="20"/>
  <c r="I52" i="20"/>
  <c r="I46" i="20"/>
  <c r="I53" i="20"/>
  <c r="K27" i="20"/>
  <c r="K39" i="20"/>
  <c r="AE40" i="20" s="1"/>
  <c r="I54" i="20"/>
  <c r="I43" i="20"/>
  <c r="I48" i="20"/>
  <c r="I44" i="20"/>
  <c r="AC41" i="20"/>
  <c r="AJ177" i="2"/>
  <c r="K42" i="20"/>
  <c r="K46" i="20"/>
  <c r="AK146" i="2"/>
  <c r="AD145" i="2"/>
  <c r="AD127" i="2"/>
  <c r="AD38" i="2"/>
  <c r="AN70" i="2"/>
  <c r="M21" i="5"/>
  <c r="M23" i="5"/>
  <c r="M19" i="5"/>
  <c r="AK145" i="2"/>
  <c r="AH146" i="2"/>
  <c r="Z329" i="2"/>
  <c r="AL46" i="2"/>
  <c r="AF266" i="2"/>
  <c r="AF270" i="2" s="1"/>
  <c r="L43" i="20"/>
  <c r="L47" i="20"/>
  <c r="L51" i="20"/>
  <c r="AF42" i="20" s="1"/>
  <c r="L53" i="20"/>
  <c r="K45" i="4"/>
  <c r="AJ46" i="2"/>
  <c r="AJ41" i="2"/>
  <c r="AJ38" i="2" s="1"/>
  <c r="L44" i="20"/>
  <c r="AF41" i="20" s="1"/>
  <c r="L48" i="20"/>
  <c r="L52" i="20"/>
  <c r="L54" i="20"/>
  <c r="AI177" i="2"/>
  <c r="I65" i="20"/>
  <c r="M22" i="5"/>
  <c r="L31" i="7"/>
  <c r="M47" i="3"/>
  <c r="AG266" i="2"/>
  <c r="AG270" i="2"/>
  <c r="L42" i="20"/>
  <c r="L46" i="20"/>
  <c r="AG330" i="2"/>
  <c r="AE265" i="2"/>
  <c r="AE269" i="2" s="1"/>
  <c r="AG245" i="2"/>
  <c r="S261" i="2"/>
  <c r="T260" i="2"/>
  <c r="U260" i="2"/>
  <c r="U261" i="2"/>
  <c r="R270" i="2"/>
  <c r="T342" i="2"/>
  <c r="S269" i="2"/>
  <c r="AH145" i="2"/>
  <c r="AA329" i="2"/>
  <c r="AM30" i="2"/>
  <c r="AI146" i="2"/>
  <c r="AE146" i="2"/>
  <c r="X261" i="2"/>
  <c r="W261" i="2"/>
  <c r="AK204" i="2"/>
  <c r="Z255" i="2"/>
  <c r="Y255" i="2"/>
  <c r="G70" i="20"/>
  <c r="G74" i="20"/>
  <c r="F41" i="20"/>
  <c r="F46" i="20"/>
  <c r="F53" i="20"/>
  <c r="H66" i="20"/>
  <c r="H70" i="20"/>
  <c r="H73" i="20"/>
  <c r="H75" i="20"/>
  <c r="F42" i="20"/>
  <c r="H64" i="20"/>
  <c r="I61" i="20"/>
  <c r="I75" i="20"/>
  <c r="I71" i="20"/>
  <c r="I69" i="20"/>
  <c r="J27" i="20"/>
  <c r="G73" i="20"/>
  <c r="G61" i="20"/>
  <c r="F43" i="20"/>
  <c r="F47" i="20"/>
  <c r="F54" i="20"/>
  <c r="F51" i="20"/>
  <c r="Z42" i="20"/>
  <c r="F39" i="20"/>
  <c r="Z40" i="20" s="1"/>
  <c r="H71" i="20"/>
  <c r="H74" i="20"/>
  <c r="I66" i="20"/>
  <c r="I74" i="20"/>
  <c r="G64" i="20"/>
  <c r="G62" i="20"/>
  <c r="G75" i="20"/>
  <c r="G68" i="20"/>
  <c r="G66" i="20"/>
  <c r="F48" i="20"/>
  <c r="F52" i="20"/>
  <c r="H61" i="20"/>
  <c r="H76" i="20" s="1"/>
  <c r="H68" i="20"/>
  <c r="H65" i="20"/>
  <c r="I70" i="20"/>
  <c r="I62" i="20"/>
  <c r="I64" i="20"/>
  <c r="L27" i="20"/>
  <c r="AJ207" i="2"/>
  <c r="AJ204" i="2"/>
  <c r="AF207" i="2"/>
  <c r="AJ96" i="2"/>
  <c r="AM41" i="2"/>
  <c r="AO39" i="2"/>
  <c r="AK178" i="2"/>
  <c r="K52" i="7"/>
  <c r="AG15" i="7"/>
  <c r="M24" i="7"/>
  <c r="N33" i="6"/>
  <c r="K54" i="7"/>
  <c r="AL212" i="2" s="1"/>
  <c r="M56" i="3"/>
  <c r="AL209" i="2"/>
  <c r="W172" i="2"/>
  <c r="AF330" i="2"/>
  <c r="L33" i="6"/>
  <c r="AN72" i="2"/>
  <c r="AK30" i="2"/>
  <c r="AL204" i="2"/>
  <c r="AK38" i="2"/>
  <c r="AM96" i="2"/>
  <c r="AG326" i="2"/>
  <c r="AK43" i="2"/>
  <c r="AG48" i="2"/>
  <c r="M31" i="7"/>
  <c r="J57" i="3"/>
  <c r="W202" i="2"/>
  <c r="AE330" i="2"/>
  <c r="K28" i="7"/>
  <c r="E54" i="7"/>
  <c r="E55" i="7" s="1"/>
  <c r="AJ209" i="2"/>
  <c r="AH330" i="2"/>
  <c r="AL207" i="2"/>
  <c r="AG328" i="2"/>
  <c r="AI178" i="2"/>
  <c r="AF71" i="2"/>
  <c r="AA326" i="2"/>
  <c r="AM179" i="2"/>
  <c r="J56" i="3"/>
  <c r="M33" i="6"/>
  <c r="AJ48" i="2"/>
  <c r="AF328" i="2"/>
  <c r="Y252" i="2"/>
  <c r="AK209" i="2"/>
  <c r="AJ71" i="2"/>
  <c r="AN71" i="2"/>
  <c r="O19" i="5"/>
  <c r="O21" i="5"/>
  <c r="AN43" i="2"/>
  <c r="AG207" i="2"/>
  <c r="AC330" i="2"/>
  <c r="AG38" i="2"/>
  <c r="L22" i="5"/>
  <c r="AL70" i="2"/>
  <c r="AP71" i="2" s="1"/>
  <c r="K21" i="5"/>
  <c r="K23" i="5"/>
  <c r="K19" i="5"/>
  <c r="AC328" i="2"/>
  <c r="AF265" i="2"/>
  <c r="AF269" i="2" s="1"/>
  <c r="N50" i="3"/>
  <c r="J50" i="3"/>
  <c r="AG71" i="2"/>
  <c r="AK71" i="2"/>
  <c r="AN49" i="2"/>
  <c r="AG43" i="2"/>
  <c r="AG39" i="2"/>
  <c r="AG30" i="2"/>
  <c r="K56" i="3"/>
  <c r="G56" i="3"/>
  <c r="G57" i="3"/>
  <c r="AD330" i="2"/>
  <c r="AJ178" i="2"/>
  <c r="AJ179" i="2"/>
  <c r="M37" i="7"/>
  <c r="AN38" i="2"/>
  <c r="AM208" i="2"/>
  <c r="AQ209" i="2" s="1"/>
  <c r="L51" i="7"/>
  <c r="L62" i="7"/>
  <c r="L27" i="7"/>
  <c r="AI179" i="2"/>
  <c r="AG265" i="2"/>
  <c r="AG269" i="2" s="1"/>
  <c r="AC331" i="2"/>
  <c r="AG342" i="2"/>
  <c r="Y251" i="2"/>
  <c r="AD265" i="2"/>
  <c r="AD269" i="2" s="1"/>
  <c r="AF342" i="2"/>
  <c r="AF245" i="2"/>
  <c r="AG244" i="2"/>
  <c r="AM43" i="2"/>
  <c r="M52" i="7"/>
  <c r="M41" i="7"/>
  <c r="M44" i="7"/>
  <c r="AN206" i="2"/>
  <c r="M69" i="7"/>
  <c r="M36" i="7"/>
  <c r="M39" i="7"/>
  <c r="M51" i="7"/>
  <c r="AN208" i="2"/>
  <c r="AN209" i="2" s="1"/>
  <c r="M43" i="7"/>
  <c r="M50" i="7"/>
  <c r="M25" i="7"/>
  <c r="M47" i="7"/>
  <c r="M46" i="7"/>
  <c r="M60" i="7"/>
  <c r="M45" i="7"/>
  <c r="M48" i="7"/>
  <c r="M38" i="7"/>
  <c r="M32" i="7"/>
  <c r="Q32" i="7"/>
  <c r="N49" i="7"/>
  <c r="M49" i="7"/>
  <c r="AF211" i="2"/>
  <c r="R25" i="7"/>
  <c r="N26" i="7"/>
  <c r="AC15" i="7"/>
  <c r="Q25" i="7"/>
  <c r="Y260" i="2"/>
  <c r="P21" i="5"/>
  <c r="L23" i="5"/>
  <c r="AM70" i="2"/>
  <c r="L21" i="5"/>
  <c r="L19" i="5"/>
  <c r="Y257" i="2"/>
  <c r="Y261" i="2" s="1"/>
  <c r="AL72" i="2"/>
  <c r="AH328" i="2"/>
  <c r="N19" i="5"/>
  <c r="N21" i="5"/>
  <c r="N23" i="5"/>
  <c r="N24" i="5" s="1"/>
  <c r="AO70" i="2"/>
  <c r="AL328" i="2" s="1"/>
  <c r="N51" i="7"/>
  <c r="N45" i="7"/>
  <c r="N25" i="7"/>
  <c r="N46" i="7"/>
  <c r="N47" i="7"/>
  <c r="N41" i="7"/>
  <c r="N48" i="7"/>
  <c r="N42" i="7"/>
  <c r="N44" i="7"/>
  <c r="N43" i="7"/>
  <c r="N36" i="7"/>
  <c r="N39" i="7"/>
  <c r="N38" i="7"/>
  <c r="N37" i="7"/>
  <c r="AO206" i="2"/>
  <c r="AO208" i="2"/>
  <c r="AO209" i="2" s="1"/>
  <c r="N50" i="7"/>
  <c r="AD266" i="2"/>
  <c r="AD270" i="2" s="1"/>
  <c r="AE266" i="2"/>
  <c r="AE270" i="2" s="1"/>
  <c r="AI266" i="2"/>
  <c r="AH266" i="2"/>
  <c r="AK266" i="2"/>
  <c r="AK270" i="2" s="1"/>
  <c r="Z253" i="2"/>
  <c r="AJ266" i="2"/>
  <c r="AJ270" i="2" s="1"/>
  <c r="Z257" i="2"/>
  <c r="Y256" i="2"/>
  <c r="Z256" i="2"/>
  <c r="Z261" i="2" s="1"/>
  <c r="Z252" i="2"/>
  <c r="AI243" i="2"/>
  <c r="AI265" i="2"/>
  <c r="AH243" i="2"/>
  <c r="AH342" i="2" s="1"/>
  <c r="AH265" i="2"/>
  <c r="Z251" i="2"/>
  <c r="AK243" i="2"/>
  <c r="AK342" i="2" s="1"/>
  <c r="AJ243" i="2"/>
  <c r="AJ342" i="2" s="1"/>
  <c r="AJ265" i="2"/>
  <c r="AJ269" i="2" s="1"/>
  <c r="Z331" i="2"/>
  <c r="AD342" i="2"/>
  <c r="AD245" i="2"/>
  <c r="AD244" i="2"/>
  <c r="AG246" i="2"/>
  <c r="Y258" i="2"/>
  <c r="Y259" i="2" s="1"/>
  <c r="AG247" i="2"/>
  <c r="AE342" i="2"/>
  <c r="AE244" i="2"/>
  <c r="AE245" i="2"/>
  <c r="AA331" i="2"/>
  <c r="AB331" i="2"/>
  <c r="AF244" i="2"/>
  <c r="AI269" i="2"/>
  <c r="AI245" i="2"/>
  <c r="AJ244" i="2"/>
  <c r="AD331" i="2"/>
  <c r="AD12" i="5"/>
  <c r="AC12" i="5"/>
  <c r="R18" i="5"/>
  <c r="R23" i="5" s="1"/>
  <c r="S22" i="5"/>
  <c r="S18" i="5"/>
  <c r="AT70" i="2" s="1"/>
  <c r="L17" i="2"/>
  <c r="M71" i="7" l="1"/>
  <c r="M65" i="7"/>
  <c r="M62" i="7"/>
  <c r="N27" i="7"/>
  <c r="L68" i="7"/>
  <c r="L72" i="7"/>
  <c r="L48" i="7"/>
  <c r="L36" i="7"/>
  <c r="L52" i="7" s="1"/>
  <c r="C38" i="7"/>
  <c r="F72" i="7"/>
  <c r="C37" i="7"/>
  <c r="F54" i="7"/>
  <c r="E52" i="7"/>
  <c r="M72" i="7"/>
  <c r="M57" i="7"/>
  <c r="M63" i="7"/>
  <c r="L63" i="7"/>
  <c r="L64" i="7"/>
  <c r="L46" i="7"/>
  <c r="L50" i="7"/>
  <c r="C48" i="7"/>
  <c r="C39" i="7"/>
  <c r="G25" i="7"/>
  <c r="C43" i="7"/>
  <c r="C52" i="7" s="1"/>
  <c r="G54" i="7"/>
  <c r="AM209" i="2"/>
  <c r="K55" i="7"/>
  <c r="M64" i="7"/>
  <c r="M58" i="7"/>
  <c r="M27" i="7"/>
  <c r="M28" i="7" s="1"/>
  <c r="L66" i="7"/>
  <c r="L65" i="7"/>
  <c r="L73" i="7" s="1"/>
  <c r="L44" i="7"/>
  <c r="L47" i="7"/>
  <c r="L49" i="7"/>
  <c r="L70" i="7"/>
  <c r="C47" i="7"/>
  <c r="F65" i="7"/>
  <c r="C40" i="7"/>
  <c r="AD208" i="2"/>
  <c r="L67" i="7"/>
  <c r="L38" i="7"/>
  <c r="L42" i="7"/>
  <c r="L54" i="7" s="1"/>
  <c r="L45" i="7"/>
  <c r="P25" i="7"/>
  <c r="L26" i="7"/>
  <c r="F61" i="7"/>
  <c r="F62" i="7"/>
  <c r="C50" i="7"/>
  <c r="C41" i="7"/>
  <c r="M70" i="7"/>
  <c r="M67" i="7"/>
  <c r="L59" i="7"/>
  <c r="AM206" i="2"/>
  <c r="M66" i="7"/>
  <c r="L43" i="7"/>
  <c r="F57" i="7"/>
  <c r="F68" i="7"/>
  <c r="F59" i="7"/>
  <c r="F71" i="7"/>
  <c r="M59" i="7"/>
  <c r="L69" i="7"/>
  <c r="L60" i="7"/>
  <c r="L25" i="7"/>
  <c r="L39" i="7"/>
  <c r="L41" i="7"/>
  <c r="F64" i="7"/>
  <c r="F67" i="7"/>
  <c r="C42" i="7"/>
  <c r="AD206" i="2"/>
  <c r="AJ211" i="2"/>
  <c r="M26" i="7"/>
  <c r="M68" i="7"/>
  <c r="L71" i="7"/>
  <c r="L58" i="7"/>
  <c r="L57" i="7"/>
  <c r="F60" i="7"/>
  <c r="C36" i="7"/>
  <c r="C44" i="7"/>
  <c r="C46" i="7"/>
  <c r="AE24" i="7"/>
  <c r="H55" i="7"/>
  <c r="AI211" i="2"/>
  <c r="H56" i="3"/>
  <c r="I57" i="3"/>
  <c r="Z326" i="2"/>
  <c r="AA34" i="2"/>
  <c r="AD48" i="2"/>
  <c r="AF331" i="2"/>
  <c r="G52" i="7"/>
  <c r="H52" i="7"/>
  <c r="I73" i="7"/>
  <c r="F52" i="7"/>
  <c r="AB329" i="2"/>
  <c r="AJ145" i="2"/>
  <c r="AF146" i="2"/>
  <c r="AG146" i="2"/>
  <c r="AC329" i="2"/>
  <c r="AF46" i="2"/>
  <c r="I53" i="3"/>
  <c r="E55" i="3"/>
  <c r="E54" i="3"/>
  <c r="F54" i="3"/>
  <c r="C277" i="25"/>
  <c r="C243" i="25"/>
  <c r="C206" i="25"/>
  <c r="C171" i="25"/>
  <c r="C136" i="25"/>
  <c r="AA102" i="25"/>
  <c r="AA243" i="25"/>
  <c r="AA171" i="25"/>
  <c r="AA277" i="25"/>
  <c r="AA206" i="25"/>
  <c r="M50" i="20"/>
  <c r="M27" i="20"/>
  <c r="M53" i="20"/>
  <c r="L53" i="31"/>
  <c r="AB71" i="25" s="1"/>
  <c r="AQ239" i="2" s="1"/>
  <c r="AF221" i="2" s="1"/>
  <c r="N53" i="31"/>
  <c r="AD71" i="25" s="1"/>
  <c r="AS239" i="2" s="1"/>
  <c r="AH221" i="2" s="1"/>
  <c r="AD285" i="25"/>
  <c r="AC35" i="2"/>
  <c r="AL39" i="2"/>
  <c r="AL49" i="2"/>
  <c r="AL30" i="2"/>
  <c r="D23" i="5"/>
  <c r="H19" i="5"/>
  <c r="AE70" i="2"/>
  <c r="H21" i="5"/>
  <c r="AL144" i="2"/>
  <c r="C38" i="20"/>
  <c r="C47" i="20"/>
  <c r="C39" i="20"/>
  <c r="C43" i="20"/>
  <c r="C49" i="20"/>
  <c r="C45" i="20"/>
  <c r="C42" i="20"/>
  <c r="C53" i="20"/>
  <c r="C51" i="20"/>
  <c r="G27" i="20"/>
  <c r="C37" i="20"/>
  <c r="C40" i="20"/>
  <c r="F28" i="20"/>
  <c r="C54" i="20"/>
  <c r="C44" i="20"/>
  <c r="C36" i="20"/>
  <c r="AD177" i="2"/>
  <c r="AH179" i="2" s="1"/>
  <c r="C41" i="20"/>
  <c r="C48" i="20"/>
  <c r="C50" i="20"/>
  <c r="C46" i="20"/>
  <c r="AM144" i="2"/>
  <c r="M54" i="3"/>
  <c r="P53" i="3"/>
  <c r="L55" i="3"/>
  <c r="AB41" i="3"/>
  <c r="J94" i="30"/>
  <c r="M94" i="30"/>
  <c r="AB73" i="25" s="1"/>
  <c r="AQ241" i="2" s="1"/>
  <c r="AR247" i="2" s="1"/>
  <c r="AB280" i="25"/>
  <c r="S73" i="25"/>
  <c r="AA280" i="25"/>
  <c r="L94" i="30"/>
  <c r="AA73" i="25" s="1"/>
  <c r="AP241" i="2" s="1"/>
  <c r="X281" i="25"/>
  <c r="I94" i="30"/>
  <c r="X73" i="25" s="1"/>
  <c r="AM241" i="2" s="1"/>
  <c r="Q94" i="30"/>
  <c r="AF73" i="25" s="1"/>
  <c r="AU241" i="2" s="1"/>
  <c r="AJ223" i="2" s="1"/>
  <c r="H94" i="30"/>
  <c r="W73" i="25" s="1"/>
  <c r="AL241" i="2" s="1"/>
  <c r="W281" i="25"/>
  <c r="O178" i="25"/>
  <c r="N269" i="2"/>
  <c r="R269" i="2"/>
  <c r="N55" i="28"/>
  <c r="AC138" i="25"/>
  <c r="AC142" i="25" s="1"/>
  <c r="AE331" i="2"/>
  <c r="AE38" i="2"/>
  <c r="E32" i="6"/>
  <c r="I23" i="6"/>
  <c r="J24" i="6"/>
  <c r="AI39" i="2"/>
  <c r="AI30" i="2"/>
  <c r="AM39" i="2"/>
  <c r="AE39" i="2"/>
  <c r="AE43" i="2"/>
  <c r="AE30" i="2"/>
  <c r="AE49" i="2"/>
  <c r="AE45" i="2"/>
  <c r="AE48" i="2" s="1"/>
  <c r="D59" i="3"/>
  <c r="T67" i="7"/>
  <c r="R51" i="7"/>
  <c r="R44" i="7"/>
  <c r="R46" i="7"/>
  <c r="R39" i="7"/>
  <c r="S27" i="7"/>
  <c r="R38" i="7"/>
  <c r="R47" i="7"/>
  <c r="S58" i="7"/>
  <c r="R50" i="7"/>
  <c r="R43" i="7"/>
  <c r="S66" i="7"/>
  <c r="R45" i="7"/>
  <c r="AS206" i="2"/>
  <c r="AO330" i="2" s="1"/>
  <c r="S72" i="7"/>
  <c r="R41" i="7"/>
  <c r="AS208" i="2"/>
  <c r="AS209" i="2" s="1"/>
  <c r="R36" i="7"/>
  <c r="C102" i="25"/>
  <c r="F210" i="27"/>
  <c r="T69" i="25" s="1"/>
  <c r="AD207" i="25"/>
  <c r="P64" i="29"/>
  <c r="J64" i="29"/>
  <c r="X208" i="25"/>
  <c r="X212" i="25" s="1"/>
  <c r="L64" i="29"/>
  <c r="Z207" i="25"/>
  <c r="Z212" i="25" s="1"/>
  <c r="F64" i="29"/>
  <c r="T208" i="25"/>
  <c r="AB74" i="25"/>
  <c r="E64" i="29"/>
  <c r="S210" i="25"/>
  <c r="S212" i="25" s="1"/>
  <c r="M64" i="29"/>
  <c r="AA210" i="25"/>
  <c r="AA212" i="25" s="1"/>
  <c r="N94" i="30"/>
  <c r="AC73" i="25" s="1"/>
  <c r="AR241" i="2" s="1"/>
  <c r="AC279" i="25"/>
  <c r="AC285" i="25" s="1"/>
  <c r="G64" i="30"/>
  <c r="V73" i="25"/>
  <c r="O94" i="30"/>
  <c r="AD73" i="25" s="1"/>
  <c r="AS241" i="2" s="1"/>
  <c r="AH223" i="2" s="1"/>
  <c r="U280" i="25"/>
  <c r="U285" i="25" s="1"/>
  <c r="F94" i="30"/>
  <c r="AF30" i="2"/>
  <c r="AF49" i="2"/>
  <c r="AN45" i="2"/>
  <c r="M59" i="3"/>
  <c r="AN145" i="2"/>
  <c r="AK269" i="2"/>
  <c r="AH269" i="2"/>
  <c r="H57" i="3"/>
  <c r="H25" i="3"/>
  <c r="L25" i="3"/>
  <c r="AI41" i="2"/>
  <c r="N57" i="3"/>
  <c r="N56" i="3"/>
  <c r="S142" i="25"/>
  <c r="E177" i="25"/>
  <c r="W70" i="25"/>
  <c r="AL238" i="2" s="1"/>
  <c r="H38" i="28"/>
  <c r="O55" i="28"/>
  <c r="AD139" i="25"/>
  <c r="AD142" i="25" s="1"/>
  <c r="F38" i="28"/>
  <c r="U70" i="25"/>
  <c r="M55" i="28"/>
  <c r="AB140" i="25"/>
  <c r="S70" i="25"/>
  <c r="D38" i="28"/>
  <c r="AA70" i="25"/>
  <c r="AP238" i="2" s="1"/>
  <c r="AE220" i="2" s="1"/>
  <c r="L38" i="28"/>
  <c r="J38" i="28"/>
  <c r="Y70" i="25"/>
  <c r="AN238" i="2" s="1"/>
  <c r="U209" i="25"/>
  <c r="U212" i="25" s="1"/>
  <c r="G64" i="29"/>
  <c r="AC209" i="25"/>
  <c r="O64" i="29"/>
  <c r="W207" i="25"/>
  <c r="W212" i="25" s="1"/>
  <c r="I64" i="29"/>
  <c r="L32" i="7"/>
  <c r="P32" i="7"/>
  <c r="L342" i="2"/>
  <c r="M244" i="2"/>
  <c r="I331" i="2"/>
  <c r="Y342" i="2"/>
  <c r="Y245" i="2"/>
  <c r="U245" i="2"/>
  <c r="R331" i="2"/>
  <c r="U342" i="2"/>
  <c r="U246" i="2"/>
  <c r="V244" i="2"/>
  <c r="AC245" i="2"/>
  <c r="AC342" i="2"/>
  <c r="E64" i="30"/>
  <c r="T73" i="25"/>
  <c r="V137" i="25"/>
  <c r="G55" i="28"/>
  <c r="I55" i="28"/>
  <c r="X137" i="25"/>
  <c r="X142" i="25" s="1"/>
  <c r="F70" i="26"/>
  <c r="T172" i="25"/>
  <c r="T177" i="25" s="1"/>
  <c r="Y175" i="25"/>
  <c r="K70" i="26"/>
  <c r="Y72" i="25" s="1"/>
  <c r="AN240" i="2" s="1"/>
  <c r="W72" i="25"/>
  <c r="AL240" i="2" s="1"/>
  <c r="I48" i="26"/>
  <c r="AB103" i="25"/>
  <c r="AB110" i="25" s="1"/>
  <c r="N210" i="27"/>
  <c r="AB69" i="25" s="1"/>
  <c r="AQ237" i="2" s="1"/>
  <c r="AF219" i="2" s="1"/>
  <c r="U245" i="25"/>
  <c r="E53" i="31"/>
  <c r="U71" i="25" s="1"/>
  <c r="AK247" i="2"/>
  <c r="K59" i="3"/>
  <c r="AL41" i="2"/>
  <c r="T21" i="5"/>
  <c r="P23" i="5"/>
  <c r="AQ70" i="2"/>
  <c r="AQ72" i="2" s="1"/>
  <c r="T19" i="5"/>
  <c r="S19" i="5"/>
  <c r="AK245" i="2"/>
  <c r="AA258" i="2"/>
  <c r="H59" i="3"/>
  <c r="Q331" i="2"/>
  <c r="R24" i="6"/>
  <c r="T54" i="3"/>
  <c r="AT46" i="2"/>
  <c r="S55" i="3"/>
  <c r="T57" i="3" s="1"/>
  <c r="S53" i="3"/>
  <c r="AA136" i="25"/>
  <c r="Z280" i="25"/>
  <c r="Z285" i="25" s="1"/>
  <c r="T212" i="25"/>
  <c r="AO46" i="2"/>
  <c r="AO49" i="2" s="1"/>
  <c r="Y138" i="25"/>
  <c r="W139" i="25"/>
  <c r="K53" i="31"/>
  <c r="AA71" i="25" s="1"/>
  <c r="AU206" i="2"/>
  <c r="AW208" i="2" s="1"/>
  <c r="O54" i="3"/>
  <c r="P70" i="26"/>
  <c r="AD178" i="25" s="1"/>
  <c r="W280" i="25"/>
  <c r="AA282" i="25"/>
  <c r="AA285" i="25" s="1"/>
  <c r="AF284" i="25"/>
  <c r="AG140" i="25"/>
  <c r="L28" i="7"/>
  <c r="I33" i="6"/>
  <c r="E87" i="20"/>
  <c r="N31" i="6"/>
  <c r="AN330" i="2"/>
  <c r="P39" i="20"/>
  <c r="AJ40" i="20" s="1"/>
  <c r="S103" i="25"/>
  <c r="S110" i="25" s="1"/>
  <c r="AA103" i="25"/>
  <c r="K210" i="27"/>
  <c r="S104" i="25"/>
  <c r="AA104" i="25"/>
  <c r="Y104" i="25"/>
  <c r="Y105" i="25"/>
  <c r="S106" i="25"/>
  <c r="AA106" i="25"/>
  <c r="AA110" i="25" s="1"/>
  <c r="Z107" i="25"/>
  <c r="W108" i="25"/>
  <c r="U108" i="25"/>
  <c r="AC108" i="25"/>
  <c r="Z109" i="25"/>
  <c r="S138" i="25"/>
  <c r="W140" i="25"/>
  <c r="W142" i="25" s="1"/>
  <c r="AF279" i="25"/>
  <c r="AE280" i="25"/>
  <c r="G31" i="6"/>
  <c r="N53" i="4"/>
  <c r="U142" i="25"/>
  <c r="U177" i="25"/>
  <c r="U178" i="25" s="1"/>
  <c r="AM38" i="2"/>
  <c r="E89" i="20"/>
  <c r="K31" i="6"/>
  <c r="Q30" i="7"/>
  <c r="AR144" i="2"/>
  <c r="S30" i="7"/>
  <c r="W178" i="25"/>
  <c r="I54" i="3"/>
  <c r="G32" i="7"/>
  <c r="Q59" i="3"/>
  <c r="AA253" i="2"/>
  <c r="AB253" i="2" s="1"/>
  <c r="T139" i="25"/>
  <c r="T142" i="25" s="1"/>
  <c r="AB139" i="25"/>
  <c r="S140" i="25"/>
  <c r="V208" i="25"/>
  <c r="V212" i="25" s="1"/>
  <c r="AD208" i="25"/>
  <c r="AD212" i="25" s="1"/>
  <c r="S280" i="25"/>
  <c r="S285" i="25" s="1"/>
  <c r="T49" i="7"/>
  <c r="E83" i="20"/>
  <c r="AQ20" i="26"/>
  <c r="AQ23" i="26"/>
  <c r="I210" i="27"/>
  <c r="W69" i="25" s="1"/>
  <c r="V107" i="25"/>
  <c r="AD107" i="25"/>
  <c r="AA108" i="25"/>
  <c r="AA140" i="25"/>
  <c r="AF281" i="25"/>
  <c r="AL179" i="2"/>
  <c r="M43" i="20"/>
  <c r="P69" i="20"/>
  <c r="P51" i="20"/>
  <c r="AJ42" i="20" s="1"/>
  <c r="M54" i="20"/>
  <c r="AM178" i="2"/>
  <c r="AL178" i="2"/>
  <c r="N69" i="20"/>
  <c r="M28" i="20"/>
  <c r="M52" i="20"/>
  <c r="AN177" i="2"/>
  <c r="O75" i="20"/>
  <c r="E84" i="20"/>
  <c r="AQ177" i="2"/>
  <c r="AQ179" i="2" s="1"/>
  <c r="P44" i="20"/>
  <c r="AJ41" i="20" s="1"/>
  <c r="P36" i="20"/>
  <c r="N68" i="20"/>
  <c r="M37" i="20"/>
  <c r="M39" i="20"/>
  <c r="AG40" i="20" s="1"/>
  <c r="M48" i="20"/>
  <c r="M51" i="20"/>
  <c r="AG42" i="20" s="1"/>
  <c r="M46" i="20"/>
  <c r="O73" i="20"/>
  <c r="P27" i="20"/>
  <c r="P72" i="20"/>
  <c r="P43" i="20"/>
  <c r="P46" i="20"/>
  <c r="P50" i="20"/>
  <c r="M44" i="20"/>
  <c r="AG41" i="20" s="1"/>
  <c r="M47" i="20"/>
  <c r="M42" i="20"/>
  <c r="O74" i="20"/>
  <c r="P61" i="20"/>
  <c r="P59" i="20"/>
  <c r="P53" i="20"/>
  <c r="N36" i="20"/>
  <c r="AQ178" i="2"/>
  <c r="T53" i="20"/>
  <c r="M36" i="20"/>
  <c r="T44" i="7"/>
  <c r="T41" i="7"/>
  <c r="T38" i="7"/>
  <c r="T50" i="7"/>
  <c r="T47" i="7"/>
  <c r="T39" i="7"/>
  <c r="R37" i="7"/>
  <c r="T45" i="7"/>
  <c r="T46" i="7"/>
  <c r="T70" i="7"/>
  <c r="T64" i="7"/>
  <c r="AT208" i="2"/>
  <c r="S26" i="7"/>
  <c r="S67" i="7"/>
  <c r="S60" i="7"/>
  <c r="S57" i="7"/>
  <c r="S47" i="7"/>
  <c r="T68" i="7"/>
  <c r="T36" i="7"/>
  <c r="AU209" i="2"/>
  <c r="N54" i="7"/>
  <c r="N55" i="7" s="1"/>
  <c r="AO207" i="2"/>
  <c r="T25" i="7"/>
  <c r="AV207" i="2"/>
  <c r="AW207" i="2" s="1"/>
  <c r="U58" i="7"/>
  <c r="U65" i="7"/>
  <c r="U71" i="7"/>
  <c r="U57" i="7"/>
  <c r="U27" i="7"/>
  <c r="U70" i="7"/>
  <c r="U62" i="7"/>
  <c r="U72" i="7"/>
  <c r="U64" i="7"/>
  <c r="U60" i="7"/>
  <c r="U67" i="7"/>
  <c r="U68" i="7"/>
  <c r="U59" i="7"/>
  <c r="U66" i="7"/>
  <c r="U25" i="7"/>
  <c r="X24" i="7"/>
  <c r="W24" i="7"/>
  <c r="T51" i="7"/>
  <c r="U26" i="7"/>
  <c r="Y24" i="7"/>
  <c r="R32" i="7"/>
  <c r="AR330" i="2"/>
  <c r="T37" i="7"/>
  <c r="S64" i="7"/>
  <c r="T65" i="7"/>
  <c r="T26" i="7"/>
  <c r="P54" i="7"/>
  <c r="AQ212" i="2" s="1"/>
  <c r="U23" i="6"/>
  <c r="L11" i="2" s="1"/>
  <c r="W22" i="6"/>
  <c r="X22" i="6"/>
  <c r="R31" i="6"/>
  <c r="U24" i="6"/>
  <c r="Y22" i="6"/>
  <c r="T23" i="6"/>
  <c r="K17" i="2" s="1"/>
  <c r="S23" i="6"/>
  <c r="P33" i="6"/>
  <c r="AU144" i="2"/>
  <c r="Q32" i="6"/>
  <c r="U33" i="6" s="1"/>
  <c r="AC18" i="5"/>
  <c r="O23" i="5"/>
  <c r="R19" i="5"/>
  <c r="S23" i="5"/>
  <c r="AS70" i="2"/>
  <c r="AO55" i="2" s="1"/>
  <c r="H68" i="2" s="1"/>
  <c r="F11" i="2" s="1"/>
  <c r="AR70" i="2"/>
  <c r="U21" i="5"/>
  <c r="X18" i="5"/>
  <c r="W18" i="5"/>
  <c r="AO71" i="2"/>
  <c r="AU70" i="2"/>
  <c r="AR94" i="2"/>
  <c r="AO327" i="2" s="1"/>
  <c r="U24" i="4"/>
  <c r="L9" i="2" s="1"/>
  <c r="P54" i="3"/>
  <c r="AR46" i="2"/>
  <c r="U53" i="3"/>
  <c r="AT42" i="2"/>
  <c r="AU46" i="2"/>
  <c r="U54" i="3"/>
  <c r="S59" i="3"/>
  <c r="AK326" i="2"/>
  <c r="N26" i="3"/>
  <c r="N52" i="31"/>
  <c r="AD246" i="25" s="1"/>
  <c r="AB282" i="25"/>
  <c r="Y281" i="25"/>
  <c r="W285" i="25"/>
  <c r="AE281" i="25"/>
  <c r="R64" i="29"/>
  <c r="R65" i="29" s="1"/>
  <c r="AF207" i="25"/>
  <c r="Q64" i="29"/>
  <c r="AE74" i="25" s="1"/>
  <c r="Z139" i="25"/>
  <c r="AE141" i="25"/>
  <c r="AF141" i="25"/>
  <c r="AF142" i="25" s="1"/>
  <c r="P142" i="25"/>
  <c r="R142" i="25"/>
  <c r="AH140" i="25"/>
  <c r="W138" i="25"/>
  <c r="W103" i="25"/>
  <c r="Z177" i="25"/>
  <c r="AB177" i="25"/>
  <c r="AB178" i="25" s="1"/>
  <c r="R177" i="25"/>
  <c r="R178" i="25" s="1"/>
  <c r="O53" i="31"/>
  <c r="AE71" i="25" s="1"/>
  <c r="P71" i="25"/>
  <c r="P75" i="25" s="1"/>
  <c r="P38" i="25" s="1"/>
  <c r="AP239" i="2"/>
  <c r="AE221" i="2" s="1"/>
  <c r="K52" i="31"/>
  <c r="AA246" i="25" s="1"/>
  <c r="M52" i="31"/>
  <c r="AC246" i="25" s="1"/>
  <c r="AF282" i="25"/>
  <c r="P94" i="30"/>
  <c r="AE223" i="2"/>
  <c r="X285" i="25"/>
  <c r="Y285" i="25"/>
  <c r="AE282" i="25"/>
  <c r="AF209" i="25"/>
  <c r="AF211" i="25"/>
  <c r="AH211" i="25"/>
  <c r="J75" i="25"/>
  <c r="J38" i="25" s="1"/>
  <c r="I75" i="25"/>
  <c r="I38" i="25" s="1"/>
  <c r="Q65" i="29"/>
  <c r="AC212" i="25"/>
  <c r="AG211" i="25"/>
  <c r="AF210" i="25"/>
  <c r="AE211" i="25"/>
  <c r="R212" i="25"/>
  <c r="AE207" i="25"/>
  <c r="P55" i="28"/>
  <c r="AE70" i="25" s="1"/>
  <c r="R55" i="28"/>
  <c r="AG70" i="25" s="1"/>
  <c r="AV238" i="2" s="1"/>
  <c r="AK220" i="2" s="1"/>
  <c r="AE139" i="25"/>
  <c r="AE142" i="25" s="1"/>
  <c r="Q55" i="28"/>
  <c r="AG139" i="25"/>
  <c r="AH138" i="25"/>
  <c r="AH139" i="25"/>
  <c r="Q142" i="25"/>
  <c r="S55" i="28"/>
  <c r="C75" i="25"/>
  <c r="C38" i="25" s="1"/>
  <c r="G75" i="25"/>
  <c r="G38" i="25" s="1"/>
  <c r="V138" i="25"/>
  <c r="V142" i="25" s="1"/>
  <c r="Z138" i="25"/>
  <c r="Z142" i="25" s="1"/>
  <c r="AA142" i="25"/>
  <c r="AH141" i="25"/>
  <c r="F75" i="25"/>
  <c r="F38" i="25" s="1"/>
  <c r="Y142" i="25"/>
  <c r="L75" i="25"/>
  <c r="L38" i="25" s="1"/>
  <c r="W110" i="25"/>
  <c r="X108" i="25"/>
  <c r="X109" i="25"/>
  <c r="C110" i="25"/>
  <c r="G110" i="25"/>
  <c r="K110" i="25"/>
  <c r="P110" i="25"/>
  <c r="E110" i="25"/>
  <c r="N110" i="25"/>
  <c r="U69" i="25"/>
  <c r="F141" i="27"/>
  <c r="H110" i="25"/>
  <c r="D75" i="25"/>
  <c r="D38" i="25" s="1"/>
  <c r="X110" i="25"/>
  <c r="T110" i="25"/>
  <c r="M75" i="25"/>
  <c r="M38" i="25" s="1"/>
  <c r="N41" i="25" s="1"/>
  <c r="AH105" i="25"/>
  <c r="AE103" i="25"/>
  <c r="U110" i="25"/>
  <c r="AC110" i="25"/>
  <c r="AE105" i="25"/>
  <c r="AE106" i="25"/>
  <c r="AF107" i="25"/>
  <c r="V108" i="25"/>
  <c r="Z108" i="25"/>
  <c r="Z110" i="25" s="1"/>
  <c r="I110" i="25"/>
  <c r="Y110" i="25"/>
  <c r="AD110" i="25"/>
  <c r="D110" i="25"/>
  <c r="M110" i="25"/>
  <c r="V110" i="25"/>
  <c r="F110" i="25"/>
  <c r="J110" i="25"/>
  <c r="O69" i="25"/>
  <c r="AL237" i="2"/>
  <c r="AL265" i="2" s="1"/>
  <c r="AL269" i="2" s="1"/>
  <c r="Y69" i="25"/>
  <c r="AN237" i="2" s="1"/>
  <c r="P210" i="27"/>
  <c r="E210" i="27"/>
  <c r="AF108" i="25"/>
  <c r="S146" i="27"/>
  <c r="L210" i="27"/>
  <c r="M210" i="27"/>
  <c r="J210" i="27"/>
  <c r="R210" i="27"/>
  <c r="K75" i="25"/>
  <c r="K38" i="25" s="1"/>
  <c r="H210" i="27"/>
  <c r="O210" i="27"/>
  <c r="H75" i="25"/>
  <c r="H38" i="25" s="1"/>
  <c r="AF103" i="25"/>
  <c r="AE108" i="25"/>
  <c r="AF104" i="25"/>
  <c r="AE107" i="25"/>
  <c r="Q210" i="27"/>
  <c r="AF105" i="25"/>
  <c r="AF106" i="25"/>
  <c r="AE109" i="25"/>
  <c r="AG105" i="25"/>
  <c r="AD72" i="25"/>
  <c r="AS240" i="2" s="1"/>
  <c r="L70" i="26"/>
  <c r="Z178" i="25" s="1"/>
  <c r="Y176" i="25"/>
  <c r="Y177" i="25" s="1"/>
  <c r="Y178" i="25" s="1"/>
  <c r="AC176" i="25"/>
  <c r="AC177" i="25" s="1"/>
  <c r="AC178" i="25" s="1"/>
  <c r="T57" i="26"/>
  <c r="AH172" i="25" s="1"/>
  <c r="S57" i="26"/>
  <c r="AG172" i="25" s="1"/>
  <c r="T61" i="26"/>
  <c r="S61" i="26"/>
  <c r="T65" i="26"/>
  <c r="S65" i="26"/>
  <c r="T63" i="26"/>
  <c r="AH175" i="25" s="1"/>
  <c r="T66" i="26"/>
  <c r="S66" i="26"/>
  <c r="T59" i="26"/>
  <c r="S59" i="26"/>
  <c r="T67" i="26"/>
  <c r="Q177" i="25"/>
  <c r="Q178" i="25" s="1"/>
  <c r="T51" i="20"/>
  <c r="T48" i="20"/>
  <c r="T46" i="20"/>
  <c r="T44" i="20"/>
  <c r="T39" i="20"/>
  <c r="T50" i="20"/>
  <c r="AU179" i="2"/>
  <c r="T27" i="20"/>
  <c r="T52" i="20"/>
  <c r="T43" i="20"/>
  <c r="T36" i="20"/>
  <c r="T37" i="20"/>
  <c r="T47" i="20"/>
  <c r="T54" i="20"/>
  <c r="O65" i="20"/>
  <c r="O66" i="20"/>
  <c r="O64" i="20"/>
  <c r="P73" i="20"/>
  <c r="P68" i="20"/>
  <c r="P74" i="20"/>
  <c r="N54" i="20"/>
  <c r="N43" i="20"/>
  <c r="N53" i="20"/>
  <c r="R27" i="20"/>
  <c r="O72" i="20"/>
  <c r="N66" i="20"/>
  <c r="N70" i="20"/>
  <c r="N58" i="20"/>
  <c r="N73" i="20"/>
  <c r="N28" i="20"/>
  <c r="N50" i="20"/>
  <c r="AN179" i="2"/>
  <c r="AN178" i="2"/>
  <c r="O61" i="20"/>
  <c r="O68" i="20"/>
  <c r="P66" i="20"/>
  <c r="P75" i="20"/>
  <c r="P64" i="20"/>
  <c r="N44" i="20"/>
  <c r="AH41" i="20" s="1"/>
  <c r="N39" i="20"/>
  <c r="AH40" i="20" s="1"/>
  <c r="N47" i="20"/>
  <c r="AO177" i="2"/>
  <c r="AP178" i="2" s="1"/>
  <c r="N64" i="20"/>
  <c r="N61" i="20"/>
  <c r="N59" i="20"/>
  <c r="O58" i="20"/>
  <c r="N27" i="20"/>
  <c r="O70" i="20"/>
  <c r="O69" i="20"/>
  <c r="P70" i="20"/>
  <c r="P65" i="20"/>
  <c r="N48" i="20"/>
  <c r="N42" i="20"/>
  <c r="O59" i="20"/>
  <c r="P58" i="20"/>
  <c r="N65" i="20"/>
  <c r="N75" i="20"/>
  <c r="U52" i="20"/>
  <c r="U47" i="20"/>
  <c r="U39" i="20"/>
  <c r="U51" i="20"/>
  <c r="U46" i="20"/>
  <c r="U37" i="20"/>
  <c r="U54" i="20"/>
  <c r="U50" i="20"/>
  <c r="U44" i="20"/>
  <c r="U36" i="20"/>
  <c r="U53" i="20"/>
  <c r="U48" i="20"/>
  <c r="U43" i="20"/>
  <c r="S26" i="20"/>
  <c r="U75" i="20" s="1"/>
  <c r="AN39" i="2"/>
  <c r="AN30" i="2"/>
  <c r="AJ43" i="2"/>
  <c r="AJ39" i="2"/>
  <c r="AB35" i="2"/>
  <c r="AD30" i="2"/>
  <c r="AD39" i="2"/>
  <c r="AA35" i="2"/>
  <c r="AD43" i="2"/>
  <c r="AD49" i="2"/>
  <c r="AH30" i="2"/>
  <c r="AH39" i="2"/>
  <c r="W46" i="3"/>
  <c r="U47" i="3"/>
  <c r="G10" i="2" s="1"/>
  <c r="X46" i="3"/>
  <c r="AU42" i="2"/>
  <c r="AW42" i="2" s="1"/>
  <c r="Y46" i="3"/>
  <c r="U48" i="3"/>
  <c r="AJ49" i="2"/>
  <c r="D57" i="3"/>
  <c r="AR42" i="2"/>
  <c r="AX42" i="2" s="1"/>
  <c r="AH38" i="2"/>
  <c r="AD326" i="2"/>
  <c r="AB34" i="2"/>
  <c r="AH43" i="2"/>
  <c r="AH48" i="2"/>
  <c r="AE326" i="2"/>
  <c r="AU41" i="2"/>
  <c r="AW41" i="2" s="1"/>
  <c r="Y24" i="3"/>
  <c r="AJ326" i="2"/>
  <c r="AC34" i="2"/>
  <c r="AF48" i="2"/>
  <c r="J26" i="3"/>
  <c r="J27" i="3" s="1"/>
  <c r="G59" i="3"/>
  <c r="R26" i="3"/>
  <c r="R27" i="3" s="1"/>
  <c r="AI326" i="2"/>
  <c r="AB326" i="2"/>
  <c r="AN48" i="2"/>
  <c r="AO38" i="2"/>
  <c r="AL38" i="2"/>
  <c r="K25" i="3"/>
  <c r="N25" i="3"/>
  <c r="AF43" i="2"/>
  <c r="G25" i="3"/>
  <c r="AR41" i="2"/>
  <c r="AR43" i="2" s="1"/>
  <c r="W24" i="3"/>
  <c r="X24" i="3"/>
  <c r="U25" i="3"/>
  <c r="G9" i="2" s="1"/>
  <c r="S26" i="3"/>
  <c r="T59" i="3"/>
  <c r="AC326" i="2"/>
  <c r="O25" i="3"/>
  <c r="AT48" i="2"/>
  <c r="AR209" i="2"/>
  <c r="AK330" i="2"/>
  <c r="W19" i="20"/>
  <c r="X19" i="20"/>
  <c r="W15" i="20"/>
  <c r="X15" i="20"/>
  <c r="X16" i="20"/>
  <c r="X18" i="20"/>
  <c r="W18" i="20"/>
  <c r="W25" i="20"/>
  <c r="X25" i="20"/>
  <c r="AV177" i="2"/>
  <c r="AV178" i="2" s="1"/>
  <c r="Y26" i="20"/>
  <c r="AW31" i="2"/>
  <c r="AT144" i="2"/>
  <c r="AJ30" i="2"/>
  <c r="S260" i="2"/>
  <c r="AW144" i="2"/>
  <c r="AK244" i="2"/>
  <c r="AJ245" i="2"/>
  <c r="Z260" i="2"/>
  <c r="AK328" i="2"/>
  <c r="AJ328" i="2"/>
  <c r="AO72" i="2"/>
  <c r="AI330" i="2"/>
  <c r="AJ330" i="2"/>
  <c r="L127" i="2"/>
  <c r="AS39" i="2"/>
  <c r="AU207" i="2"/>
  <c r="AV38" i="2"/>
  <c r="AK246" i="2"/>
  <c r="AI342" i="2"/>
  <c r="AI328" i="2"/>
  <c r="X202" i="2"/>
  <c r="AM204" i="2"/>
  <c r="T261" i="2"/>
  <c r="AS30" i="2"/>
  <c r="AU72" i="2"/>
  <c r="AR72" i="2"/>
  <c r="AV39" i="2"/>
  <c r="AV30" i="2"/>
  <c r="AS144" i="2"/>
  <c r="AU48" i="2"/>
  <c r="Q24" i="4"/>
  <c r="AK97" i="2"/>
  <c r="AK31" i="2" s="1"/>
  <c r="AP94" i="2"/>
  <c r="AP98" i="2" s="1"/>
  <c r="P53" i="4"/>
  <c r="N45" i="4"/>
  <c r="J24" i="4"/>
  <c r="AL97" i="2"/>
  <c r="AL31" i="2" s="1"/>
  <c r="M45" i="4"/>
  <c r="G45" i="4"/>
  <c r="AI96" i="2"/>
  <c r="AM98" i="2"/>
  <c r="AF327" i="2"/>
  <c r="O53" i="4"/>
  <c r="M24" i="4"/>
  <c r="AH327" i="2"/>
  <c r="N24" i="4"/>
  <c r="N58" i="4"/>
  <c r="AJ97" i="2"/>
  <c r="AJ31" i="2" s="1"/>
  <c r="AA82" i="2"/>
  <c r="AH96" i="2"/>
  <c r="AD327" i="2"/>
  <c r="AH98" i="2"/>
  <c r="AG98" i="2"/>
  <c r="AK98" i="2"/>
  <c r="X30" i="4"/>
  <c r="W30" i="4"/>
  <c r="X35" i="4"/>
  <c r="W35" i="4"/>
  <c r="X38" i="4"/>
  <c r="W38" i="4"/>
  <c r="X42" i="4"/>
  <c r="W42" i="4"/>
  <c r="X37" i="4"/>
  <c r="W37" i="4"/>
  <c r="J277" i="2"/>
  <c r="Y12" i="4"/>
  <c r="J287" i="2"/>
  <c r="Y20" i="4"/>
  <c r="AL96" i="2"/>
  <c r="AK96" i="2"/>
  <c r="AF94" i="2"/>
  <c r="Z82" i="2" s="1"/>
  <c r="Z84" i="2" s="1"/>
  <c r="G24" i="4"/>
  <c r="W23" i="4"/>
  <c r="X23" i="4"/>
  <c r="J276" i="2"/>
  <c r="Y17" i="4"/>
  <c r="X43" i="4"/>
  <c r="W43" i="4"/>
  <c r="X34" i="4"/>
  <c r="W34" i="4"/>
  <c r="X39" i="4"/>
  <c r="W39" i="4"/>
  <c r="W40" i="4"/>
  <c r="X40" i="4"/>
  <c r="AA83" i="2"/>
  <c r="AD96" i="2"/>
  <c r="AA327" i="2"/>
  <c r="AI327" i="2"/>
  <c r="AE327" i="2"/>
  <c r="AN94" i="2"/>
  <c r="J45" i="4"/>
  <c r="I45" i="4"/>
  <c r="J46" i="4"/>
  <c r="AG96" i="2"/>
  <c r="P24" i="4"/>
  <c r="N47" i="4"/>
  <c r="AO94" i="2"/>
  <c r="X29" i="4"/>
  <c r="W29" i="4"/>
  <c r="AI98" i="2"/>
  <c r="AN95" i="2"/>
  <c r="K24" i="4"/>
  <c r="F46" i="4"/>
  <c r="X33" i="4"/>
  <c r="W33" i="4"/>
  <c r="X31" i="4"/>
  <c r="W31" i="4"/>
  <c r="X41" i="4"/>
  <c r="W41" i="4"/>
  <c r="W32" i="4"/>
  <c r="X32" i="4"/>
  <c r="W36" i="4"/>
  <c r="X36" i="4"/>
  <c r="AD98" i="2"/>
  <c r="AL98" i="2"/>
  <c r="AO95" i="2"/>
  <c r="AB83" i="2" s="1"/>
  <c r="AB85" i="2" s="1"/>
  <c r="R53" i="4"/>
  <c r="AU102" i="2"/>
  <c r="T51" i="4"/>
  <c r="T52" i="4" s="1"/>
  <c r="J275" i="2"/>
  <c r="O44" i="4"/>
  <c r="O47" i="4" s="1"/>
  <c r="S56" i="4"/>
  <c r="T44" i="4"/>
  <c r="T23" i="4"/>
  <c r="Y23" i="4" s="1"/>
  <c r="Q44" i="4"/>
  <c r="U45" i="4" s="1"/>
  <c r="L10" i="2" s="1"/>
  <c r="K16" i="2" s="1"/>
  <c r="O56" i="4"/>
  <c r="S23" i="4"/>
  <c r="S24" i="4" s="1"/>
  <c r="T56" i="4"/>
  <c r="U60" i="4" s="1"/>
  <c r="AT102" i="2"/>
  <c r="R285" i="25"/>
  <c r="AG207" i="25"/>
  <c r="AT71" i="2"/>
  <c r="Q56" i="4"/>
  <c r="U57" i="4" s="1"/>
  <c r="P56" i="4"/>
  <c r="AO212" i="2"/>
  <c r="AS102" i="2"/>
  <c r="R44" i="4"/>
  <c r="S51" i="4"/>
  <c r="S52" i="4" s="1"/>
  <c r="G336" i="2"/>
  <c r="G337" i="2"/>
  <c r="P44" i="4"/>
  <c r="S44" i="4"/>
  <c r="R56" i="4"/>
  <c r="R57" i="4" s="1"/>
  <c r="AT72" i="2"/>
  <c r="AD18" i="5"/>
  <c r="V19" i="5"/>
  <c r="R21" i="5"/>
  <c r="M42" i="7"/>
  <c r="M54" i="7" s="1"/>
  <c r="AK207" i="2"/>
  <c r="AF145" i="2"/>
  <c r="K127" i="2"/>
  <c r="C23" i="5"/>
  <c r="AD70" i="2"/>
  <c r="N24" i="6"/>
  <c r="G32" i="6"/>
  <c r="G23" i="6"/>
  <c r="AG46" i="2"/>
  <c r="AG49" i="2" s="1"/>
  <c r="J53" i="3"/>
  <c r="G58" i="20"/>
  <c r="F36" i="20"/>
  <c r="G59" i="20"/>
  <c r="AG177" i="2"/>
  <c r="H59" i="20"/>
  <c r="I72" i="20"/>
  <c r="H72" i="20"/>
  <c r="G65" i="20"/>
  <c r="G76" i="20" s="1"/>
  <c r="I68" i="20"/>
  <c r="I76" i="20" s="1"/>
  <c r="I73" i="20"/>
  <c r="G72" i="20"/>
  <c r="F50" i="20"/>
  <c r="F37" i="20"/>
  <c r="F40" i="20"/>
  <c r="AO48" i="2"/>
  <c r="S258" i="2"/>
  <c r="J233" i="2" s="1"/>
  <c r="H244" i="2"/>
  <c r="G244" i="2"/>
  <c r="G331" i="2"/>
  <c r="T258" i="2"/>
  <c r="H331" i="2"/>
  <c r="L244" i="2"/>
  <c r="K342" i="2"/>
  <c r="K245" i="2"/>
  <c r="K244" i="2"/>
  <c r="L331" i="2"/>
  <c r="M331" i="2"/>
  <c r="P244" i="2"/>
  <c r="Q244" i="2"/>
  <c r="P245" i="2"/>
  <c r="P342" i="2"/>
  <c r="V258" i="2"/>
  <c r="V259" i="2" s="1"/>
  <c r="P331" i="2"/>
  <c r="U244" i="2"/>
  <c r="U331" i="2"/>
  <c r="X245" i="2"/>
  <c r="W258" i="2"/>
  <c r="Y246" i="2"/>
  <c r="X342" i="2"/>
  <c r="AB342" i="2"/>
  <c r="AB244" i="2"/>
  <c r="AC244" i="2"/>
  <c r="Y331" i="2"/>
  <c r="AB245" i="2"/>
  <c r="AC246" i="2"/>
  <c r="X331" i="2"/>
  <c r="O32" i="6"/>
  <c r="O33" i="6" s="1"/>
  <c r="T47" i="3"/>
  <c r="L16" i="2" s="1"/>
  <c r="P55" i="3"/>
  <c r="AQ42" i="2"/>
  <c r="P47" i="3"/>
  <c r="AS146" i="2"/>
  <c r="AO329" i="2"/>
  <c r="S31" i="6"/>
  <c r="Z258" i="2"/>
  <c r="AH245" i="2"/>
  <c r="AG331" i="2"/>
  <c r="AI244" i="2"/>
  <c r="AI270" i="2"/>
  <c r="AH270" i="2"/>
  <c r="AN55" i="2"/>
  <c r="AM71" i="2"/>
  <c r="AR207" i="2"/>
  <c r="E23" i="5"/>
  <c r="I21" i="5"/>
  <c r="G23" i="5"/>
  <c r="N20" i="5"/>
  <c r="G19" i="5"/>
  <c r="AH70" i="2"/>
  <c r="J20" i="5"/>
  <c r="G21" i="5"/>
  <c r="AH46" i="2"/>
  <c r="AH49" i="2" s="1"/>
  <c r="G54" i="3"/>
  <c r="K53" i="3"/>
  <c r="G53" i="3"/>
  <c r="AP72" i="2"/>
  <c r="P59" i="3"/>
  <c r="AQ45" i="2"/>
  <c r="AU146" i="2"/>
  <c r="AP329" i="2"/>
  <c r="AT146" i="2"/>
  <c r="S21" i="5"/>
  <c r="AH244" i="2"/>
  <c r="AM72" i="2"/>
  <c r="AN207" i="2"/>
  <c r="AJ329" i="2"/>
  <c r="AE95" i="2"/>
  <c r="H45" i="4"/>
  <c r="AK39" i="2"/>
  <c r="AO30" i="2"/>
  <c r="AI46" i="2"/>
  <c r="AI49" i="2" s="1"/>
  <c r="H53" i="3"/>
  <c r="D47" i="7"/>
  <c r="D41" i="7"/>
  <c r="D49" i="7"/>
  <c r="D44" i="7"/>
  <c r="D37" i="7"/>
  <c r="D39" i="7"/>
  <c r="AE208" i="2"/>
  <c r="AE209" i="2" s="1"/>
  <c r="D45" i="7"/>
  <c r="G70" i="7"/>
  <c r="D38" i="7"/>
  <c r="D40" i="7"/>
  <c r="F33" i="7"/>
  <c r="F66" i="7"/>
  <c r="G62" i="7"/>
  <c r="G66" i="7"/>
  <c r="G67" i="7"/>
  <c r="F69" i="7"/>
  <c r="AE206" i="2"/>
  <c r="F70" i="7"/>
  <c r="D48" i="7"/>
  <c r="D51" i="7"/>
  <c r="D46" i="7"/>
  <c r="D36" i="7"/>
  <c r="H25" i="7"/>
  <c r="F58" i="7"/>
  <c r="G71" i="7"/>
  <c r="N59" i="3"/>
  <c r="P30" i="7"/>
  <c r="O30" i="7"/>
  <c r="P52" i="7"/>
  <c r="S54" i="3"/>
  <c r="R54" i="3"/>
  <c r="AS46" i="2"/>
  <c r="AS49" i="2" s="1"/>
  <c r="R55" i="3"/>
  <c r="R53" i="3"/>
  <c r="AQ329" i="2"/>
  <c r="U269" i="2"/>
  <c r="Q269" i="2"/>
  <c r="J23" i="5"/>
  <c r="J19" i="5"/>
  <c r="L53" i="3"/>
  <c r="L54" i="3"/>
  <c r="AM46" i="2"/>
  <c r="AM49" i="2" s="1"/>
  <c r="AG329" i="2"/>
  <c r="AJ146" i="2"/>
  <c r="J26" i="7"/>
  <c r="J33" i="7"/>
  <c r="J34" i="7" s="1"/>
  <c r="J49" i="7"/>
  <c r="K70" i="7"/>
  <c r="K26" i="7"/>
  <c r="J59" i="7"/>
  <c r="J51" i="7"/>
  <c r="K66" i="7"/>
  <c r="K71" i="7"/>
  <c r="J45" i="7"/>
  <c r="K63" i="7"/>
  <c r="J27" i="7"/>
  <c r="J64" i="7"/>
  <c r="J71" i="7"/>
  <c r="J46" i="7"/>
  <c r="J54" i="7" s="1"/>
  <c r="J68" i="7"/>
  <c r="J62" i="7"/>
  <c r="AF24" i="7"/>
  <c r="Z270" i="2"/>
  <c r="AO144" i="2"/>
  <c r="AS145" i="2" s="1"/>
  <c r="S47" i="3"/>
  <c r="O55" i="3"/>
  <c r="R49" i="3"/>
  <c r="R50" i="3" s="1"/>
  <c r="O47" i="3"/>
  <c r="AP42" i="2"/>
  <c r="AP144" i="2"/>
  <c r="AQ242" i="2"/>
  <c r="AF224" i="2" s="1"/>
  <c r="AS247" i="2"/>
  <c r="AG223" i="2"/>
  <c r="AO43" i="2"/>
  <c r="N52" i="7"/>
  <c r="AP41" i="2"/>
  <c r="O31" i="7"/>
  <c r="O24" i="7"/>
  <c r="O58" i="7" s="1"/>
  <c r="AQ94" i="2"/>
  <c r="AC82" i="2" s="1"/>
  <c r="AQ144" i="2"/>
  <c r="AN329" i="2" s="1"/>
  <c r="Q53" i="4"/>
  <c r="U54" i="4" s="1"/>
  <c r="Q55" i="3"/>
  <c r="U56" i="3" s="1"/>
  <c r="Q26" i="20"/>
  <c r="S70" i="20" s="1"/>
  <c r="R52" i="7"/>
  <c r="Q49" i="7"/>
  <c r="T66" i="7"/>
  <c r="T59" i="7"/>
  <c r="T57" i="7"/>
  <c r="S68" i="7"/>
  <c r="S62" i="7"/>
  <c r="S59" i="7"/>
  <c r="S71" i="7"/>
  <c r="Q47" i="7"/>
  <c r="Q54" i="7" s="1"/>
  <c r="Q55" i="7" s="1"/>
  <c r="Q45" i="7"/>
  <c r="Q50" i="7"/>
  <c r="T58" i="7"/>
  <c r="T71" i="7"/>
  <c r="T60" i="7"/>
  <c r="T72" i="7"/>
  <c r="R26" i="7"/>
  <c r="T24" i="6"/>
  <c r="AT49" i="2"/>
  <c r="I41" i="25"/>
  <c r="H23" i="6"/>
  <c r="R59" i="3"/>
  <c r="AS41" i="2"/>
  <c r="O59" i="3"/>
  <c r="Q43" i="7"/>
  <c r="Q51" i="7"/>
  <c r="S70" i="7"/>
  <c r="S65" i="7"/>
  <c r="Q54" i="3"/>
  <c r="T25" i="3"/>
  <c r="AQ41" i="2"/>
  <c r="AR48" i="2"/>
  <c r="T27" i="7"/>
  <c r="T62" i="7"/>
  <c r="R54" i="4"/>
  <c r="R25" i="3"/>
  <c r="R32" i="6"/>
  <c r="R33" i="6" s="1"/>
  <c r="AT43" i="2"/>
  <c r="S36" i="7"/>
  <c r="S39" i="7"/>
  <c r="S43" i="7"/>
  <c r="S50" i="7"/>
  <c r="S49" i="7"/>
  <c r="S46" i="7"/>
  <c r="S54" i="7" s="1"/>
  <c r="S55" i="7" s="1"/>
  <c r="S37" i="7"/>
  <c r="AT206" i="2"/>
  <c r="S51" i="7"/>
  <c r="S45" i="7"/>
  <c r="S38" i="7"/>
  <c r="AT239" i="2"/>
  <c r="AT242" i="2"/>
  <c r="Q285" i="25"/>
  <c r="S50" i="20"/>
  <c r="S51" i="20"/>
  <c r="S47" i="20"/>
  <c r="S44" i="20"/>
  <c r="S43" i="20"/>
  <c r="L102" i="25"/>
  <c r="L243" i="25"/>
  <c r="H171" i="25"/>
  <c r="Z102" i="25"/>
  <c r="Z243" i="25"/>
  <c r="T171" i="25"/>
  <c r="Y73" i="25"/>
  <c r="AN241" i="2" s="1"/>
  <c r="L136" i="25"/>
  <c r="L277" i="25"/>
  <c r="H206" i="25"/>
  <c r="Z136" i="25"/>
  <c r="Z277" i="25"/>
  <c r="T243" i="25"/>
  <c r="P47" i="20"/>
  <c r="P52" i="20"/>
  <c r="P48" i="20"/>
  <c r="P37" i="20"/>
  <c r="S72" i="20"/>
  <c r="N72" i="20"/>
  <c r="N74" i="20"/>
  <c r="S48" i="20"/>
  <c r="S53" i="20"/>
  <c r="H102" i="25"/>
  <c r="T102" i="25"/>
  <c r="AU43" i="2"/>
  <c r="AU49" i="2"/>
  <c r="R70" i="26"/>
  <c r="AG71" i="25"/>
  <c r="AV239" i="2" s="1"/>
  <c r="AK221" i="2" s="1"/>
  <c r="T51" i="29"/>
  <c r="AH208" i="25" s="1"/>
  <c r="S51" i="29"/>
  <c r="S61" i="29"/>
  <c r="T61" i="29"/>
  <c r="AH280" i="25"/>
  <c r="O110" i="25"/>
  <c r="H70" i="26"/>
  <c r="V178" i="25" s="1"/>
  <c r="Q212" i="25"/>
  <c r="AH137" i="25"/>
  <c r="T60" i="26"/>
  <c r="S54" i="29"/>
  <c r="T54" i="29"/>
  <c r="AH210" i="25" s="1"/>
  <c r="R78" i="30"/>
  <c r="S78" i="30"/>
  <c r="AH281" i="25" s="1"/>
  <c r="R88" i="30"/>
  <c r="AG283" i="25" s="1"/>
  <c r="S88" i="30"/>
  <c r="AH283" i="25" s="1"/>
  <c r="R91" i="30"/>
  <c r="S91" i="30"/>
  <c r="AH284" i="25" s="1"/>
  <c r="T156" i="27"/>
  <c r="S156" i="27"/>
  <c r="AG104" i="25" s="1"/>
  <c r="S167" i="27"/>
  <c r="T167" i="27"/>
  <c r="S192" i="27"/>
  <c r="T192" i="27"/>
  <c r="AG175" i="25"/>
  <c r="T49" i="29"/>
  <c r="S49" i="29"/>
  <c r="AG141" i="25"/>
  <c r="AG142" i="25" s="1"/>
  <c r="AH279" i="25"/>
  <c r="AE176" i="25"/>
  <c r="T69" i="26"/>
  <c r="AH207" i="25"/>
  <c r="AG279" i="25"/>
  <c r="S147" i="27"/>
  <c r="T147" i="27"/>
  <c r="T149" i="27"/>
  <c r="S149" i="27"/>
  <c r="S181" i="27"/>
  <c r="AG107" i="25" s="1"/>
  <c r="T181" i="27"/>
  <c r="P52" i="31"/>
  <c r="AF246" i="25" s="1"/>
  <c r="P53" i="31"/>
  <c r="O75" i="25"/>
  <c r="O38" i="25" s="1"/>
  <c r="S83" i="30"/>
  <c r="R83" i="30"/>
  <c r="O52" i="31"/>
  <c r="L52" i="31"/>
  <c r="AB246" i="25" s="1"/>
  <c r="Q108" i="25"/>
  <c r="Q110" i="25" s="1"/>
  <c r="S185" i="27"/>
  <c r="AG109" i="25"/>
  <c r="AH109" i="25"/>
  <c r="Q69" i="25"/>
  <c r="Q75" i="25" s="1"/>
  <c r="Q38" i="25" s="1"/>
  <c r="M73" i="7" l="1"/>
  <c r="AH207" i="2"/>
  <c r="AD207" i="2"/>
  <c r="Z330" i="2"/>
  <c r="AQ207" i="2"/>
  <c r="AM207" i="2"/>
  <c r="AS207" i="2"/>
  <c r="C54" i="7"/>
  <c r="AD209" i="2"/>
  <c r="AH209" i="2"/>
  <c r="F55" i="7"/>
  <c r="AG211" i="2"/>
  <c r="L55" i="7"/>
  <c r="AM212" i="2"/>
  <c r="G55" i="7"/>
  <c r="AH211" i="2"/>
  <c r="F64" i="30"/>
  <c r="U73" i="25"/>
  <c r="T72" i="25"/>
  <c r="F48" i="26"/>
  <c r="AQ71" i="2"/>
  <c r="AI329" i="2"/>
  <c r="AM145" i="2"/>
  <c r="AM146" i="2"/>
  <c r="Q59" i="7"/>
  <c r="AO328" i="2"/>
  <c r="AS71" i="2"/>
  <c r="AF96" i="2"/>
  <c r="AF285" i="25"/>
  <c r="AU71" i="2"/>
  <c r="V70" i="25"/>
  <c r="G38" i="28"/>
  <c r="AN146" i="2"/>
  <c r="E44" i="29"/>
  <c r="S74" i="25"/>
  <c r="X74" i="25"/>
  <c r="AM242" i="2" s="1"/>
  <c r="AM266" i="2" s="1"/>
  <c r="AM270" i="2" s="1"/>
  <c r="K65" i="29"/>
  <c r="J65" i="29"/>
  <c r="F57" i="3"/>
  <c r="I56" i="3"/>
  <c r="E57" i="3"/>
  <c r="AA74" i="25"/>
  <c r="AP242" i="2" s="1"/>
  <c r="M65" i="29"/>
  <c r="P55" i="7"/>
  <c r="I38" i="28"/>
  <c r="X70" i="25"/>
  <c r="AM238" i="2" s="1"/>
  <c r="AA252" i="2" s="1"/>
  <c r="AB252" i="2" s="1"/>
  <c r="D52" i="7"/>
  <c r="AS72" i="2"/>
  <c r="AE285" i="25"/>
  <c r="R24" i="5"/>
  <c r="R25" i="5" s="1"/>
  <c r="AL48" i="2"/>
  <c r="AH326" i="2"/>
  <c r="AD74" i="25"/>
  <c r="AS242" i="2" s="1"/>
  <c r="AH224" i="2" s="1"/>
  <c r="P65" i="29"/>
  <c r="N38" i="28"/>
  <c r="AC70" i="25"/>
  <c r="AR238" i="2" s="1"/>
  <c r="AG220" i="2" s="1"/>
  <c r="K97" i="30"/>
  <c r="U74" i="25"/>
  <c r="H65" i="29"/>
  <c r="G65" i="29"/>
  <c r="G44" i="29"/>
  <c r="Z74" i="25"/>
  <c r="AO242" i="2" s="1"/>
  <c r="L65" i="29"/>
  <c r="AB70" i="25"/>
  <c r="AQ238" i="2" s="1"/>
  <c r="M38" i="28"/>
  <c r="AB75" i="25"/>
  <c r="AB38" i="25" s="1"/>
  <c r="D54" i="7"/>
  <c r="T54" i="7"/>
  <c r="T55" i="7" s="1"/>
  <c r="AB142" i="25"/>
  <c r="W74" i="25"/>
  <c r="AL242" i="2" s="1"/>
  <c r="AA257" i="2" s="1"/>
  <c r="AB257" i="2" s="1"/>
  <c r="I65" i="29"/>
  <c r="L67" i="29"/>
  <c r="AI43" i="2"/>
  <c r="AI38" i="2"/>
  <c r="AI48" i="2"/>
  <c r="AF326" i="2"/>
  <c r="N65" i="29"/>
  <c r="AE72" i="2"/>
  <c r="AE71" i="2"/>
  <c r="AB328" i="2"/>
  <c r="AI71" i="2"/>
  <c r="AP328" i="2"/>
  <c r="AV98" i="2"/>
  <c r="N27" i="3"/>
  <c r="AB285" i="25"/>
  <c r="AV145" i="2"/>
  <c r="AR145" i="2"/>
  <c r="AD70" i="25"/>
  <c r="AS238" i="2" s="1"/>
  <c r="AH220" i="2" s="1"/>
  <c r="O38" i="28"/>
  <c r="R54" i="7"/>
  <c r="R55" i="7" s="1"/>
  <c r="L56" i="3"/>
  <c r="M57" i="3"/>
  <c r="L57" i="3"/>
  <c r="AL43" i="2"/>
  <c r="AN328" i="2"/>
  <c r="S33" i="6"/>
  <c r="L128" i="2"/>
  <c r="AM328" i="2"/>
  <c r="T178" i="25"/>
  <c r="O65" i="29"/>
  <c r="AC74" i="25"/>
  <c r="AR242" i="2" s="1"/>
  <c r="T74" i="25"/>
  <c r="F44" i="29"/>
  <c r="F65" i="29"/>
  <c r="G97" i="30"/>
  <c r="AH329" i="2"/>
  <c r="AL145" i="2"/>
  <c r="AL146" i="2"/>
  <c r="S46" i="20"/>
  <c r="AO179" i="2"/>
  <c r="U73" i="20"/>
  <c r="S54" i="20"/>
  <c r="Q52" i="7"/>
  <c r="F17" i="2"/>
  <c r="Q60" i="7"/>
  <c r="S25" i="7"/>
  <c r="Q68" i="7"/>
  <c r="Q57" i="7"/>
  <c r="U73" i="7"/>
  <c r="T52" i="7"/>
  <c r="AR329" i="2"/>
  <c r="AV146" i="2"/>
  <c r="Q33" i="6"/>
  <c r="AV71" i="2"/>
  <c r="AR71" i="2"/>
  <c r="AR328" i="2"/>
  <c r="AW70" i="2"/>
  <c r="AQ328" i="2"/>
  <c r="AR39" i="2"/>
  <c r="AR38" i="2"/>
  <c r="AX41" i="2"/>
  <c r="AF74" i="25"/>
  <c r="P38" i="28"/>
  <c r="AT238" i="2"/>
  <c r="AI220" i="2" s="1"/>
  <c r="R38" i="28"/>
  <c r="J41" i="25"/>
  <c r="M41" i="25"/>
  <c r="AE73" i="25"/>
  <c r="L41" i="25"/>
  <c r="P41" i="25"/>
  <c r="AF212" i="25"/>
  <c r="G41" i="25"/>
  <c r="AE212" i="25"/>
  <c r="Q38" i="28"/>
  <c r="AF70" i="25"/>
  <c r="AU238" i="2" s="1"/>
  <c r="AJ220" i="2" s="1"/>
  <c r="S38" i="28"/>
  <c r="AH70" i="25"/>
  <c r="AW238" i="2" s="1"/>
  <c r="AL220" i="2" s="1"/>
  <c r="H41" i="25"/>
  <c r="O41" i="25"/>
  <c r="AE110" i="25"/>
  <c r="AH104" i="25"/>
  <c r="AE69" i="25"/>
  <c r="AF69" i="25"/>
  <c r="AF110" i="25"/>
  <c r="AC69" i="25"/>
  <c r="X69" i="25"/>
  <c r="K41" i="25"/>
  <c r="AA69" i="25"/>
  <c r="AD69" i="25"/>
  <c r="V69" i="25"/>
  <c r="H141" i="27"/>
  <c r="Z69" i="25"/>
  <c r="AO237" i="2" s="1"/>
  <c r="AO265" i="2" s="1"/>
  <c r="AO269" i="2" s="1"/>
  <c r="S69" i="25"/>
  <c r="S75" i="25" s="1"/>
  <c r="S38" i="25" s="1"/>
  <c r="E141" i="27"/>
  <c r="AG108" i="25"/>
  <c r="AH222" i="2"/>
  <c r="AS266" i="2"/>
  <c r="T64" i="26"/>
  <c r="AH176" i="25" s="1"/>
  <c r="Z72" i="25"/>
  <c r="T68" i="20"/>
  <c r="P76" i="20"/>
  <c r="N76" i="20"/>
  <c r="O76" i="20"/>
  <c r="AS179" i="2"/>
  <c r="AO178" i="2"/>
  <c r="X172" i="2"/>
  <c r="S39" i="20"/>
  <c r="S37" i="20"/>
  <c r="AT177" i="2"/>
  <c r="S36" i="20"/>
  <c r="U68" i="20"/>
  <c r="X26" i="20"/>
  <c r="U59" i="20"/>
  <c r="U66" i="20"/>
  <c r="U72" i="20"/>
  <c r="U61" i="20"/>
  <c r="U65" i="20"/>
  <c r="U64" i="20"/>
  <c r="U69" i="20"/>
  <c r="U58" i="20"/>
  <c r="S52" i="20"/>
  <c r="S27" i="20"/>
  <c r="U70" i="20"/>
  <c r="U74" i="20"/>
  <c r="AR49" i="2"/>
  <c r="AR30" i="2"/>
  <c r="AR326" i="2"/>
  <c r="AQ326" i="2"/>
  <c r="J339" i="2"/>
  <c r="J334" i="2"/>
  <c r="J338" i="2"/>
  <c r="S59" i="20"/>
  <c r="W26" i="20"/>
  <c r="S210" i="27"/>
  <c r="AW145" i="2"/>
  <c r="AW146" i="2"/>
  <c r="Y202" i="2"/>
  <c r="I203" i="2" s="1"/>
  <c r="F16" i="2" s="1"/>
  <c r="X203" i="2"/>
  <c r="AR102" i="2"/>
  <c r="AV102" i="2"/>
  <c r="AB82" i="2"/>
  <c r="AB84" i="2" s="1"/>
  <c r="T47" i="4"/>
  <c r="Y44" i="4"/>
  <c r="AN96" i="2"/>
  <c r="AN97" i="2"/>
  <c r="AN31" i="2" s="1"/>
  <c r="AL327" i="2"/>
  <c r="AO98" i="2"/>
  <c r="AS98" i="2"/>
  <c r="AK327" i="2"/>
  <c r="Q45" i="4"/>
  <c r="W44" i="4"/>
  <c r="X44" i="4"/>
  <c r="AO97" i="2"/>
  <c r="AO31" i="2" s="1"/>
  <c r="AO96" i="2"/>
  <c r="AJ327" i="2"/>
  <c r="AN98" i="2"/>
  <c r="AR98" i="2"/>
  <c r="AF98" i="2"/>
  <c r="AJ98" i="2"/>
  <c r="AB327" i="2"/>
  <c r="AC327" i="2"/>
  <c r="AA84" i="2"/>
  <c r="AU94" i="2"/>
  <c r="T24" i="4"/>
  <c r="S57" i="4"/>
  <c r="Q58" i="4"/>
  <c r="U59" i="4" s="1"/>
  <c r="T57" i="4"/>
  <c r="N46" i="4"/>
  <c r="T58" i="4"/>
  <c r="O45" i="4"/>
  <c r="AP95" i="2"/>
  <c r="AP97" i="2" s="1"/>
  <c r="AP31" i="2" s="1"/>
  <c r="AT94" i="2"/>
  <c r="O58" i="4"/>
  <c r="AR95" i="2"/>
  <c r="AV97" i="2" s="1"/>
  <c r="AV31" i="2" s="1"/>
  <c r="AU95" i="2"/>
  <c r="T53" i="4"/>
  <c r="T54" i="4" s="1"/>
  <c r="R46" i="4"/>
  <c r="Q47" i="4"/>
  <c r="S94" i="30"/>
  <c r="AH73" i="25" s="1"/>
  <c r="AW241" i="2" s="1"/>
  <c r="H91" i="2"/>
  <c r="K9" i="2" s="1"/>
  <c r="AC84" i="2"/>
  <c r="AH107" i="25"/>
  <c r="AH103" i="25"/>
  <c r="T64" i="29"/>
  <c r="AH209" i="25"/>
  <c r="AH212" i="25" s="1"/>
  <c r="S70" i="26"/>
  <c r="AG174" i="25"/>
  <c r="AH282" i="25"/>
  <c r="AH285" i="25" s="1"/>
  <c r="AG208" i="25"/>
  <c r="AN266" i="2"/>
  <c r="AA256" i="2"/>
  <c r="AB256" i="2" s="1"/>
  <c r="AI221" i="2"/>
  <c r="T72" i="20"/>
  <c r="T59" i="20"/>
  <c r="T73" i="20"/>
  <c r="Q39" i="20"/>
  <c r="AK40" i="20" s="1"/>
  <c r="Q52" i="20"/>
  <c r="Q36" i="20"/>
  <c r="T64" i="20"/>
  <c r="U27" i="20"/>
  <c r="AR177" i="2"/>
  <c r="AV179" i="2" s="1"/>
  <c r="Q51" i="20"/>
  <c r="AK42" i="20" s="1"/>
  <c r="Q54" i="20"/>
  <c r="Q50" i="20"/>
  <c r="Q37" i="20"/>
  <c r="S74" i="20"/>
  <c r="Q72" i="20"/>
  <c r="R59" i="20"/>
  <c r="R70" i="20"/>
  <c r="R61" i="20"/>
  <c r="T61" i="20"/>
  <c r="S61" i="20"/>
  <c r="S68" i="20"/>
  <c r="R72" i="20"/>
  <c r="Q59" i="20"/>
  <c r="R68" i="20"/>
  <c r="R73" i="20"/>
  <c r="Q64" i="20"/>
  <c r="Q69" i="20"/>
  <c r="T74" i="20"/>
  <c r="Q46" i="20"/>
  <c r="S58" i="20"/>
  <c r="S64" i="20"/>
  <c r="S69" i="20"/>
  <c r="S73" i="20"/>
  <c r="Q58" i="20"/>
  <c r="R65" i="20"/>
  <c r="R64" i="20"/>
  <c r="Q61" i="20"/>
  <c r="Q74" i="20"/>
  <c r="Q65" i="20"/>
  <c r="T70" i="20"/>
  <c r="S65" i="20"/>
  <c r="R28" i="20"/>
  <c r="Q68" i="20"/>
  <c r="Q43" i="20"/>
  <c r="S66" i="20"/>
  <c r="R74" i="20"/>
  <c r="Q70" i="20"/>
  <c r="Q48" i="20"/>
  <c r="R58" i="20"/>
  <c r="R66" i="20"/>
  <c r="Q73" i="20"/>
  <c r="Q27" i="20"/>
  <c r="T58" i="20"/>
  <c r="N127" i="2"/>
  <c r="AL329" i="2"/>
  <c r="AP146" i="2"/>
  <c r="AT145" i="2"/>
  <c r="AP145" i="2"/>
  <c r="O57" i="3"/>
  <c r="O56" i="3"/>
  <c r="S56" i="3"/>
  <c r="N28" i="7"/>
  <c r="J28" i="7"/>
  <c r="R75" i="20"/>
  <c r="S75" i="20"/>
  <c r="AE97" i="2"/>
  <c r="AE31" i="2" s="1"/>
  <c r="AE96" i="2"/>
  <c r="Z83" i="2"/>
  <c r="Q71" i="7"/>
  <c r="J337" i="2"/>
  <c r="J336" i="2"/>
  <c r="H337" i="2"/>
  <c r="H336" i="2"/>
  <c r="Z328" i="2"/>
  <c r="AD72" i="2"/>
  <c r="AD71" i="2"/>
  <c r="AA328" i="2"/>
  <c r="AL55" i="2"/>
  <c r="AS95" i="2"/>
  <c r="R45" i="4"/>
  <c r="R47" i="4"/>
  <c r="R58" i="4"/>
  <c r="R59" i="4" s="1"/>
  <c r="AG282" i="25"/>
  <c r="AF71" i="25"/>
  <c r="AG103" i="25"/>
  <c r="AG210" i="25"/>
  <c r="AH174" i="25"/>
  <c r="T70" i="26"/>
  <c r="AH72" i="25" s="1"/>
  <c r="AW240" i="2" s="1"/>
  <c r="H48" i="26"/>
  <c r="V72" i="25"/>
  <c r="AN243" i="2"/>
  <c r="AN265" i="2"/>
  <c r="T73" i="7"/>
  <c r="T69" i="20"/>
  <c r="AU145" i="2"/>
  <c r="AQ146" i="2"/>
  <c r="AQ145" i="2"/>
  <c r="AR146" i="2"/>
  <c r="AM329" i="2"/>
  <c r="R65" i="7"/>
  <c r="R59" i="7"/>
  <c r="R70" i="7"/>
  <c r="R57" i="7"/>
  <c r="R72" i="7"/>
  <c r="R33" i="7"/>
  <c r="AP208" i="2"/>
  <c r="O45" i="7"/>
  <c r="O37" i="7"/>
  <c r="O42" i="7"/>
  <c r="O44" i="7"/>
  <c r="R66" i="7"/>
  <c r="R68" i="7"/>
  <c r="R67" i="7"/>
  <c r="R27" i="7"/>
  <c r="R28" i="7" s="1"/>
  <c r="O43" i="7"/>
  <c r="O46" i="7"/>
  <c r="Q67" i="7"/>
  <c r="Q58" i="7"/>
  <c r="Q70" i="7"/>
  <c r="Q64" i="7"/>
  <c r="R60" i="7"/>
  <c r="R58" i="7"/>
  <c r="O49" i="7"/>
  <c r="P26" i="7"/>
  <c r="AP206" i="2"/>
  <c r="AT207" i="2" s="1"/>
  <c r="O50" i="7"/>
  <c r="O41" i="7"/>
  <c r="O51" i="7"/>
  <c r="AH24" i="7"/>
  <c r="O47" i="7"/>
  <c r="O36" i="7"/>
  <c r="N72" i="7"/>
  <c r="N33" i="7"/>
  <c r="N34" i="7" s="1"/>
  <c r="P70" i="7"/>
  <c r="P71" i="7"/>
  <c r="P72" i="7"/>
  <c r="P65" i="7"/>
  <c r="N71" i="7"/>
  <c r="O60" i="7"/>
  <c r="N59" i="7"/>
  <c r="O62" i="7"/>
  <c r="R64" i="7"/>
  <c r="O39" i="7"/>
  <c r="Q72" i="7"/>
  <c r="AG24" i="7"/>
  <c r="N65" i="7"/>
  <c r="N67" i="7"/>
  <c r="O57" i="7"/>
  <c r="P66" i="7"/>
  <c r="P67" i="7"/>
  <c r="P68" i="7"/>
  <c r="P59" i="7"/>
  <c r="O68" i="7"/>
  <c r="N57" i="7"/>
  <c r="O72" i="7"/>
  <c r="N66" i="7"/>
  <c r="O26" i="7"/>
  <c r="R71" i="7"/>
  <c r="Q65" i="7"/>
  <c r="N64" i="7"/>
  <c r="O70" i="7"/>
  <c r="N63" i="7"/>
  <c r="O71" i="7"/>
  <c r="P62" i="7"/>
  <c r="P63" i="7"/>
  <c r="P58" i="7"/>
  <c r="N69" i="7"/>
  <c r="N62" i="7"/>
  <c r="P64" i="7"/>
  <c r="N70" i="7"/>
  <c r="O64" i="7"/>
  <c r="P27" i="7"/>
  <c r="P28" i="7" s="1"/>
  <c r="R62" i="7"/>
  <c r="O38" i="7"/>
  <c r="Q62" i="7"/>
  <c r="O25" i="7"/>
  <c r="O65" i="7"/>
  <c r="N60" i="7"/>
  <c r="N68" i="7"/>
  <c r="O66" i="7"/>
  <c r="P60" i="7"/>
  <c r="P57" i="7"/>
  <c r="N58" i="7"/>
  <c r="O63" i="7"/>
  <c r="O67" i="7"/>
  <c r="Q27" i="7"/>
  <c r="Q28" i="7" s="1"/>
  <c r="O27" i="7"/>
  <c r="AD35" i="2"/>
  <c r="O39" i="2" s="1"/>
  <c r="F10" i="2" s="1"/>
  <c r="AP43" i="2"/>
  <c r="AT30" i="2"/>
  <c r="AP49" i="2"/>
  <c r="AT39" i="2"/>
  <c r="AP39" i="2"/>
  <c r="AP30" i="2"/>
  <c r="AO145" i="2"/>
  <c r="M127" i="2"/>
  <c r="M128" i="2" s="1"/>
  <c r="AO146" i="2"/>
  <c r="AK329" i="2"/>
  <c r="AK211" i="2"/>
  <c r="J55" i="7"/>
  <c r="K73" i="7"/>
  <c r="R57" i="3"/>
  <c r="S57" i="3"/>
  <c r="R56" i="3"/>
  <c r="Q66" i="20"/>
  <c r="Q53" i="20"/>
  <c r="D55" i="7"/>
  <c r="AE211" i="2"/>
  <c r="AB330" i="2"/>
  <c r="I334" i="2" s="1"/>
  <c r="AA330" i="2"/>
  <c r="AE207" i="2"/>
  <c r="AI207" i="2"/>
  <c r="V202" i="2"/>
  <c r="W203" i="2" s="1"/>
  <c r="G73" i="7"/>
  <c r="O59" i="7"/>
  <c r="AI209" i="2"/>
  <c r="P57" i="3"/>
  <c r="P56" i="3"/>
  <c r="T56" i="3"/>
  <c r="F24" i="5"/>
  <c r="AN212" i="2"/>
  <c r="M55" i="7"/>
  <c r="P47" i="4"/>
  <c r="AH106" i="25"/>
  <c r="AG176" i="25"/>
  <c r="AH142" i="25"/>
  <c r="Y75" i="25"/>
  <c r="Y38" i="25" s="1"/>
  <c r="AI224" i="2"/>
  <c r="S52" i="7"/>
  <c r="AQ48" i="2"/>
  <c r="AN326" i="2"/>
  <c r="AU38" i="2"/>
  <c r="AQ38" i="2"/>
  <c r="AM326" i="2"/>
  <c r="AF223" i="2"/>
  <c r="AQ243" i="2"/>
  <c r="AQ266" i="2"/>
  <c r="S73" i="7"/>
  <c r="Q47" i="20"/>
  <c r="O32" i="7"/>
  <c r="S32" i="7"/>
  <c r="Q66" i="7"/>
  <c r="J73" i="7"/>
  <c r="T66" i="20"/>
  <c r="T75" i="20"/>
  <c r="F73" i="7"/>
  <c r="J24" i="5"/>
  <c r="AI97" i="2"/>
  <c r="AI31" i="2" s="1"/>
  <c r="Z259" i="2"/>
  <c r="AA259" i="2"/>
  <c r="W259" i="2"/>
  <c r="X259" i="2"/>
  <c r="I337" i="2"/>
  <c r="I336" i="2"/>
  <c r="G33" i="6"/>
  <c r="K33" i="6"/>
  <c r="AB258" i="2"/>
  <c r="G16" i="2" s="1"/>
  <c r="S47" i="4"/>
  <c r="AT95" i="2"/>
  <c r="S58" i="4"/>
  <c r="S45" i="4"/>
  <c r="AO56" i="2"/>
  <c r="AE246" i="25"/>
  <c r="AE177" i="25"/>
  <c r="AE178" i="25" s="1"/>
  <c r="S64" i="29"/>
  <c r="AG209" i="25"/>
  <c r="AH71" i="25"/>
  <c r="AW239" i="2" s="1"/>
  <c r="AL221" i="2" s="1"/>
  <c r="AG106" i="25"/>
  <c r="AG284" i="25"/>
  <c r="R94" i="30"/>
  <c r="AG73" i="25" s="1"/>
  <c r="AV241" i="2" s="1"/>
  <c r="AG281" i="25"/>
  <c r="AF178" i="25"/>
  <c r="AF72" i="25"/>
  <c r="AQ330" i="2"/>
  <c r="AP330" i="2"/>
  <c r="R69" i="20"/>
  <c r="AS48" i="2"/>
  <c r="AO326" i="2"/>
  <c r="AS43" i="2"/>
  <c r="AS38" i="2"/>
  <c r="AP326" i="2"/>
  <c r="T65" i="20"/>
  <c r="Q57" i="3"/>
  <c r="Q56" i="3"/>
  <c r="AQ98" i="2"/>
  <c r="AN327" i="2"/>
  <c r="AM327" i="2"/>
  <c r="AD34" i="2"/>
  <c r="H39" i="2" s="1"/>
  <c r="F9" i="2" s="1"/>
  <c r="AT38" i="2"/>
  <c r="AL326" i="2"/>
  <c r="AP48" i="2"/>
  <c r="AP38" i="2"/>
  <c r="Q44" i="20"/>
  <c r="AK41" i="20" s="1"/>
  <c r="Q75" i="20"/>
  <c r="AH72" i="2"/>
  <c r="AE328" i="2"/>
  <c r="AH71" i="2"/>
  <c r="AM55" i="2"/>
  <c r="AL71" i="2"/>
  <c r="AD328" i="2"/>
  <c r="AU30" i="2"/>
  <c r="AQ49" i="2"/>
  <c r="AU39" i="2"/>
  <c r="AQ43" i="2"/>
  <c r="AQ39" i="2"/>
  <c r="AQ30" i="2"/>
  <c r="T259" i="2"/>
  <c r="U259" i="2"/>
  <c r="AG179" i="2"/>
  <c r="V172" i="2"/>
  <c r="AK179" i="2"/>
  <c r="AH178" i="2"/>
  <c r="AG178" i="2"/>
  <c r="T45" i="4"/>
  <c r="AQ95" i="2"/>
  <c r="P58" i="4"/>
  <c r="P45" i="4"/>
  <c r="S53" i="4"/>
  <c r="S54" i="4" s="1"/>
  <c r="R108" i="25"/>
  <c r="T72" i="27"/>
  <c r="T185" i="27"/>
  <c r="Q41" i="25"/>
  <c r="C55" i="7" l="1"/>
  <c r="AD211" i="2"/>
  <c r="AL243" i="2"/>
  <c r="W75" i="25"/>
  <c r="W38" i="25" s="1"/>
  <c r="W41" i="25" s="1"/>
  <c r="T75" i="25"/>
  <c r="T38" i="25" s="1"/>
  <c r="AE224" i="2"/>
  <c r="AP266" i="2"/>
  <c r="U75" i="25"/>
  <c r="U38" i="25" s="1"/>
  <c r="AU96" i="2"/>
  <c r="K98" i="30"/>
  <c r="AR266" i="2"/>
  <c r="AG224" i="2"/>
  <c r="AF220" i="2"/>
  <c r="AQ265" i="2"/>
  <c r="AL266" i="2"/>
  <c r="AL270" i="2" s="1"/>
  <c r="Q73" i="7"/>
  <c r="U28" i="7"/>
  <c r="AJ71" i="25"/>
  <c r="AJ73" i="25"/>
  <c r="AW247" i="2"/>
  <c r="AL223" i="2"/>
  <c r="AU242" i="2"/>
  <c r="AI74" i="25"/>
  <c r="AP220" i="2"/>
  <c r="AJ70" i="25"/>
  <c r="AI69" i="25"/>
  <c r="AL222" i="2"/>
  <c r="AT241" i="2"/>
  <c r="AI73" i="25"/>
  <c r="AK223" i="2"/>
  <c r="AV247" i="2"/>
  <c r="AZ238" i="2"/>
  <c r="AI70" i="25"/>
  <c r="V75" i="25"/>
  <c r="V38" i="25" s="1"/>
  <c r="V45" i="25" s="1"/>
  <c r="V46" i="25" s="1"/>
  <c r="AT237" i="2"/>
  <c r="AE75" i="25"/>
  <c r="AE38" i="25" s="1"/>
  <c r="AE41" i="25" s="1"/>
  <c r="AD75" i="25"/>
  <c r="AD38" i="25" s="1"/>
  <c r="AS237" i="2"/>
  <c r="AR237" i="2"/>
  <c r="AC75" i="25"/>
  <c r="AC38" i="25" s="1"/>
  <c r="AU237" i="2"/>
  <c r="AM237" i="2"/>
  <c r="X75" i="25"/>
  <c r="X38" i="25" s="1"/>
  <c r="AA75" i="25"/>
  <c r="AA38" i="25" s="1"/>
  <c r="AP237" i="2"/>
  <c r="AG110" i="25"/>
  <c r="AH177" i="25"/>
  <c r="AH178" i="25" s="1"/>
  <c r="Z75" i="25"/>
  <c r="Z38" i="25" s="1"/>
  <c r="AO240" i="2"/>
  <c r="AU178" i="2"/>
  <c r="AT179" i="2"/>
  <c r="AT178" i="2"/>
  <c r="U76" i="20"/>
  <c r="AG69" i="25"/>
  <c r="AV237" i="2" s="1"/>
  <c r="AK219" i="2" s="1"/>
  <c r="S76" i="20"/>
  <c r="AU98" i="2"/>
  <c r="AR327" i="2"/>
  <c r="AM56" i="2"/>
  <c r="AN56" i="2"/>
  <c r="AR97" i="2"/>
  <c r="AR31" i="2" s="1"/>
  <c r="AR96" i="2"/>
  <c r="AP96" i="2"/>
  <c r="AQ327" i="2"/>
  <c r="T59" i="4"/>
  <c r="AT98" i="2"/>
  <c r="AP327" i="2"/>
  <c r="S59" i="4"/>
  <c r="AC83" i="2"/>
  <c r="AC85" i="2" s="1"/>
  <c r="AG285" i="25"/>
  <c r="AT97" i="2"/>
  <c r="AT31" i="2" s="1"/>
  <c r="AT96" i="2"/>
  <c r="AF225" i="2"/>
  <c r="I339" i="2"/>
  <c r="I338" i="2"/>
  <c r="O73" i="7"/>
  <c r="AN269" i="2"/>
  <c r="H124" i="2"/>
  <c r="K11" i="2" s="1"/>
  <c r="N128" i="2"/>
  <c r="AR270" i="2"/>
  <c r="AN270" i="2"/>
  <c r="AG72" i="25"/>
  <c r="O28" i="7"/>
  <c r="S28" i="7"/>
  <c r="O52" i="7"/>
  <c r="R73" i="7"/>
  <c r="AN245" i="2"/>
  <c r="AN342" i="2"/>
  <c r="Q76" i="20"/>
  <c r="AQ96" i="2"/>
  <c r="AQ97" i="2"/>
  <c r="AQ31" i="2" s="1"/>
  <c r="AU97" i="2"/>
  <c r="AU31" i="2" s="1"/>
  <c r="AU240" i="2"/>
  <c r="AI72" i="25"/>
  <c r="P73" i="7"/>
  <c r="N73" i="7"/>
  <c r="AT209" i="2"/>
  <c r="AP209" i="2"/>
  <c r="T76" i="20"/>
  <c r="R76" i="20"/>
  <c r="AS178" i="2"/>
  <c r="AR178" i="2"/>
  <c r="AR179" i="2"/>
  <c r="Y172" i="2"/>
  <c r="I174" i="2" s="1"/>
  <c r="T28" i="7"/>
  <c r="AQ270" i="2"/>
  <c r="AG74" i="25"/>
  <c r="S65" i="29"/>
  <c r="J25" i="5"/>
  <c r="N25" i="5"/>
  <c r="AM330" i="2"/>
  <c r="H339" i="2" s="1"/>
  <c r="AP207" i="2"/>
  <c r="AL330" i="2"/>
  <c r="O54" i="7"/>
  <c r="R34" i="7"/>
  <c r="AU239" i="2"/>
  <c r="AF75" i="25"/>
  <c r="AI71" i="25"/>
  <c r="AS97" i="2"/>
  <c r="AS31" i="2" s="1"/>
  <c r="AS96" i="2"/>
  <c r="Z85" i="2"/>
  <c r="AA85" i="2"/>
  <c r="AG212" i="25"/>
  <c r="AG177" i="25"/>
  <c r="AG178" i="25" s="1"/>
  <c r="AH74" i="25"/>
  <c r="AW242" i="2" s="1"/>
  <c r="AL224" i="2" s="1"/>
  <c r="T65" i="29"/>
  <c r="R69" i="25"/>
  <c r="R75" i="25" s="1"/>
  <c r="R38" i="25" s="1"/>
  <c r="T210" i="27"/>
  <c r="AH108" i="25"/>
  <c r="R110" i="25"/>
  <c r="AP270" i="2" l="1"/>
  <c r="AL342" i="2"/>
  <c r="AL245" i="2"/>
  <c r="AL244" i="2"/>
  <c r="AH331" i="2"/>
  <c r="AJ224" i="2"/>
  <c r="AP224" i="2" s="1"/>
  <c r="AZ242" i="2"/>
  <c r="AV242" i="2"/>
  <c r="AK224" i="2" s="1"/>
  <c r="AJ74" i="25"/>
  <c r="AW266" i="2"/>
  <c r="AW270" i="2" s="1"/>
  <c r="AV240" i="2"/>
  <c r="AK222" i="2" s="1"/>
  <c r="AJ72" i="25"/>
  <c r="AT247" i="2"/>
  <c r="AU247" i="2"/>
  <c r="AI223" i="2"/>
  <c r="AP223" i="2" s="1"/>
  <c r="AZ241" i="2"/>
  <c r="AT266" i="2"/>
  <c r="AT270" i="2" s="1"/>
  <c r="Z42" i="25"/>
  <c r="AC41" i="25"/>
  <c r="AI219" i="2"/>
  <c r="AT243" i="2"/>
  <c r="AT265" i="2"/>
  <c r="X41" i="25"/>
  <c r="AM265" i="2"/>
  <c r="AM243" i="2"/>
  <c r="AA251" i="2"/>
  <c r="AG219" i="2"/>
  <c r="AG225" i="2" s="1"/>
  <c r="AG227" i="2" s="1"/>
  <c r="AR265" i="2"/>
  <c r="AR243" i="2"/>
  <c r="Y41" i="25"/>
  <c r="Z41" i="25"/>
  <c r="AP265" i="2"/>
  <c r="AP243" i="2"/>
  <c r="AE219" i="2"/>
  <c r="AE225" i="2" s="1"/>
  <c r="AF227" i="2" s="1"/>
  <c r="AH219" i="2"/>
  <c r="AH225" i="2" s="1"/>
  <c r="AS243" i="2"/>
  <c r="AS265" i="2"/>
  <c r="AD42" i="25"/>
  <c r="AB41" i="25"/>
  <c r="AA41" i="25"/>
  <c r="AJ219" i="2"/>
  <c r="AZ237" i="2"/>
  <c r="AD41" i="25"/>
  <c r="AA255" i="2"/>
  <c r="AO243" i="2"/>
  <c r="AO266" i="2"/>
  <c r="AF38" i="25"/>
  <c r="AF41" i="25" s="1"/>
  <c r="AI75" i="25"/>
  <c r="AV265" i="2"/>
  <c r="H338" i="2"/>
  <c r="H334" i="2"/>
  <c r="O91" i="2"/>
  <c r="K10" i="2" s="1"/>
  <c r="G334" i="2"/>
  <c r="G338" i="2"/>
  <c r="G339" i="2"/>
  <c r="AJ222" i="2"/>
  <c r="AP222" i="2" s="1"/>
  <c r="AU266" i="2"/>
  <c r="AZ240" i="2"/>
  <c r="AJ221" i="2"/>
  <c r="AU265" i="2"/>
  <c r="AU269" i="2" s="1"/>
  <c r="AU243" i="2"/>
  <c r="AZ239" i="2"/>
  <c r="O55" i="7"/>
  <c r="AP212" i="2"/>
  <c r="AG75" i="25"/>
  <c r="AH110" i="25"/>
  <c r="AH69" i="25"/>
  <c r="R41" i="25"/>
  <c r="AV243" i="2" l="1"/>
  <c r="AI225" i="2"/>
  <c r="AK225" i="2"/>
  <c r="AK226" i="2" s="1"/>
  <c r="AP219" i="2"/>
  <c r="AH75" i="25"/>
  <c r="AH38" i="25" s="1"/>
  <c r="AW237" i="2"/>
  <c r="AJ69" i="25"/>
  <c r="AV245" i="2"/>
  <c r="G17" i="2" s="1"/>
  <c r="AV342" i="2"/>
  <c r="AV266" i="2"/>
  <c r="AV270" i="2" s="1"/>
  <c r="G12" i="2" s="1"/>
  <c r="AG38" i="25"/>
  <c r="AG41" i="25" s="1"/>
  <c r="AJ75" i="25"/>
  <c r="AI226" i="2"/>
  <c r="AI227" i="2"/>
  <c r="AV269" i="2"/>
  <c r="L12" i="2" s="1"/>
  <c r="K18" i="2" s="1"/>
  <c r="AO331" i="2"/>
  <c r="AT244" i="2"/>
  <c r="AP331" i="2"/>
  <c r="AS244" i="2"/>
  <c r="AT269" i="2"/>
  <c r="AP269" i="2"/>
  <c r="AR269" i="2"/>
  <c r="AQ269" i="2"/>
  <c r="AM269" i="2"/>
  <c r="AH227" i="2"/>
  <c r="AA260" i="2"/>
  <c r="AB260" i="2" s="1"/>
  <c r="K12" i="2" s="1"/>
  <c r="AB251" i="2"/>
  <c r="AS269" i="2"/>
  <c r="AP342" i="2"/>
  <c r="AP245" i="2"/>
  <c r="AT342" i="2"/>
  <c r="AQ244" i="2"/>
  <c r="AT245" i="2"/>
  <c r="AM331" i="2"/>
  <c r="AR245" i="2"/>
  <c r="AR244" i="2"/>
  <c r="AN331" i="2"/>
  <c r="AR342" i="2"/>
  <c r="AM342" i="2"/>
  <c r="AM245" i="2"/>
  <c r="AI331" i="2"/>
  <c r="AM244" i="2"/>
  <c r="AN244" i="2"/>
  <c r="AQ245" i="2"/>
  <c r="AJ331" i="2"/>
  <c r="AQ342" i="2"/>
  <c r="AK331" i="2"/>
  <c r="AS342" i="2"/>
  <c r="AO342" i="2"/>
  <c r="AL331" i="2"/>
  <c r="AO244" i="2"/>
  <c r="AP244" i="2"/>
  <c r="AS245" i="2"/>
  <c r="AO245" i="2"/>
  <c r="AB255" i="2"/>
  <c r="AA261" i="2"/>
  <c r="AB261" i="2" s="1"/>
  <c r="F12" i="2" s="1"/>
  <c r="AS270" i="2"/>
  <c r="AO270" i="2"/>
  <c r="AR331" i="2"/>
  <c r="AV244" i="2"/>
  <c r="AZ243" i="2"/>
  <c r="AP221" i="2"/>
  <c r="AJ225" i="2"/>
  <c r="AK227" i="2" s="1"/>
  <c r="AU342" i="2"/>
  <c r="AU245" i="2"/>
  <c r="AU244" i="2"/>
  <c r="AQ331" i="2"/>
  <c r="AU270" i="2"/>
  <c r="AL219" i="2" l="1"/>
  <c r="AL225" i="2" s="1"/>
  <c r="AW265" i="2"/>
  <c r="AW269" i="2" s="1"/>
  <c r="AW243" i="2"/>
  <c r="L18" i="2"/>
  <c r="J335" i="2"/>
  <c r="AH42" i="25"/>
  <c r="AH41" i="25"/>
  <c r="I335" i="2"/>
  <c r="H335" i="2"/>
  <c r="G335" i="2"/>
  <c r="AJ226" i="2"/>
  <c r="AP225" i="2"/>
  <c r="AJ227" i="2"/>
  <c r="AW244" i="2" l="1"/>
  <c r="AS331" i="2"/>
  <c r="AW342" i="2"/>
  <c r="AW245" i="2"/>
  <c r="AL226" i="2"/>
  <c r="AL2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100-000001000000}">
      <text>
        <r>
          <rPr>
            <sz val="10"/>
            <rFont val="Arial"/>
            <family val="2"/>
          </rPr>
          <t>Includes multi-rate</t>
        </r>
      </text>
    </comment>
    <comment ref="B110" authorId="1" shapeId="0" xr:uid="{00000000-0006-0000-0100-000002000000}">
      <text>
        <r>
          <rPr>
            <sz val="10"/>
            <rFont val="Arial"/>
            <family val="2"/>
          </rPr>
          <t>Includes Ethernet over Copper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Lively</author>
    <author>JSL</author>
  </authors>
  <commentList>
    <comment ref="Q8" authorId="0" shapeId="0" xr:uid="{00000000-0006-0000-0D00-000001000000}">
      <text>
        <r>
          <rPr>
            <b/>
            <sz val="9"/>
            <color indexed="81"/>
            <rFont val="Tahoma"/>
            <family val="2"/>
          </rPr>
          <t xml:space="preserve">II-VI reported number ($161 mn) ncludes only a handful of days of Finisar revenue since the deal closed Sept 24 and the quarter ended Sept 30. In order to avoid distorting market growth trends we include an estimate here for the contributed revenue of the FNSR unit. </t>
        </r>
      </text>
    </comment>
    <comment ref="G15" authorId="0" shapeId="0" xr:uid="{00000000-0006-0000-0D00-000002000000}">
      <text>
        <r>
          <rPr>
            <b/>
            <sz val="9"/>
            <color indexed="81"/>
            <rFont val="Tahoma"/>
            <family val="2"/>
          </rPr>
          <t>LightCounting estimate</t>
        </r>
      </text>
    </comment>
    <comment ref="M15" authorId="0" shapeId="0" xr:uid="{00000000-0006-0000-0D00-000003000000}">
      <text>
        <r>
          <rPr>
            <b/>
            <sz val="9"/>
            <color indexed="81"/>
            <rFont val="Tahoma"/>
            <family val="2"/>
          </rPr>
          <t>LightCounting estimate</t>
        </r>
      </text>
    </comment>
    <comment ref="N15" authorId="0" shapeId="0" xr:uid="{00000000-0006-0000-0D00-000004000000}">
      <text>
        <r>
          <rPr>
            <b/>
            <sz val="9"/>
            <color indexed="81"/>
            <rFont val="Tahoma"/>
            <family val="2"/>
          </rPr>
          <t>LightCounting estimate</t>
        </r>
      </text>
    </comment>
    <comment ref="O15" authorId="0" shapeId="0" xr:uid="{00000000-0006-0000-0D00-000005000000}">
      <text>
        <r>
          <rPr>
            <b/>
            <sz val="9"/>
            <color indexed="81"/>
            <rFont val="Tahoma"/>
            <family val="2"/>
          </rPr>
          <t>Estimated</t>
        </r>
      </text>
    </comment>
    <comment ref="R15" authorId="0" shapeId="0" xr:uid="{00000000-0006-0000-0D00-000006000000}">
      <text>
        <r>
          <rPr>
            <b/>
            <sz val="9"/>
            <color indexed="81"/>
            <rFont val="Tahoma"/>
            <family val="2"/>
          </rPr>
          <t xml:space="preserve">LightCounting estimate
</t>
        </r>
      </text>
    </comment>
    <comment ref="F16" authorId="0" shapeId="0" xr:uid="{00000000-0006-0000-0D00-000007000000}">
      <text>
        <r>
          <rPr>
            <b/>
            <sz val="9"/>
            <color indexed="81"/>
            <rFont val="Tahoma"/>
            <family val="2"/>
          </rPr>
          <t>John Lively:</t>
        </r>
        <r>
          <rPr>
            <sz val="9"/>
            <color indexed="81"/>
            <rFont val="Tahoma"/>
            <family val="2"/>
          </rPr>
          <t xml:space="preserve">
LC estimate, because did not report revenues for this quarter.</t>
        </r>
      </text>
    </comment>
    <comment ref="G16" authorId="0" shapeId="0" xr:uid="{00000000-0006-0000-0D00-000008000000}">
      <text>
        <r>
          <rPr>
            <b/>
            <sz val="9"/>
            <color rgb="FF000000"/>
            <rFont val="Tahoma"/>
            <family val="2"/>
          </rPr>
          <t>LightCounting estimate</t>
        </r>
      </text>
    </comment>
    <comment ref="O16" authorId="0" shapeId="0" xr:uid="{00000000-0006-0000-0D00-000009000000}">
      <text>
        <r>
          <rPr>
            <b/>
            <sz val="9"/>
            <color rgb="FF000000"/>
            <rFont val="Tahoma"/>
            <family val="2"/>
          </rPr>
          <t>Estimated</t>
        </r>
      </text>
    </comment>
    <comment ref="C17" authorId="1" shapeId="0" xr:uid="{00000000-0006-0000-0D00-00000A000000}">
      <text>
        <r>
          <rPr>
            <sz val="8"/>
            <color indexed="81"/>
            <rFont val="Tahoma"/>
            <family val="2"/>
          </rPr>
          <t>LightCounting estimate</t>
        </r>
      </text>
    </comment>
    <comment ref="D17" authorId="1" shapeId="0" xr:uid="{00000000-0006-0000-0D00-00000B000000}">
      <text>
        <r>
          <rPr>
            <sz val="8"/>
            <color indexed="81"/>
            <rFont val="Tahoma"/>
            <family val="2"/>
          </rPr>
          <t>LightCounting estimate</t>
        </r>
      </text>
    </comment>
    <comment ref="E17" authorId="1" shapeId="0" xr:uid="{00000000-0006-0000-0D00-00000C000000}">
      <text>
        <r>
          <rPr>
            <sz val="8"/>
            <color indexed="81"/>
            <rFont val="Tahoma"/>
            <family val="2"/>
          </rPr>
          <t>LightCounting estimate</t>
        </r>
      </text>
    </comment>
    <comment ref="F17" authorId="1" shapeId="0" xr:uid="{00000000-0006-0000-0D00-00000D000000}">
      <text>
        <r>
          <rPr>
            <sz val="8"/>
            <color rgb="FF000000"/>
            <rFont val="Tahoma"/>
            <family val="2"/>
          </rPr>
          <t>LightCounting estimate</t>
        </r>
      </text>
    </comment>
    <comment ref="G17" authorId="0" shapeId="0" xr:uid="{00000000-0006-0000-0D00-00000E000000}">
      <text>
        <r>
          <rPr>
            <b/>
            <sz val="9"/>
            <color indexed="81"/>
            <rFont val="Tahoma"/>
            <family val="2"/>
          </rPr>
          <t>LightCounting estimate</t>
        </r>
      </text>
    </comment>
    <comment ref="B18" authorId="1" shapeId="0" xr:uid="{00000000-0006-0000-0D00-00000F000000}">
      <text>
        <r>
          <rPr>
            <b/>
            <sz val="8"/>
            <color indexed="81"/>
            <rFont val="Tahoma"/>
            <family val="2"/>
          </rPr>
          <t>OC business split from JDSU in 3Q15. Revenues shown are reported as Optical Communications revenues, not total company revenues/</t>
        </r>
      </text>
    </comment>
    <comment ref="N18" authorId="0" shapeId="0" xr:uid="{00000000-0006-0000-0D00-00001000000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18" authorId="0" shapeId="0" xr:uid="{00000000-0006-0000-0D00-00001100000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19" authorId="0" shapeId="0" xr:uid="{00000000-0006-0000-0D00-00001200000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0" authorId="0" shapeId="0" xr:uid="{00000000-0006-0000-0D00-000013000000}">
      <text>
        <r>
          <rPr>
            <b/>
            <sz val="9"/>
            <color indexed="81"/>
            <rFont val="Tahoma"/>
            <family val="2"/>
          </rPr>
          <t>John Lively:</t>
        </r>
        <r>
          <rPr>
            <sz val="9"/>
            <color indexed="81"/>
            <rFont val="Tahoma"/>
            <family val="2"/>
          </rPr>
          <t xml:space="preserve">
my estimate less 20 days worth for what was reported by Lumentum</t>
        </r>
      </text>
    </comment>
    <comment ref="G22" authorId="0" shapeId="0" xr:uid="{00000000-0006-0000-0D00-000014000000}">
      <text>
        <r>
          <rPr>
            <b/>
            <sz val="9"/>
            <color indexed="81"/>
            <rFont val="Tahoma"/>
            <family val="2"/>
          </rPr>
          <t>LightCounting estimate</t>
        </r>
      </text>
    </comment>
    <comment ref="H22" authorId="0" shapeId="0" xr:uid="{00000000-0006-0000-0D00-000015000000}">
      <text>
        <r>
          <rPr>
            <b/>
            <sz val="9"/>
            <color indexed="81"/>
            <rFont val="Tahoma"/>
            <family val="2"/>
          </rPr>
          <t>John Lively:</t>
        </r>
        <r>
          <rPr>
            <sz val="9"/>
            <color indexed="81"/>
            <rFont val="Tahoma"/>
            <family val="2"/>
          </rPr>
          <t xml:space="preserve">
LightCounting estimate, based on reported revenue for 1H17</t>
        </r>
      </text>
    </comment>
    <comment ref="O22" authorId="0" shapeId="0" xr:uid="{00000000-0006-0000-0D00-000016000000}">
      <text>
        <r>
          <rPr>
            <b/>
            <sz val="9"/>
            <color indexed="81"/>
            <rFont val="Tahoma"/>
            <family val="2"/>
          </rPr>
          <t>Estimated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U8" authorId="0" shapeId="0" xr:uid="{00000000-0006-0000-0E00-000001000000}">
      <text>
        <r>
          <rPr>
            <sz val="9"/>
            <color indexed="81"/>
            <rFont val="Tahoma"/>
            <family val="2"/>
          </rPr>
          <t xml:space="preserve">"strong demand for our PC, gaming and data center products drove record quarterly revenue"
</t>
        </r>
      </text>
    </comment>
    <comment ref="J11" authorId="0" shapeId="0" xr:uid="{00000000-0006-0000-0E00-000002000000}">
      <text>
        <r>
          <rPr>
            <b/>
            <sz val="10"/>
            <color indexed="81"/>
            <rFont val="Tahoma"/>
            <family val="2"/>
          </rPr>
          <t>John Lively:</t>
        </r>
        <r>
          <rPr>
            <sz val="10"/>
            <color indexed="81"/>
            <rFont val="Tahoma"/>
            <family val="2"/>
          </rPr>
          <t xml:space="preserve">
now includes Brocade contributition</t>
        </r>
      </text>
    </comment>
    <comment ref="N11" authorId="0" shapeId="0" xr:uid="{00000000-0006-0000-0E00-000003000000}">
      <text>
        <r>
          <rPr>
            <b/>
            <sz val="9"/>
            <color indexed="81"/>
            <rFont val="Tahoma"/>
            <family val="2"/>
          </rPr>
          <t>John Lively:</t>
        </r>
        <r>
          <rPr>
            <sz val="9"/>
            <color indexed="81"/>
            <rFont val="Tahoma"/>
            <family val="2"/>
          </rPr>
          <t xml:space="preserve">
for period ended February 3, 2019</t>
        </r>
      </text>
    </comment>
    <comment ref="T11" authorId="0" shapeId="0" xr:uid="{00000000-0006-0000-0E00-000004000000}">
      <text>
        <r>
          <rPr>
            <sz val="9"/>
            <color indexed="81"/>
            <rFont val="Tahoma"/>
            <family val="2"/>
          </rPr>
          <t xml:space="preserve">
period ended August 31, 2020</t>
        </r>
      </text>
    </comment>
    <comment ref="C19" authorId="0" shapeId="0" xr:uid="{00000000-0006-0000-0E00-000005000000}">
      <text>
        <r>
          <rPr>
            <b/>
            <sz val="9"/>
            <color indexed="81"/>
            <rFont val="Tahoma"/>
            <family val="2"/>
          </rPr>
          <t>John Lively:</t>
        </r>
        <r>
          <rPr>
            <sz val="9"/>
            <color indexed="81"/>
            <rFont val="Tahoma"/>
            <family val="2"/>
          </rPr>
          <t xml:space="preserve">
restated for discontinued operations in Feb 2017 earnings report</t>
        </r>
      </text>
    </comment>
    <comment ref="D19" authorId="0" shapeId="0" xr:uid="{00000000-0006-0000-0E00-000006000000}">
      <text>
        <r>
          <rPr>
            <b/>
            <sz val="9"/>
            <color indexed="81"/>
            <rFont val="Tahoma"/>
            <family val="2"/>
          </rPr>
          <t>John Lively:</t>
        </r>
        <r>
          <rPr>
            <sz val="9"/>
            <color indexed="81"/>
            <rFont val="Tahoma"/>
            <family val="2"/>
          </rPr>
          <t xml:space="preserve">
restated for discontinued operations in Feb 2017 earnings report</t>
        </r>
      </text>
    </comment>
    <comment ref="E19" authorId="0" shapeId="0" xr:uid="{00000000-0006-0000-0E00-000007000000}">
      <text>
        <r>
          <rPr>
            <b/>
            <sz val="9"/>
            <color indexed="81"/>
            <rFont val="Tahoma"/>
            <family val="2"/>
          </rPr>
          <t>John Lively:</t>
        </r>
        <r>
          <rPr>
            <sz val="9"/>
            <color indexed="81"/>
            <rFont val="Tahoma"/>
            <family val="2"/>
          </rPr>
          <t xml:space="preserve">
restated for discontinued operations in Feb 2017 earnings report</t>
        </r>
      </text>
    </comment>
    <comment ref="F19" authorId="0" shapeId="0" xr:uid="{00000000-0006-0000-0E00-000008000000}">
      <text>
        <r>
          <rPr>
            <b/>
            <sz val="9"/>
            <color indexed="81"/>
            <rFont val="Tahoma"/>
            <family val="2"/>
          </rPr>
          <t>John Lively:</t>
        </r>
        <r>
          <rPr>
            <sz val="9"/>
            <color indexed="81"/>
            <rFont val="Tahoma"/>
            <family val="2"/>
          </rPr>
          <t xml:space="preserve">
restated for discontinued operations in Feb 2017 earnings report</t>
        </r>
      </text>
    </comment>
    <comment ref="P23" authorId="0" shapeId="0" xr:uid="{00000000-0006-0000-0E00-000009000000}">
      <text>
        <r>
          <rPr>
            <b/>
            <sz val="9"/>
            <color indexed="81"/>
            <rFont val="Tahoma"/>
            <family val="2"/>
          </rPr>
          <t>John Lively:</t>
        </r>
        <r>
          <rPr>
            <sz val="9"/>
            <color indexed="81"/>
            <rFont val="Tahoma"/>
            <family val="2"/>
          </rPr>
          <t xml:space="preserve">
excludes one-time royalty payment of $4.7 bn by Apple in settlement of a licensing dispute.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3" authorId="0" shapeId="0" xr:uid="{00000000-0006-0000-0300-000001000000}">
      <text>
        <r>
          <rPr>
            <b/>
            <sz val="9"/>
            <color indexed="81"/>
            <rFont val="Tahoma"/>
            <family val="2"/>
          </rPr>
          <t>Includes XENPAK also, through 4Q10</t>
        </r>
      </text>
    </comment>
    <comment ref="D16" authorId="0" shapeId="0" xr:uid="{00000000-0006-0000-0300-000002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M16" authorId="0" shapeId="0" xr:uid="{00000000-0006-0000-0300-000003000000}">
      <text>
        <r>
          <rPr>
            <b/>
            <sz val="9"/>
            <color rgb="FF000000"/>
            <rFont val="Tahoma"/>
            <family val="2"/>
          </rPr>
          <t>added to the above</t>
        </r>
      </text>
    </comment>
    <comment ref="N16" authorId="0" shapeId="0" xr:uid="{00000000-0006-0000-0300-000004000000}">
      <text>
        <r>
          <rPr>
            <b/>
            <sz val="9"/>
            <color rgb="FF000000"/>
            <rFont val="Tahoma"/>
            <family val="2"/>
          </rPr>
          <t>added to the above</t>
        </r>
      </text>
    </comment>
    <comment ref="K20" authorId="0" shapeId="0" xr:uid="{00000000-0006-0000-0300-000005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0" authorId="0" shapeId="0" xr:uid="{00000000-0006-0000-0300-000006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D21" authorId="0" shapeId="0" xr:uid="{00000000-0006-0000-0300-000007000000}">
      <text>
        <r>
          <rPr>
            <b/>
            <sz val="9"/>
            <color indexed="81"/>
            <rFont val="Tahoma"/>
            <family val="2"/>
          </rPr>
          <t xml:space="preserve">2 km reach </t>
        </r>
      </text>
    </comment>
    <comment ref="K23" authorId="0" shapeId="0" xr:uid="{00000000-0006-0000-0300-000008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3" authorId="0" shapeId="0" xr:uid="{00000000-0006-0000-0300-000009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K25" authorId="0" shapeId="0" xr:uid="{00000000-0006-0000-0300-00000A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5" authorId="0" shapeId="0" xr:uid="{00000000-0006-0000-0300-00000B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B29" authorId="0" shapeId="0" xr:uid="{00000000-0006-0000-0300-00000C000000}">
      <text>
        <r>
          <rPr>
            <b/>
            <sz val="9"/>
            <color indexed="81"/>
            <rFont val="Tahoma"/>
            <family val="2"/>
          </rPr>
          <t>John Lively:</t>
        </r>
        <r>
          <rPr>
            <sz val="9"/>
            <color indexed="81"/>
            <rFont val="Tahoma"/>
            <family val="2"/>
          </rPr>
          <t xml:space="preserve">
move to legacy
</t>
        </r>
      </text>
    </comment>
    <comment ref="B32" authorId="1" shapeId="0" xr:uid="{00000000-0006-0000-0300-00000D000000}">
      <text>
        <r>
          <rPr>
            <b/>
            <sz val="9"/>
            <color indexed="81"/>
            <rFont val="Tahoma"/>
            <family val="2"/>
          </rPr>
          <t>Dale:</t>
        </r>
        <r>
          <rPr>
            <sz val="9"/>
            <color indexed="81"/>
            <rFont val="Tahoma"/>
            <family val="2"/>
          </rPr>
          <t xml:space="preserve">
Extended short reach 40GbE on MMF</t>
        </r>
      </text>
    </comment>
    <comment ref="B34" authorId="0" shapeId="0" xr:uid="{00000000-0006-0000-0300-00000E000000}">
      <text>
        <r>
          <rPr>
            <b/>
            <sz val="9"/>
            <color indexed="81"/>
            <rFont val="Tahoma"/>
            <family val="2"/>
          </rPr>
          <t>John Lively:</t>
        </r>
        <r>
          <rPr>
            <sz val="9"/>
            <color indexed="81"/>
            <rFont val="Tahoma"/>
            <family val="2"/>
          </rPr>
          <t xml:space="preserve">
move to legacy
</t>
        </r>
      </text>
    </comment>
    <comment ref="B38" authorId="1" shapeId="0" xr:uid="{00000000-0006-0000-0300-00000F000000}">
      <text>
        <r>
          <rPr>
            <b/>
            <sz val="9"/>
            <color indexed="81"/>
            <rFont val="Tahoma"/>
            <family val="2"/>
          </rPr>
          <t>Dale:</t>
        </r>
        <r>
          <rPr>
            <sz val="9"/>
            <color indexed="81"/>
            <rFont val="Tahoma"/>
            <family val="2"/>
          </rPr>
          <t xml:space="preserve">
Full spec versions only. Please record 2km or subspec versions above</t>
        </r>
      </text>
    </comment>
    <comment ref="B46" authorId="0" shapeId="0" xr:uid="{00000000-0006-0000-0300-000010000000}">
      <text>
        <r>
          <rPr>
            <b/>
            <sz val="9"/>
            <color indexed="81"/>
            <rFont val="Tahoma"/>
            <family val="2"/>
          </rPr>
          <t xml:space="preserve">John Lively:
Include eSR4 on this line
</t>
        </r>
        <r>
          <rPr>
            <sz val="9"/>
            <color indexed="81"/>
            <rFont val="Tahoma"/>
            <family val="2"/>
          </rPr>
          <t xml:space="preserve">
</t>
        </r>
      </text>
    </comment>
    <comment ref="D46" authorId="2" shapeId="0" xr:uid="{00000000-0006-0000-0300-000011000000}">
      <text>
        <r>
          <rPr>
            <b/>
            <sz val="9"/>
            <color indexed="81"/>
            <rFont val="Tahoma"/>
            <family val="2"/>
          </rPr>
          <t>Does not include CPAK</t>
        </r>
      </text>
    </comment>
    <comment ref="B48" authorId="0" shapeId="0" xr:uid="{00000000-0006-0000-0300-000012000000}">
      <text>
        <r>
          <rPr>
            <b/>
            <sz val="9"/>
            <color indexed="81"/>
            <rFont val="Tahoma"/>
            <family val="2"/>
          </rPr>
          <t>John Lively:</t>
        </r>
        <r>
          <rPr>
            <sz val="9"/>
            <color indexed="81"/>
            <rFont val="Tahoma"/>
            <family val="2"/>
          </rPr>
          <t xml:space="preserve">
make this line MM Duplex only</t>
        </r>
      </text>
    </comment>
    <comment ref="D53" authorId="2" shapeId="0" xr:uid="{00000000-0006-0000-0300-000013000000}">
      <text>
        <r>
          <rPr>
            <b/>
            <sz val="9"/>
            <color indexed="81"/>
            <rFont val="Tahoma"/>
            <family val="2"/>
          </rPr>
          <t>Does not include CPAK</t>
        </r>
      </text>
    </comment>
    <comment ref="D54" authorId="2" shapeId="0" xr:uid="{00000000-0006-0000-0300-000014000000}">
      <text>
        <r>
          <rPr>
            <b/>
            <sz val="9"/>
            <color indexed="81"/>
            <rFont val="Tahoma"/>
            <family val="2"/>
          </rPr>
          <t>Does not include CPAK</t>
        </r>
      </text>
    </comment>
    <comment ref="K54" authorId="0" shapeId="0" xr:uid="{00000000-0006-0000-0300-000015000000}">
      <text>
        <r>
          <rPr>
            <b/>
            <sz val="9"/>
            <color indexed="81"/>
            <rFont val="Tahoma"/>
            <family val="2"/>
          </rPr>
          <t>John Lively:</t>
        </r>
        <r>
          <rPr>
            <sz val="9"/>
            <color indexed="81"/>
            <rFont val="Tahoma"/>
            <family val="2"/>
          </rPr>
          <t xml:space="preserve">
this is CFP2/4 in the forecast</t>
        </r>
      </text>
    </comment>
    <comment ref="K56" authorId="0" shapeId="0" xr:uid="{00000000-0006-0000-0300-000016000000}">
      <text>
        <r>
          <rPr>
            <b/>
            <sz val="9"/>
            <color indexed="81"/>
            <rFont val="Tahoma"/>
            <family val="2"/>
          </rPr>
          <t>John Lively:</t>
        </r>
        <r>
          <rPr>
            <sz val="9"/>
            <color indexed="81"/>
            <rFont val="Tahoma"/>
            <family val="2"/>
          </rPr>
          <t xml:space="preserve">
4
WDM10 and LR4 combined</t>
        </r>
      </text>
    </comment>
    <comment ref="K59" authorId="0" shapeId="0" xr:uid="{00000000-0006-0000-0300-000017000000}">
      <text>
        <r>
          <rPr>
            <b/>
            <sz val="9"/>
            <color indexed="81"/>
            <rFont val="Tahoma"/>
            <family val="2"/>
          </rPr>
          <t>John Lively:</t>
        </r>
        <r>
          <rPr>
            <sz val="9"/>
            <color indexed="81"/>
            <rFont val="Tahoma"/>
            <family val="2"/>
          </rPr>
          <t xml:space="preserve">
included below
</t>
        </r>
      </text>
    </comment>
    <comment ref="D82" authorId="0" shapeId="0" xr:uid="{00000000-0006-0000-0300-000018000000}">
      <text>
        <r>
          <rPr>
            <b/>
            <sz val="9"/>
            <color indexed="81"/>
            <rFont val="Tahoma"/>
            <family val="2"/>
          </rPr>
          <t>Includes XENPAK also, through 4Q10</t>
        </r>
      </text>
    </comment>
    <comment ref="D85" authorId="0" shapeId="0" xr:uid="{00000000-0006-0000-0300-000019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90" authorId="0" shapeId="0" xr:uid="{00000000-0006-0000-0300-00001A000000}">
      <text>
        <r>
          <rPr>
            <b/>
            <sz val="9"/>
            <color indexed="81"/>
            <rFont val="Tahoma"/>
            <family val="2"/>
          </rPr>
          <t xml:space="preserve">2 km reach </t>
        </r>
      </text>
    </comment>
    <comment ref="B101" authorId="1" shapeId="0" xr:uid="{00000000-0006-0000-0300-00001B000000}">
      <text>
        <r>
          <rPr>
            <b/>
            <sz val="9"/>
            <color indexed="81"/>
            <rFont val="Tahoma"/>
            <family val="2"/>
          </rPr>
          <t>Dale:</t>
        </r>
        <r>
          <rPr>
            <sz val="9"/>
            <color indexed="81"/>
            <rFont val="Tahoma"/>
            <family val="2"/>
          </rPr>
          <t xml:space="preserve">
Extended short reach 40GbE on MMF</t>
        </r>
      </text>
    </comment>
    <comment ref="B107" authorId="1" shapeId="0" xr:uid="{00000000-0006-0000-0300-00001C000000}">
      <text>
        <r>
          <rPr>
            <b/>
            <sz val="9"/>
            <color indexed="81"/>
            <rFont val="Tahoma"/>
            <family val="2"/>
          </rPr>
          <t>Dale:</t>
        </r>
        <r>
          <rPr>
            <sz val="9"/>
            <color indexed="81"/>
            <rFont val="Tahoma"/>
            <family val="2"/>
          </rPr>
          <t xml:space="preserve">
Full spec versions only. Please record 2km or subspec versions above</t>
        </r>
      </text>
    </comment>
    <comment ref="D115" authorId="2" shapeId="0" xr:uid="{00000000-0006-0000-0300-00001D000000}">
      <text>
        <r>
          <rPr>
            <b/>
            <sz val="9"/>
            <color indexed="81"/>
            <rFont val="Tahoma"/>
            <family val="2"/>
          </rPr>
          <t>Does not include CPAK</t>
        </r>
      </text>
    </comment>
    <comment ref="D122" authorId="2" shapeId="0" xr:uid="{00000000-0006-0000-0300-00001E000000}">
      <text>
        <r>
          <rPr>
            <b/>
            <sz val="9"/>
            <color indexed="81"/>
            <rFont val="Tahoma"/>
            <family val="2"/>
          </rPr>
          <t>Does not include CPAK</t>
        </r>
      </text>
    </comment>
    <comment ref="D123" authorId="2" shapeId="0" xr:uid="{00000000-0006-0000-0300-00001F000000}">
      <text>
        <r>
          <rPr>
            <b/>
            <sz val="9"/>
            <color indexed="81"/>
            <rFont val="Tahoma"/>
            <family val="2"/>
          </rPr>
          <t>Does not include CPAK</t>
        </r>
      </text>
    </comment>
    <comment ref="D151" authorId="0" shapeId="0" xr:uid="{00000000-0006-0000-0300-000020000000}">
      <text>
        <r>
          <rPr>
            <b/>
            <sz val="9"/>
            <color indexed="81"/>
            <rFont val="Tahoma"/>
            <family val="2"/>
          </rPr>
          <t>Includes XENPAK also, through 4Q10</t>
        </r>
      </text>
    </comment>
    <comment ref="D154" authorId="0" shapeId="0" xr:uid="{00000000-0006-0000-0300-00002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59" authorId="0" shapeId="0" xr:uid="{00000000-0006-0000-0300-000022000000}">
      <text>
        <r>
          <rPr>
            <b/>
            <sz val="9"/>
            <color indexed="81"/>
            <rFont val="Tahoma"/>
            <family val="2"/>
          </rPr>
          <t xml:space="preserve">2 km reach </t>
        </r>
      </text>
    </comment>
    <comment ref="B170" authorId="1" shapeId="0" xr:uid="{00000000-0006-0000-0300-000023000000}">
      <text>
        <r>
          <rPr>
            <b/>
            <sz val="9"/>
            <color indexed="81"/>
            <rFont val="Tahoma"/>
            <family val="2"/>
          </rPr>
          <t>Dale:</t>
        </r>
        <r>
          <rPr>
            <sz val="9"/>
            <color indexed="81"/>
            <rFont val="Tahoma"/>
            <family val="2"/>
          </rPr>
          <t xml:space="preserve">
Extended short reach 40GbE on MMF</t>
        </r>
      </text>
    </comment>
    <comment ref="B176" authorId="1" shapeId="0" xr:uid="{00000000-0006-0000-0300-000024000000}">
      <text>
        <r>
          <rPr>
            <b/>
            <sz val="9"/>
            <color indexed="81"/>
            <rFont val="Tahoma"/>
            <family val="2"/>
          </rPr>
          <t>Dale:</t>
        </r>
        <r>
          <rPr>
            <sz val="9"/>
            <color indexed="81"/>
            <rFont val="Tahoma"/>
            <family val="2"/>
          </rPr>
          <t xml:space="preserve">
Full spec versions only. Please record 2km or subspec versions above</t>
        </r>
      </text>
    </comment>
    <comment ref="D184" authorId="2" shapeId="0" xr:uid="{00000000-0006-0000-0300-000025000000}">
      <text>
        <r>
          <rPr>
            <b/>
            <sz val="9"/>
            <color indexed="81"/>
            <rFont val="Tahoma"/>
            <family val="2"/>
          </rPr>
          <t>Does not include CPAK</t>
        </r>
      </text>
    </comment>
    <comment ref="D191" authorId="2" shapeId="0" xr:uid="{00000000-0006-0000-0300-000026000000}">
      <text>
        <r>
          <rPr>
            <b/>
            <sz val="9"/>
            <color indexed="81"/>
            <rFont val="Tahoma"/>
            <family val="2"/>
          </rPr>
          <t>Does not include CPAK</t>
        </r>
      </text>
    </comment>
    <comment ref="D192" authorId="2" shapeId="0" xr:uid="{00000000-0006-0000-0300-000027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5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5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600-000001000000}">
      <text>
        <r>
          <rPr>
            <sz val="9"/>
            <color indexed="81"/>
            <rFont val="Tahoma"/>
            <family val="2"/>
          </rPr>
          <t>Most CPRI links are limited to 15 km or less by latency requirements</t>
        </r>
      </text>
    </comment>
    <comment ref="B13" authorId="0" shapeId="0" xr:uid="{00000000-0006-0000-0600-000002000000}">
      <text>
        <r>
          <rPr>
            <sz val="9"/>
            <color indexed="81"/>
            <rFont val="Tahoma"/>
            <family val="2"/>
          </rPr>
          <t>Most CPRI links are limited to 15 km or less by latency requirements</t>
        </r>
      </text>
    </comment>
    <comment ref="B16" authorId="0" shapeId="0" xr:uid="{00000000-0006-0000-0600-000003000000}">
      <text>
        <r>
          <rPr>
            <sz val="9"/>
            <color rgb="FF000000"/>
            <rFont val="Tahoma"/>
            <family val="2"/>
          </rPr>
          <t>Most CPRI links are limited to 15 km or less by latency requirements</t>
        </r>
      </text>
    </comment>
    <comment ref="B19" authorId="0" shapeId="0" xr:uid="{00000000-0006-0000-0600-000004000000}">
      <text>
        <r>
          <rPr>
            <sz val="9"/>
            <color indexed="81"/>
            <rFont val="Tahoma"/>
            <family val="2"/>
          </rPr>
          <t>Most CPRI links are limited to 15 km or less by latency requirements</t>
        </r>
      </text>
    </comment>
    <comment ref="B23" authorId="0" shapeId="0" xr:uid="{00000000-0006-0000-0600-000005000000}">
      <text>
        <r>
          <rPr>
            <sz val="9"/>
            <color indexed="81"/>
            <rFont val="Tahoma"/>
            <family val="2"/>
          </rPr>
          <t>Most CPRI links are limited to 15 km or less by latency requirements</t>
        </r>
      </text>
    </comment>
    <comment ref="B40" authorId="0" shapeId="0" xr:uid="{00000000-0006-0000-0600-000006000000}">
      <text>
        <r>
          <rPr>
            <sz val="9"/>
            <color indexed="81"/>
            <rFont val="Tahoma"/>
            <family val="2"/>
          </rPr>
          <t>Most CPRI links are limited to 15 km or less by latency requirements</t>
        </r>
      </text>
    </comment>
    <comment ref="B43" authorId="0" shapeId="0" xr:uid="{00000000-0006-0000-0600-000007000000}">
      <text>
        <r>
          <rPr>
            <sz val="9"/>
            <color indexed="81"/>
            <rFont val="Tahoma"/>
            <family val="2"/>
          </rPr>
          <t>Most CPRI links are limited to 15 km or less by latency requirements</t>
        </r>
      </text>
    </comment>
    <comment ref="B46" authorId="0" shapeId="0" xr:uid="{00000000-0006-0000-0600-000008000000}">
      <text>
        <r>
          <rPr>
            <sz val="9"/>
            <color indexed="81"/>
            <rFont val="Tahoma"/>
            <family val="2"/>
          </rPr>
          <t>Most CPRI links are limited to 15 km or less by latency requirements</t>
        </r>
      </text>
    </comment>
    <comment ref="B49" authorId="0" shapeId="0" xr:uid="{00000000-0006-0000-0600-000009000000}">
      <text>
        <r>
          <rPr>
            <sz val="9"/>
            <color indexed="81"/>
            <rFont val="Tahoma"/>
            <family val="2"/>
          </rPr>
          <t>Most CPRI links are limited to 15 km or less by latency requirements</t>
        </r>
      </text>
    </comment>
    <comment ref="B53" authorId="0" shapeId="0" xr:uid="{00000000-0006-0000-0600-00000A000000}">
      <text>
        <r>
          <rPr>
            <sz val="9"/>
            <color indexed="81"/>
            <rFont val="Tahoma"/>
            <family val="2"/>
          </rPr>
          <t>Most CPRI links are limited to 15 km or less by latency requirements</t>
        </r>
      </text>
    </comment>
    <comment ref="B57" authorId="0" shapeId="0" xr:uid="{00000000-0006-0000-0600-00000B000000}">
      <text>
        <r>
          <rPr>
            <sz val="9"/>
            <color indexed="81"/>
            <rFont val="Tahoma"/>
            <family val="2"/>
          </rPr>
          <t>Most CPRI links are limited to 15 km or less by latency requirements</t>
        </r>
      </text>
    </comment>
    <comment ref="H62" authorId="1" shapeId="0" xr:uid="{00000000-0006-0000-0600-00000C000000}">
      <text>
        <r>
          <rPr>
            <b/>
            <sz val="9"/>
            <color rgb="FF000000"/>
            <rFont val="Tahoma"/>
            <family val="2"/>
          </rPr>
          <t>Reported as "CWDM/DWDM" with no speed specificed</t>
        </r>
      </text>
    </comment>
    <comment ref="I62" authorId="1" shapeId="0" xr:uid="{00000000-0006-0000-0600-00000D000000}">
      <text>
        <r>
          <rPr>
            <b/>
            <sz val="9"/>
            <color indexed="81"/>
            <rFont val="Tahoma"/>
            <family val="2"/>
          </rPr>
          <t>Reported as "CWDM/DWDM" with no speed specificed</t>
        </r>
      </text>
    </comment>
    <comment ref="J62" authorId="1" shapeId="0" xr:uid="{00000000-0006-0000-0600-00000E000000}">
      <text>
        <r>
          <rPr>
            <b/>
            <sz val="9"/>
            <color indexed="81"/>
            <rFont val="Tahoma"/>
            <family val="2"/>
          </rPr>
          <t>Reported as "CWDM/DWDM" with no speed specificed</t>
        </r>
      </text>
    </comment>
    <comment ref="K62" authorId="1" shapeId="0" xr:uid="{00000000-0006-0000-0600-00000F000000}">
      <text>
        <r>
          <rPr>
            <b/>
            <sz val="9"/>
            <color indexed="81"/>
            <rFont val="Tahoma"/>
            <family val="2"/>
          </rPr>
          <t>Reported as "CWDM/DWDM" with no speed specificed</t>
        </r>
      </text>
    </comment>
    <comment ref="B70" authorId="0" shapeId="0" xr:uid="{00000000-0006-0000-0600-000010000000}">
      <text>
        <r>
          <rPr>
            <sz val="9"/>
            <color indexed="81"/>
            <rFont val="Tahoma"/>
            <family val="2"/>
          </rPr>
          <t>Most CPRI links are limited to 15 km or less by latency requirements</t>
        </r>
      </text>
    </comment>
    <comment ref="B73" authorId="0" shapeId="0" xr:uid="{00000000-0006-0000-0600-000011000000}">
      <text>
        <r>
          <rPr>
            <sz val="9"/>
            <color indexed="81"/>
            <rFont val="Tahoma"/>
            <family val="2"/>
          </rPr>
          <t>Most CPRI links are limited to 15 km or less by latency requirements</t>
        </r>
      </text>
    </comment>
    <comment ref="B76" authorId="0" shapeId="0" xr:uid="{00000000-0006-0000-0600-000012000000}">
      <text>
        <r>
          <rPr>
            <sz val="9"/>
            <color indexed="81"/>
            <rFont val="Tahoma"/>
            <family val="2"/>
          </rPr>
          <t>Most CPRI links are limited to 15 km or less by latency requirements</t>
        </r>
      </text>
    </comment>
    <comment ref="B79" authorId="0" shapeId="0" xr:uid="{00000000-0006-0000-0600-000013000000}">
      <text>
        <r>
          <rPr>
            <sz val="9"/>
            <color indexed="81"/>
            <rFont val="Tahoma"/>
            <family val="2"/>
          </rPr>
          <t>Most CPRI links are limited to 15 km or less by latency requirements</t>
        </r>
      </text>
    </comment>
    <comment ref="B83" authorId="0" shapeId="0" xr:uid="{00000000-0006-0000-0600-000014000000}">
      <text>
        <r>
          <rPr>
            <sz val="9"/>
            <color indexed="81"/>
            <rFont val="Tahoma"/>
            <family val="2"/>
          </rPr>
          <t>Most CPRI links are limited to 15 km or less by latency requirements</t>
        </r>
      </text>
    </comment>
    <comment ref="B87" authorId="0" shapeId="0" xr:uid="{00000000-0006-0000-06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R130" authorId="0" shapeId="0" xr:uid="{00000000-0006-0000-0800-000001000000}">
      <text>
        <r>
          <rPr>
            <b/>
            <sz val="9"/>
            <color indexed="81"/>
            <rFont val="Tahoma"/>
            <family val="2"/>
          </rPr>
          <t>Privately held before this date, financials not available</t>
        </r>
      </text>
    </comment>
    <comment ref="T202" authorId="1" shapeId="0" xr:uid="{00000000-0006-0000-0800-000002000000}">
      <text>
        <r>
          <rPr>
            <b/>
            <sz val="9"/>
            <color indexed="81"/>
            <rFont val="Tahoma"/>
            <family val="2"/>
          </rPr>
          <t>John Lively:</t>
        </r>
        <r>
          <rPr>
            <sz val="9"/>
            <color indexed="81"/>
            <rFont val="Tahoma"/>
            <family val="2"/>
          </rPr>
          <t xml:space="preserve">
Do not include HGG or II-VI for 2010-2014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S18" authorId="0" shapeId="0" xr:uid="{00000000-0006-0000-0900-000001000000}">
      <text>
        <r>
          <rPr>
            <b/>
            <sz val="9"/>
            <color indexed="81"/>
            <rFont val="Tahoma"/>
            <family val="2"/>
          </rPr>
          <t xml:space="preserve">Softbank did not include Sprint revenue in its reported revenue for this quarter due to the impending sale to T-Mobile US. We included an estimate for Sprint in this quarter. </t>
        </r>
      </text>
    </comment>
    <comment ref="B21" authorId="0" shapeId="0" xr:uid="{00000000-0006-0000-0900-000002000000}">
      <text>
        <r>
          <rPr>
            <b/>
            <sz val="9"/>
            <color indexed="81"/>
            <rFont val="Tahoma"/>
            <family val="2"/>
          </rPr>
          <t>John Lively:</t>
        </r>
        <r>
          <rPr>
            <sz val="9"/>
            <color indexed="81"/>
            <rFont val="Tahoma"/>
            <family val="2"/>
          </rPr>
          <t xml:space="preserve">
Historical data includes Sprint results as well</t>
        </r>
      </text>
    </comment>
    <comment ref="B43" authorId="0" shapeId="0" xr:uid="{00000000-0006-0000-0900-000003000000}">
      <text>
        <r>
          <rPr>
            <b/>
            <sz val="9"/>
            <color indexed="81"/>
            <rFont val="Tahoma"/>
            <family val="2"/>
          </rPr>
          <t>John Lively:</t>
        </r>
        <r>
          <rPr>
            <sz val="9"/>
            <color indexed="81"/>
            <rFont val="Tahoma"/>
            <family val="2"/>
          </rPr>
          <t xml:space="preserve">
Historical data includes Sprint results as well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39" authorId="0" shapeId="0" xr:uid="{00000000-0006-0000-0A00-00000100000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 ref="O41" authorId="0" shapeId="0" xr:uid="{00000000-0006-0000-0A00-000002000000}">
      <text>
        <r>
          <rPr>
            <b/>
            <sz val="12"/>
            <color indexed="81"/>
            <rFont val="Tahoma"/>
            <family val="2"/>
          </rPr>
          <t>John Lively:</t>
        </r>
        <r>
          <rPr>
            <sz val="12"/>
            <color indexed="81"/>
            <rFont val="Tahoma"/>
            <family val="2"/>
          </rPr>
          <t xml:space="preserve">
JD.com wrote: "net disposals related to development projects was positive, other capex was negative, net was a gain". We show it as a negative here since we normally show capex as a positive number.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G14" authorId="0" shapeId="0" xr:uid="{00000000-0006-0000-0B00-000001000000}">
      <text>
        <r>
          <rPr>
            <b/>
            <sz val="9"/>
            <color indexed="81"/>
            <rFont val="Tahoma"/>
            <family val="2"/>
          </rPr>
          <t>John Lively:</t>
        </r>
        <r>
          <rPr>
            <sz val="9"/>
            <color indexed="81"/>
            <rFont val="Tahoma"/>
            <family val="2"/>
          </rPr>
          <t xml:space="preserve">
estimated based on reported half-yearly figures</t>
        </r>
      </text>
    </comment>
    <comment ref="H14" authorId="0" shapeId="0" xr:uid="{00000000-0006-0000-0B00-000002000000}">
      <text>
        <r>
          <rPr>
            <b/>
            <sz val="9"/>
            <color indexed="81"/>
            <rFont val="Tahoma"/>
            <family val="2"/>
          </rPr>
          <t>John Lively:</t>
        </r>
        <r>
          <rPr>
            <sz val="9"/>
            <color indexed="81"/>
            <rFont val="Tahoma"/>
            <family val="2"/>
          </rPr>
          <t xml:space="preserve">
estimated based on reported half-yearly figures</t>
        </r>
      </text>
    </comment>
    <comment ref="I14" authorId="0" shapeId="0" xr:uid="{00000000-0006-0000-0B00-000003000000}">
      <text>
        <r>
          <rPr>
            <b/>
            <sz val="9"/>
            <color indexed="81"/>
            <rFont val="Tahoma"/>
            <family val="2"/>
          </rPr>
          <t>John Lively:</t>
        </r>
        <r>
          <rPr>
            <sz val="9"/>
            <color indexed="81"/>
            <rFont val="Tahoma"/>
            <family val="2"/>
          </rPr>
          <t xml:space="preserve">
estimated based on reported half-yearly figures</t>
        </r>
      </text>
    </comment>
    <comment ref="J14" authorId="0" shapeId="0" xr:uid="{00000000-0006-0000-0B00-000004000000}">
      <text>
        <r>
          <rPr>
            <b/>
            <sz val="9"/>
            <color indexed="81"/>
            <rFont val="Tahoma"/>
            <family val="2"/>
          </rPr>
          <t>John Lively:</t>
        </r>
        <r>
          <rPr>
            <sz val="9"/>
            <color indexed="81"/>
            <rFont val="Tahoma"/>
            <family val="2"/>
          </rPr>
          <t xml:space="preserve">
estimated based on reported half-yearly figures</t>
        </r>
      </text>
    </comment>
    <comment ref="K14" authorId="0" shapeId="0" xr:uid="{00000000-0006-0000-0B00-000005000000}">
      <text>
        <r>
          <rPr>
            <b/>
            <sz val="9"/>
            <color indexed="81"/>
            <rFont val="Tahoma"/>
            <family val="2"/>
          </rPr>
          <t>John Lively:</t>
        </r>
        <r>
          <rPr>
            <sz val="9"/>
            <color indexed="81"/>
            <rFont val="Tahoma"/>
            <family val="2"/>
          </rPr>
          <t xml:space="preserve">
estimated based on reported half-yearly figures</t>
        </r>
      </text>
    </comment>
    <comment ref="L14" authorId="0" shapeId="0" xr:uid="{00000000-0006-0000-0B00-000006000000}">
      <text>
        <r>
          <rPr>
            <b/>
            <sz val="9"/>
            <color indexed="81"/>
            <rFont val="Tahoma"/>
            <family val="2"/>
          </rPr>
          <t>John Lively:</t>
        </r>
        <r>
          <rPr>
            <sz val="9"/>
            <color indexed="81"/>
            <rFont val="Tahoma"/>
            <family val="2"/>
          </rPr>
          <t xml:space="preserve">
estimated based on reported half-yearly figures</t>
        </r>
      </text>
    </comment>
    <comment ref="M14" authorId="0" shapeId="0" xr:uid="{00000000-0006-0000-0B00-000007000000}">
      <text>
        <r>
          <rPr>
            <b/>
            <sz val="9"/>
            <color indexed="81"/>
            <rFont val="Tahoma"/>
            <family val="2"/>
          </rPr>
          <t>John Lively:</t>
        </r>
        <r>
          <rPr>
            <sz val="9"/>
            <color indexed="81"/>
            <rFont val="Tahoma"/>
            <family val="2"/>
          </rPr>
          <t xml:space="preserve">
estimated based on reported half-yearly figures</t>
        </r>
      </text>
    </comment>
    <comment ref="N14" authorId="0" shapeId="0" xr:uid="{00000000-0006-0000-0B00-000008000000}">
      <text>
        <r>
          <rPr>
            <b/>
            <sz val="9"/>
            <color indexed="81"/>
            <rFont val="Tahoma"/>
            <family val="2"/>
          </rPr>
          <t>John Lively:</t>
        </r>
        <r>
          <rPr>
            <sz val="9"/>
            <color indexed="81"/>
            <rFont val="Tahoma"/>
            <family val="2"/>
          </rPr>
          <t xml:space="preserve">
estimated based on reported half-yearly figures</t>
        </r>
      </text>
    </comment>
    <comment ref="O14" authorId="0" shapeId="0" xr:uid="{00000000-0006-0000-0B00-000009000000}">
      <text>
        <r>
          <rPr>
            <b/>
            <sz val="9"/>
            <color indexed="81"/>
            <rFont val="Tahoma"/>
            <family val="2"/>
          </rPr>
          <t>John Lively:</t>
        </r>
        <r>
          <rPr>
            <sz val="9"/>
            <color indexed="81"/>
            <rFont val="Tahoma"/>
            <family val="2"/>
          </rPr>
          <t xml:space="preserve">
estimated based on reported half-yearly figures</t>
        </r>
      </text>
    </comment>
    <comment ref="P14" authorId="0" shapeId="0" xr:uid="{00000000-0006-0000-0B00-00000A000000}">
      <text>
        <r>
          <rPr>
            <b/>
            <sz val="9"/>
            <color indexed="81"/>
            <rFont val="Tahoma"/>
            <family val="2"/>
          </rPr>
          <t>John Lively:</t>
        </r>
        <r>
          <rPr>
            <sz val="9"/>
            <color indexed="81"/>
            <rFont val="Tahoma"/>
            <family val="2"/>
          </rPr>
          <t xml:space="preserve">
estimated based on reported half-yearly figures</t>
        </r>
      </text>
    </comment>
    <comment ref="Q14" authorId="0" shapeId="0" xr:uid="{00000000-0006-0000-0B00-00000B000000}">
      <text>
        <r>
          <rPr>
            <b/>
            <sz val="9"/>
            <color indexed="81"/>
            <rFont val="Tahoma"/>
            <family val="2"/>
          </rPr>
          <t>John Lively:</t>
        </r>
        <r>
          <rPr>
            <sz val="9"/>
            <color indexed="81"/>
            <rFont val="Tahoma"/>
            <family val="2"/>
          </rPr>
          <t xml:space="preserve">
estimated based on reported half-yearly figures</t>
        </r>
      </text>
    </comment>
    <comment ref="R14" authorId="0" shapeId="0" xr:uid="{00000000-0006-0000-0B00-00000C000000}">
      <text>
        <r>
          <rPr>
            <b/>
            <sz val="9"/>
            <color indexed="81"/>
            <rFont val="Tahoma"/>
            <family val="2"/>
          </rPr>
          <t>John Lively:</t>
        </r>
        <r>
          <rPr>
            <sz val="9"/>
            <color indexed="81"/>
            <rFont val="Tahoma"/>
            <family val="2"/>
          </rPr>
          <t xml:space="preserve">
estimated based on reported half-yearly figures</t>
        </r>
      </text>
    </comment>
    <comment ref="S14" authorId="0" shapeId="0" xr:uid="{00000000-0006-0000-0B00-00000D000000}">
      <text>
        <r>
          <rPr>
            <b/>
            <sz val="9"/>
            <color indexed="81"/>
            <rFont val="Tahoma"/>
            <family val="2"/>
          </rPr>
          <t>John Lively:</t>
        </r>
        <r>
          <rPr>
            <sz val="9"/>
            <color indexed="81"/>
            <rFont val="Tahoma"/>
            <family val="2"/>
          </rPr>
          <t xml:space="preserve">
estimated based on reported half-yearly figures</t>
        </r>
      </text>
    </comment>
    <comment ref="T14" authorId="0" shapeId="0" xr:uid="{00000000-0006-0000-0B00-00000E000000}">
      <text>
        <r>
          <rPr>
            <b/>
            <sz val="9"/>
            <color indexed="81"/>
            <rFont val="Tahoma"/>
            <family val="2"/>
          </rPr>
          <t>John Lively:</t>
        </r>
        <r>
          <rPr>
            <sz val="9"/>
            <color indexed="81"/>
            <rFont val="Tahoma"/>
            <family val="2"/>
          </rPr>
          <t xml:space="preserve">
estimated based on reported half-yearly figures</t>
        </r>
      </text>
    </comment>
    <comment ref="U14" authorId="0" shapeId="0" xr:uid="{00000000-0006-0000-0B00-00000F000000}">
      <text>
        <r>
          <rPr>
            <b/>
            <sz val="9"/>
            <color indexed="81"/>
            <rFont val="Tahoma"/>
            <family val="2"/>
          </rPr>
          <t>John Lively:</t>
        </r>
        <r>
          <rPr>
            <sz val="9"/>
            <color indexed="81"/>
            <rFont val="Tahoma"/>
            <family val="2"/>
          </rPr>
          <t xml:space="preserve">
estimated based on reported half-yearly figures</t>
        </r>
      </text>
    </comment>
    <comment ref="V14" authorId="0" shapeId="0" xr:uid="{00000000-0006-0000-0B00-000010000000}">
      <text>
        <r>
          <rPr>
            <b/>
            <sz val="9"/>
            <color indexed="81"/>
            <rFont val="Tahoma"/>
            <family val="2"/>
          </rPr>
          <t>John Lively:</t>
        </r>
        <r>
          <rPr>
            <sz val="9"/>
            <color indexed="81"/>
            <rFont val="Tahoma"/>
            <family val="2"/>
          </rPr>
          <t xml:space="preserve">
estimated based on reported half-yearly figures</t>
        </r>
      </text>
    </comment>
    <comment ref="N15" authorId="0" shapeId="0" xr:uid="{00000000-0006-0000-0B00-000011000000}">
      <text>
        <r>
          <rPr>
            <b/>
            <sz val="9"/>
            <color indexed="81"/>
            <rFont val="Tahoma"/>
            <family val="2"/>
          </rPr>
          <t>John Lively:</t>
        </r>
        <r>
          <rPr>
            <sz val="9"/>
            <color indexed="81"/>
            <rFont val="Tahoma"/>
            <family val="2"/>
          </rPr>
          <t xml:space="preserve">
Now including Coriant revenues</t>
        </r>
      </text>
    </comment>
    <comment ref="K16" authorId="0" shapeId="0" xr:uid="{00000000-0006-0000-0B00-000012000000}">
      <text>
        <r>
          <rPr>
            <b/>
            <sz val="9"/>
            <color indexed="81"/>
            <rFont val="Tahoma"/>
            <family val="2"/>
          </rPr>
          <t>New segment reporting - not comparable to prior period numbers</t>
        </r>
        <r>
          <rPr>
            <sz val="9"/>
            <color indexed="81"/>
            <rFont val="Tahoma"/>
            <family val="2"/>
          </rPr>
          <t xml:space="preserve">
</t>
        </r>
      </text>
    </comment>
    <comment ref="L16" authorId="0" shapeId="0" xr:uid="{00000000-0006-0000-0B00-000013000000}">
      <text>
        <r>
          <rPr>
            <b/>
            <sz val="9"/>
            <color indexed="81"/>
            <rFont val="Tahoma"/>
            <family val="2"/>
          </rPr>
          <t>New segment reporting - not comparable to prior period numbers</t>
        </r>
        <r>
          <rPr>
            <sz val="9"/>
            <color indexed="81"/>
            <rFont val="Tahoma"/>
            <family val="2"/>
          </rPr>
          <t xml:space="preserve">
</t>
        </r>
      </text>
    </comment>
    <comment ref="M16" authorId="0" shapeId="0" xr:uid="{00000000-0006-0000-0B00-000014000000}">
      <text>
        <r>
          <rPr>
            <b/>
            <sz val="9"/>
            <color indexed="81"/>
            <rFont val="Tahoma"/>
            <family val="2"/>
          </rPr>
          <t>New segment reporting - not comparable to prior period numbers</t>
        </r>
        <r>
          <rPr>
            <sz val="9"/>
            <color indexed="81"/>
            <rFont val="Tahoma"/>
            <family val="2"/>
          </rPr>
          <t xml:space="preserve">
</t>
        </r>
      </text>
    </comment>
    <comment ref="N16" authorId="0" shapeId="0" xr:uid="{00000000-0006-0000-0B00-000015000000}">
      <text>
        <r>
          <rPr>
            <b/>
            <sz val="9"/>
            <color indexed="81"/>
            <rFont val="Tahoma"/>
            <family val="2"/>
          </rPr>
          <t>New segment reporting - not comparable to prior period numbers</t>
        </r>
        <r>
          <rPr>
            <sz val="9"/>
            <color indexed="81"/>
            <rFont val="Tahoma"/>
            <family val="2"/>
          </rPr>
          <t xml:space="preserve">
</t>
        </r>
      </text>
    </comment>
    <comment ref="F17" authorId="0" shapeId="0" xr:uid="{00000000-0006-0000-0B00-00001600000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7" authorId="0" shapeId="0" xr:uid="{00000000-0006-0000-0B00-000017000000}">
      <text>
        <r>
          <rPr>
            <b/>
            <sz val="9"/>
            <color indexed="81"/>
            <rFont val="Tahoma"/>
            <family val="2"/>
          </rPr>
          <t>John Lively:</t>
        </r>
        <r>
          <rPr>
            <sz val="9"/>
            <color indexed="81"/>
            <rFont val="Tahoma"/>
            <family val="2"/>
          </rPr>
          <t xml:space="preserve">
from annual report 3-27-2019</t>
        </r>
      </text>
    </comment>
    <comment ref="M17" authorId="0" shapeId="0" xr:uid="{00000000-0006-0000-0B00-000018000000}">
      <text>
        <r>
          <rPr>
            <b/>
            <sz val="11"/>
            <color indexed="81"/>
            <rFont val="Tahoma"/>
            <family val="2"/>
          </rPr>
          <t>John Lively:</t>
        </r>
        <r>
          <rPr>
            <sz val="11"/>
            <color indexed="81"/>
            <rFont val="Tahoma"/>
            <family val="2"/>
          </rPr>
          <t xml:space="preserve">
fom annual report published 3-27-2019</t>
        </r>
      </text>
    </comment>
    <comment ref="N17" authorId="0" shapeId="0" xr:uid="{00000000-0006-0000-0B00-000019000000}">
      <text>
        <r>
          <rPr>
            <b/>
            <sz val="11"/>
            <color indexed="81"/>
            <rFont val="Tahoma"/>
            <family val="2"/>
          </rPr>
          <t>John Lively:</t>
        </r>
        <r>
          <rPr>
            <sz val="11"/>
            <color indexed="81"/>
            <rFont val="Tahoma"/>
            <family val="2"/>
          </rPr>
          <t xml:space="preserve">
fom annual report published 3-27-2019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9" authorId="0" shapeId="0" xr:uid="{00000000-0006-0000-0C00-00000100000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shapeId="0" xr:uid="{00000000-0006-0000-0C00-000002000000}">
      <text>
        <r>
          <rPr>
            <b/>
            <sz val="9"/>
            <color indexed="81"/>
            <rFont val="Tahoma"/>
            <family val="2"/>
          </rPr>
          <t>Includes EMC's revenues pre-merger also, to avoid distortion of growth trends
Sum of "Servers &amp; Networking" and "Storage" segments</t>
        </r>
      </text>
    </comment>
    <comment ref="R13" authorId="0" shapeId="0" xr:uid="{00000000-0006-0000-0C00-000003000000}">
      <text>
        <r>
          <rPr>
            <b/>
            <sz val="9"/>
            <color indexed="81"/>
            <rFont val="Tahoma"/>
            <family val="2"/>
          </rPr>
          <t>LightCounting estimate</t>
        </r>
      </text>
    </comment>
    <comment ref="C14" authorId="0" shapeId="0" xr:uid="{00000000-0006-0000-0C00-000004000000}">
      <text>
        <r>
          <rPr>
            <b/>
            <sz val="9"/>
            <color indexed="81"/>
            <rFont val="Tahoma"/>
            <family val="2"/>
          </rPr>
          <t>John Lively:</t>
        </r>
        <r>
          <rPr>
            <sz val="9"/>
            <color indexed="81"/>
            <rFont val="Tahoma"/>
            <family val="2"/>
          </rPr>
          <t xml:space="preserve">
Restated May 2017</t>
        </r>
      </text>
    </comment>
    <comment ref="R16" authorId="0" shapeId="0" xr:uid="{00000000-0006-0000-0C00-000005000000}">
      <text>
        <r>
          <rPr>
            <b/>
            <sz val="9"/>
            <color indexed="81"/>
            <rFont val="Tahoma"/>
            <family val="2"/>
          </rPr>
          <t>Consensus estimate as of 3-14-2020</t>
        </r>
      </text>
    </comment>
  </commentList>
</comments>
</file>

<file path=xl/sharedStrings.xml><?xml version="1.0" encoding="utf-8"?>
<sst xmlns="http://schemas.openxmlformats.org/spreadsheetml/2006/main" count="2415" uniqueCount="669">
  <si>
    <t>Optical component vendors</t>
  </si>
  <si>
    <t>Datacom equipment</t>
  </si>
  <si>
    <t>Network equipment</t>
  </si>
  <si>
    <t>Summary charts/tables</t>
  </si>
  <si>
    <t xml:space="preserve">Annual CAGR = </t>
  </si>
  <si>
    <t>1Q17</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</si>
  <si>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</si>
  <si>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</si>
  <si>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</si>
  <si>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</si>
  <si>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</si>
  <si>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</si>
  <si>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</si>
  <si>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</si>
  <si>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</si>
  <si>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</si>
  <si>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</si>
  <si>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</si>
  <si>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</si>
  <si>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</si>
  <si>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</si>
  <si>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</si>
  <si>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</si>
  <si>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</si>
  <si>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</si>
  <si>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</si>
  <si>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Source: Publicly reported financials</t>
  </si>
  <si>
    <t>Source: LightCounting estimates</t>
  </si>
  <si>
    <t>Annual totals for CAGR calculation</t>
  </si>
  <si>
    <t>Brocade</t>
  </si>
  <si>
    <t>Mellanox</t>
  </si>
  <si>
    <t>CAGR</t>
  </si>
  <si>
    <t>Revenue</t>
  </si>
  <si>
    <t>Opportunity matrix</t>
  </si>
  <si>
    <t>Wireless</t>
  </si>
  <si>
    <t>Capex</t>
  </si>
  <si>
    <t>Market segment</t>
  </si>
  <si>
    <t>Telecom SPs</t>
  </si>
  <si>
    <t>Internet SPs</t>
  </si>
  <si>
    <t>Telecom Equipment</t>
  </si>
  <si>
    <t>Datacom Equipment</t>
  </si>
  <si>
    <t>OC Vendors</t>
  </si>
  <si>
    <t>OC Survey</t>
  </si>
  <si>
    <t>Sequential quarterly growth rate</t>
  </si>
  <si>
    <t xml:space="preserve">Companies included: </t>
  </si>
  <si>
    <t>Accelink</t>
  </si>
  <si>
    <t>AFOP</t>
  </si>
  <si>
    <t>Applied Optoelectronics</t>
  </si>
  <si>
    <t>Avago</t>
  </si>
  <si>
    <t>Emcore</t>
  </si>
  <si>
    <t>Finisar</t>
  </si>
  <si>
    <t>Hisense</t>
  </si>
  <si>
    <t>NeoPhotonics</t>
  </si>
  <si>
    <t>Oclaro</t>
  </si>
  <si>
    <t>O-Net</t>
  </si>
  <si>
    <t>Oplink</t>
  </si>
  <si>
    <t>Sumitomo</t>
  </si>
  <si>
    <t xml:space="preserve">Fujitsu </t>
  </si>
  <si>
    <t>Telecom network equipment vendor revenues</t>
  </si>
  <si>
    <t>Datacom system equipment vendor revenues</t>
  </si>
  <si>
    <t>Company</t>
  </si>
  <si>
    <t>Arista Networks</t>
  </si>
  <si>
    <t xml:space="preserve">Quanta not included in charts and group totals because available financial data includes laptops and other consumer electronics in addition to telecom &amp; datacom products. </t>
  </si>
  <si>
    <t>Dell is excluded from trend charts and CAGR calculations to avoid skewing growth rates, since data ends when Dell was taken private in 3Q13.</t>
  </si>
  <si>
    <t>Lenovo acquired IBM's server business in late 2014</t>
  </si>
  <si>
    <t>Capex ($ bn)</t>
  </si>
  <si>
    <t>Alibaba</t>
  </si>
  <si>
    <t>Amazon</t>
  </si>
  <si>
    <t>Apple</t>
  </si>
  <si>
    <t>Baidu</t>
  </si>
  <si>
    <t>eBay</t>
  </si>
  <si>
    <t>Facebook</t>
  </si>
  <si>
    <t>Microsoft</t>
  </si>
  <si>
    <t>Tencent</t>
  </si>
  <si>
    <t>Twitter</t>
  </si>
  <si>
    <t>($ millions)</t>
  </si>
  <si>
    <t>Spending ($ bn)</t>
  </si>
  <si>
    <t>Spending/Revenue</t>
  </si>
  <si>
    <t>Optical components vendor revenues</t>
  </si>
  <si>
    <t>AT&amp;T</t>
  </si>
  <si>
    <t>BT</t>
  </si>
  <si>
    <t>China Mobile</t>
  </si>
  <si>
    <t>China Telecom</t>
  </si>
  <si>
    <t>China Unicom</t>
  </si>
  <si>
    <t>Comcast</t>
  </si>
  <si>
    <t>Deutsche Telekom</t>
  </si>
  <si>
    <t>France Telecom</t>
  </si>
  <si>
    <t>KDDI</t>
  </si>
  <si>
    <t>NTT</t>
  </si>
  <si>
    <t>Softbank</t>
  </si>
  <si>
    <t>Telecom Italia</t>
  </si>
  <si>
    <t>Telefonica</t>
  </si>
  <si>
    <t>Verizon</t>
  </si>
  <si>
    <t>Vodafone</t>
  </si>
  <si>
    <t>Y-0-Y growth rate</t>
  </si>
  <si>
    <t>Companies included:</t>
  </si>
  <si>
    <t>Capex/PP&amp;E</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</si>
  <si>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</si>
  <si>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</si>
  <si>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</si>
  <si>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</si>
  <si>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</si>
  <si>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</si>
  <si>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</si>
  <si>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</si>
  <si>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</si>
  <si>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</si>
  <si>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</si>
  <si>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</si>
  <si>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</si>
  <si>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</si>
  <si>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</si>
  <si>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</si>
  <si>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</si>
  <si>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</si>
  <si>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</si>
  <si>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</si>
  <si>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</si>
  <si>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</si>
  <si>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</si>
  <si>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</si>
  <si>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</si>
  <si>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</si>
  <si>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</si>
  <si>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</si>
  <si>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</si>
  <si>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</si>
  <si>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</si>
  <si>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</si>
  <si>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</si>
  <si>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</si>
  <si>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</si>
  <si>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</si>
  <si>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</si>
  <si>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</si>
  <si>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</si>
  <si>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</si>
  <si>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</si>
  <si>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</si>
  <si>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</si>
  <si>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</si>
  <si>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</si>
  <si>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</si>
  <si>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</si>
  <si>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</si>
  <si>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</si>
  <si>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Q1/Q4</t>
  </si>
  <si>
    <t>Q2/Q1</t>
  </si>
  <si>
    <t>Q4/Q3</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</si>
  <si>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</si>
  <si>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</si>
  <si>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</si>
  <si>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</si>
  <si>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</si>
  <si>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</si>
  <si>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</si>
  <si>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</si>
  <si>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</si>
  <si>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</si>
  <si>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</si>
  <si>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</si>
  <si>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</si>
  <si>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</si>
  <si>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</si>
  <si>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</si>
  <si>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</si>
  <si>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</si>
  <si>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Company revenues (public)</t>
  </si>
  <si>
    <t>Equipment</t>
  </si>
  <si>
    <t>Components</t>
  </si>
  <si>
    <t>This chart only changes semi-annually, after we update our forecast</t>
  </si>
  <si>
    <t>These charts and tables update automatically once the Datacom equip tab is updated</t>
  </si>
  <si>
    <t>Current quarter</t>
  </si>
  <si>
    <t>Rolling 4-Q</t>
  </si>
  <si>
    <t>Market share (publicly reported revenues only)</t>
  </si>
  <si>
    <t>Q3/Q2</t>
  </si>
  <si>
    <t>Revenue growth</t>
  </si>
  <si>
    <t>capex growth</t>
  </si>
  <si>
    <t>Spending growth rate</t>
  </si>
  <si>
    <t>Quanta Computer</t>
  </si>
  <si>
    <t>Lumentum</t>
  </si>
  <si>
    <t>direct updates required</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</si>
  <si>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</si>
  <si>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</si>
  <si>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</si>
  <si>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</si>
  <si>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</si>
  <si>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</si>
  <si>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</si>
  <si>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</si>
  <si>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</si>
  <si>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</si>
  <si>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</si>
  <si>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</si>
  <si>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</si>
  <si>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</si>
  <si>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</si>
  <si>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</si>
  <si>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</si>
  <si>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The LightCounting detailed transceiver market survey results contains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</si>
  <si>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</si>
  <si>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</si>
  <si>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</si>
  <si>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</si>
  <si>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</si>
  <si>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</si>
  <si>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</si>
  <si>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</si>
  <si>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</si>
  <si>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</si>
  <si>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</si>
  <si>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</si>
  <si>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</si>
  <si>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CWDM – All</t>
  </si>
  <si>
    <t>FTTx Transceivers</t>
  </si>
  <si>
    <t>GPON TxRx</t>
  </si>
  <si>
    <t>EPON TxRx</t>
  </si>
  <si>
    <t>BOSAs</t>
  </si>
  <si>
    <t>Parallel Transmitters and Receivers, including EOMs (not pairs)</t>
  </si>
  <si>
    <t>Active Optical Cables</t>
  </si>
  <si>
    <t>Optical Transceivers for Wireless Infrastructure</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</si>
  <si>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</si>
  <si>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</si>
  <si>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</si>
  <si>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</si>
  <si>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</si>
  <si>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</si>
  <si>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</si>
  <si>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</si>
  <si>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</si>
  <si>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</si>
  <si>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</si>
  <si>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</si>
  <si>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</si>
  <si>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</si>
  <si>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</si>
  <si>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</si>
  <si>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</si>
  <si>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</si>
  <si>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</si>
  <si>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</si>
  <si>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</si>
  <si>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</si>
  <si>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X2</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</si>
  <si>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</si>
  <si>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</si>
  <si>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</si>
  <si>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</si>
  <si>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</si>
  <si>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</si>
  <si>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</si>
  <si>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</si>
  <si>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</si>
  <si>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</si>
  <si>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</si>
  <si>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</si>
  <si>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</si>
  <si>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</si>
  <si>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</si>
  <si>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</si>
  <si>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</si>
  <si>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</si>
  <si>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</si>
  <si>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</si>
  <si>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</si>
  <si>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</si>
  <si>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</si>
  <si>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</si>
  <si>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</si>
  <si>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</si>
  <si>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</si>
  <si>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</si>
  <si>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</si>
  <si>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</si>
  <si>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</si>
  <si>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</si>
  <si>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</si>
  <si>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</si>
  <si>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</si>
  <si>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</si>
  <si>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</si>
  <si>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</si>
  <si>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</si>
  <si>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</si>
  <si>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</si>
  <si>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</si>
  <si>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</si>
  <si>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Transceivers</t>
  </si>
  <si>
    <t>≤ 0.5 km</t>
  </si>
  <si>
    <t>0.5-7 km</t>
  </si>
  <si>
    <t>6 Gbps</t>
  </si>
  <si>
    <t>Adjusted for Oplink going private - for apples to apples growth rate calculations</t>
  </si>
  <si>
    <t>Finisar, Lumentum, Oclaro combined</t>
  </si>
  <si>
    <t xml:space="preserve">Annual growth = </t>
  </si>
  <si>
    <t>Sequential change =&gt;</t>
  </si>
  <si>
    <t xml:space="preserve">Cloud-based companies </t>
  </si>
  <si>
    <t>Once the Cloud SPs tab is updated with new data, then this will update automatically</t>
  </si>
  <si>
    <t>Oracle - Hardware</t>
  </si>
  <si>
    <t>China</t>
  </si>
  <si>
    <t>non-China</t>
  </si>
  <si>
    <t>Removed due to M&amp;A</t>
  </si>
  <si>
    <t>Year-over-year growth ==&gt;</t>
  </si>
  <si>
    <t>40 GbE eSR</t>
  </si>
  <si>
    <t xml:space="preserve">100 GbE SR10 </t>
  </si>
  <si>
    <t>100 GbE SR4</t>
  </si>
  <si>
    <t>CFP2/4</t>
  </si>
  <si>
    <t>CFP2 ACO</t>
  </si>
  <si>
    <t>y-o-y</t>
  </si>
  <si>
    <t>Revenue ($ mn)</t>
  </si>
  <si>
    <t>Capex ($ mn)</t>
  </si>
  <si>
    <t>Capex or PP&amp;E ($ mn)</t>
  </si>
  <si>
    <t>7-20 km</t>
  </si>
  <si>
    <t>estimated</t>
  </si>
  <si>
    <t>Y-o-Y quarterly growth rate</t>
  </si>
  <si>
    <t>Intel</t>
  </si>
  <si>
    <t>Kaiam</t>
  </si>
  <si>
    <t>1H17</t>
  </si>
  <si>
    <t>2H17</t>
  </si>
  <si>
    <t>1H18</t>
  </si>
  <si>
    <t>2H18</t>
  </si>
  <si>
    <t>Semiconductor vendor revenues</t>
  </si>
  <si>
    <t>Nokia</t>
  </si>
  <si>
    <t>Analog Devices</t>
  </si>
  <si>
    <t>AMCC</t>
  </si>
  <si>
    <t>Broadcom</t>
  </si>
  <si>
    <t>Inphi</t>
  </si>
  <si>
    <t>Intel - Data Center Products</t>
  </si>
  <si>
    <t>Marvell</t>
  </si>
  <si>
    <t>Microsemi</t>
  </si>
  <si>
    <t>Maxim</t>
  </si>
  <si>
    <t>Semtech</t>
  </si>
  <si>
    <t>STMicroelectronics</t>
  </si>
  <si>
    <t>Texas Instruments</t>
  </si>
  <si>
    <t>Xilinx</t>
  </si>
  <si>
    <t>Growth</t>
  </si>
  <si>
    <t>Rolling 4-Q share</t>
  </si>
  <si>
    <t>Current quarter share</t>
  </si>
  <si>
    <t>Semiconductor vendors</t>
  </si>
  <si>
    <t>Intel - Data Center</t>
  </si>
  <si>
    <t>Cavium</t>
  </si>
  <si>
    <t>&lt;&lt; acquiring ClariPhy</t>
  </si>
  <si>
    <t>GigaPeak</t>
  </si>
  <si>
    <t>Lattice</t>
  </si>
  <si>
    <t>Linear</t>
  </si>
  <si>
    <t>MACOM</t>
  </si>
  <si>
    <t>Qualcomm</t>
  </si>
  <si>
    <t>NXP</t>
  </si>
  <si>
    <t>&lt;&lt; Includes Avago revenues pre-merger</t>
  </si>
  <si>
    <t>Company notes</t>
  </si>
  <si>
    <t>II-VI</t>
  </si>
  <si>
    <t>q-o-q</t>
  </si>
  <si>
    <t>HGG</t>
  </si>
  <si>
    <t>Shipments: Estimated</t>
  </si>
  <si>
    <t>Growth rates (sequential)</t>
  </si>
  <si>
    <t>25GbE SR</t>
  </si>
  <si>
    <t>SFP28</t>
  </si>
  <si>
    <t>25GbE LR</t>
  </si>
  <si>
    <t xml:space="preserve">50GbE </t>
  </si>
  <si>
    <t>200GbE</t>
  </si>
  <si>
    <t>0.5, 2 km</t>
  </si>
  <si>
    <t>400GbE</t>
  </si>
  <si>
    <t>40GbE MM Duplex</t>
  </si>
  <si>
    <t>25GbE</t>
  </si>
  <si>
    <t>25 GbE ER</t>
  </si>
  <si>
    <t>50GbE</t>
  </si>
  <si>
    <t>XFP &amp; other</t>
  </si>
  <si>
    <t>SFP+ Sub-spec</t>
  </si>
  <si>
    <t>Sales, Total Market (based on vendor survey)</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</si>
  <si>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</si>
  <si>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</si>
  <si>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</si>
  <si>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</si>
  <si>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</si>
  <si>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</si>
  <si>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</si>
  <si>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</si>
  <si>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</si>
  <si>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</si>
  <si>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&lt;&lt; acquired by MACOM, January 2017</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</si>
  <si>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</si>
  <si>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</si>
  <si>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</si>
  <si>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</si>
  <si>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</si>
  <si>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</si>
  <si>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</si>
  <si>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</si>
  <si>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</si>
  <si>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</si>
  <si>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</si>
  <si>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2Q17</t>
  </si>
  <si>
    <t>Sequential</t>
  </si>
  <si>
    <t>Sequential growth</t>
  </si>
  <si>
    <t>3Q17</t>
  </si>
  <si>
    <t>Extreme Networks</t>
  </si>
  <si>
    <t>acquired</t>
  </si>
  <si>
    <t>Juniper - Routers and Switches</t>
  </si>
  <si>
    <t>IBM - Systems</t>
  </si>
  <si>
    <t>Cisco - Switches, Routers, Data Ctr.</t>
  </si>
  <si>
    <t>Lenovo - Enterprise Group</t>
  </si>
  <si>
    <t xml:space="preserve">NetApp - Products </t>
  </si>
  <si>
    <t>Router growth rates</t>
  </si>
  <si>
    <t>Arista</t>
  </si>
  <si>
    <t>Cisco</t>
  </si>
  <si>
    <t>Juniper</t>
  </si>
  <si>
    <t>Cisco is no longer reporting Router sales separately</t>
  </si>
  <si>
    <t>Brocade acquired by Broadcom</t>
  </si>
  <si>
    <t>NetApp</t>
  </si>
  <si>
    <t>*</t>
  </si>
  <si>
    <t>**</t>
  </si>
  <si>
    <t>Survey max</t>
  </si>
  <si>
    <t>Survey min</t>
  </si>
  <si>
    <t>FOIT-Foxconn</t>
  </si>
  <si>
    <t>JD.com</t>
  </si>
  <si>
    <t>NetEase</t>
  </si>
  <si>
    <t>VIPShop.com</t>
  </si>
  <si>
    <t>4Q17</t>
  </si>
  <si>
    <t>ZTE+Huawei only</t>
  </si>
  <si>
    <t>All except ZTE &amp; Huawei</t>
  </si>
  <si>
    <t>Non-Chinese CSPs</t>
  </si>
  <si>
    <t>Chinese CSPs</t>
  </si>
  <si>
    <t>Communications Service Providers (CSPs)</t>
  </si>
  <si>
    <t>revenues</t>
  </si>
  <si>
    <t>CSP Revenues</t>
  </si>
  <si>
    <t>CSP capex</t>
  </si>
  <si>
    <t>100 GbE ER4 - Lite</t>
  </si>
  <si>
    <t>CSP Capex</t>
  </si>
  <si>
    <t>ICP Revenues</t>
  </si>
  <si>
    <t>ICP spending</t>
  </si>
  <si>
    <t>acquired by II-VI</t>
  </si>
  <si>
    <t>China Revenues</t>
  </si>
  <si>
    <t>China Capex</t>
  </si>
  <si>
    <t>Non-China Revenues</t>
  </si>
  <si>
    <t>Non China Capex</t>
  </si>
  <si>
    <t>Total CSPs</t>
  </si>
  <si>
    <t>Market share of Finisar, Lumentum, and Oclaro combined</t>
  </si>
  <si>
    <t>10 Gbps tunable wavelength</t>
  </si>
  <si>
    <t>DWDM 2.5 Gbps</t>
  </si>
  <si>
    <t>DWDM 40 Gbps</t>
  </si>
  <si>
    <t>&lt;== networks business only</t>
  </si>
  <si>
    <t>&lt;== Nokia Networks only</t>
  </si>
  <si>
    <t>&lt;== networks only</t>
  </si>
  <si>
    <t>&lt;== System + Network Products group</t>
  </si>
  <si>
    <t>&lt;== total company</t>
  </si>
  <si>
    <t>&lt;== networks only; quarters are estimated based on reported half-yearly numbers</t>
  </si>
  <si>
    <t>HPE Hybrid IT</t>
  </si>
  <si>
    <t>Inspur</t>
  </si>
  <si>
    <t>H3C</t>
  </si>
  <si>
    <t>acquired by IDT</t>
  </si>
  <si>
    <t>acquired by Analog Devices</t>
  </si>
  <si>
    <t>ONUs</t>
  </si>
  <si>
    <t>10G PON</t>
  </si>
  <si>
    <t>25 Gbps</t>
  </si>
  <si>
    <t>Sans ZTE and Huawei</t>
  </si>
  <si>
    <t>Linktel</t>
  </si>
  <si>
    <t>Xgiga</t>
  </si>
  <si>
    <t>1Q18</t>
  </si>
  <si>
    <t>2Q18</t>
  </si>
  <si>
    <t>3Q18</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</si>
  <si>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</si>
  <si>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</si>
  <si>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</si>
  <si>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</si>
  <si>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</si>
  <si>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</si>
  <si>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</si>
  <si>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</si>
  <si>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</si>
  <si>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</si>
  <si>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</si>
  <si>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</si>
  <si>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</si>
  <si>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</si>
  <si>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</si>
  <si>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</si>
  <si>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</si>
  <si>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200/2x200/400GbE</t>
  </si>
  <si>
    <t>Average</t>
  </si>
  <si>
    <t>Q1 seasonal declines</t>
  </si>
  <si>
    <t>100 Gbps and above</t>
  </si>
  <si>
    <t>200G, 2x200G, 400G</t>
  </si>
  <si>
    <t>1G</t>
  </si>
  <si>
    <t>10G</t>
  </si>
  <si>
    <t>25G</t>
  </si>
  <si>
    <t>40G</t>
  </si>
  <si>
    <t>50G</t>
  </si>
  <si>
    <t xml:space="preserve">100G </t>
  </si>
  <si>
    <t>DWDM 100G and above</t>
  </si>
  <si>
    <t>DWDM 10G</t>
  </si>
  <si>
    <t>4G</t>
  </si>
  <si>
    <t>8G</t>
  </si>
  <si>
    <t>16G</t>
  </si>
  <si>
    <t>32G</t>
  </si>
  <si>
    <t>Parallel  Transceiver EOMs</t>
  </si>
  <si>
    <t>4Q18</t>
  </si>
  <si>
    <t>8-yr revenue growth</t>
  </si>
  <si>
    <t>8-yr growth</t>
  </si>
  <si>
    <t>Used for CAGR calculation only.</t>
  </si>
  <si>
    <t>Huawei Carrier &amp; Enterprise</t>
  </si>
  <si>
    <t>Annual spend</t>
  </si>
  <si>
    <t>Estimated</t>
  </si>
  <si>
    <t>acquired by Lumentum</t>
  </si>
  <si>
    <t>Chinese: H3C, Inspur, Lenovo</t>
  </si>
  <si>
    <t>Total less China</t>
  </si>
  <si>
    <t>1Q19</t>
  </si>
  <si>
    <t>acquired by Renasys, deal closed April 1</t>
  </si>
  <si>
    <t>CFP/CFP2 DCO</t>
  </si>
  <si>
    <t>100 GbE MM Duplex, eSR4</t>
  </si>
  <si>
    <t>20 km</t>
  </si>
  <si>
    <t>Ciena</t>
  </si>
  <si>
    <t xml:space="preserve">Lumentum </t>
  </si>
  <si>
    <t>AOI</t>
  </si>
  <si>
    <t>2Q19</t>
  </si>
  <si>
    <t>Revenue Guidance provided by companies</t>
  </si>
  <si>
    <t>&lt;&lt; Figures here are total revenues not just optical. No guidance given for optical business alone.</t>
  </si>
  <si>
    <t>acquired by Renesas Electronics, deal closed 4/1/19</t>
  </si>
  <si>
    <t>For QMU table</t>
  </si>
  <si>
    <t>large</t>
  </si>
  <si>
    <t>small</t>
  </si>
  <si>
    <t>Large cos</t>
  </si>
  <si>
    <t>Small cos</t>
  </si>
  <si>
    <t>200G and up</t>
  </si>
  <si>
    <t>100GbE FR1</t>
  </si>
  <si>
    <t>2km</t>
  </si>
  <si>
    <t>CFP4</t>
  </si>
  <si>
    <t>CFP2</t>
  </si>
  <si>
    <t>Sept 2019 - 4 quarters updated starting with Q3 2018</t>
  </si>
  <si>
    <t>Sept 2019 - 6 quarters updated starting with Q1 2018</t>
  </si>
  <si>
    <t>1 Gbps grey optics</t>
  </si>
  <si>
    <t>3 Gbps grey optics</t>
  </si>
  <si>
    <t>6 Gbps grey optics</t>
  </si>
  <si>
    <t>10 Gbps grey optics</t>
  </si>
  <si>
    <t xml:space="preserve">10/25G CWDM/DWDM </t>
  </si>
  <si>
    <t>3Q19</t>
  </si>
  <si>
    <t>&lt;== FNSR's last financial report was Q2 2019, acquisition by II-VI closed September 24, 2019</t>
  </si>
  <si>
    <t>up to 12x16 Gbps</t>
  </si>
  <si>
    <t>up to 12x25 Gbps</t>
  </si>
  <si>
    <t>100 GbE 4WDM20</t>
  </si>
  <si>
    <t>2019/2018</t>
  </si>
  <si>
    <t>Cash &amp; Equivalents ($ bn)</t>
  </si>
  <si>
    <t>Operating margin</t>
  </si>
  <si>
    <t>Net margin</t>
  </si>
  <si>
    <t>discontinued this chart because of Finisar acquisition by II-VI.</t>
  </si>
  <si>
    <t>GPON and XG-PON BOSAs</t>
  </si>
  <si>
    <t>Early years annual data above based on total company revenues, not an exact match with Semiconductors tab</t>
  </si>
  <si>
    <t>&lt;== annual growth rate (rolling 4-quarters)</t>
  </si>
  <si>
    <t>&lt;== Rolling 4-quarter sales</t>
  </si>
  <si>
    <t>&lt;== sequential growth rate (quarters)</t>
  </si>
  <si>
    <t>&lt;== y-o-y growth rate (quarters)</t>
  </si>
  <si>
    <t>&lt;== Lumentum plus Oclaro</t>
  </si>
  <si>
    <t>&lt;== Lumentum+Oclaro growth rate</t>
  </si>
  <si>
    <t>China/Korea growth y-o-y</t>
  </si>
  <si>
    <t>China+Korea annual sales</t>
  </si>
  <si>
    <t>China+Korea annual growth rate</t>
  </si>
  <si>
    <t>China+Korea</t>
  </si>
  <si>
    <t>II-VI Photonic Solutions</t>
  </si>
  <si>
    <t>Fiberhome</t>
  </si>
  <si>
    <t>complete</t>
  </si>
  <si>
    <t>OC vendor max</t>
  </si>
  <si>
    <t>OC vendor min</t>
  </si>
  <si>
    <t>50 Gbps</t>
  </si>
  <si>
    <t>≤ 10 km</t>
  </si>
  <si>
    <t>10-20 km</t>
  </si>
  <si>
    <t>2x200GbE</t>
  </si>
  <si>
    <t>400GbE SR8</t>
  </si>
  <si>
    <t>400GbE DR4</t>
  </si>
  <si>
    <t>100 GbE CWDM4</t>
  </si>
  <si>
    <t>100 GbE PSM4</t>
  </si>
  <si>
    <t>100 GbE DR1</t>
  </si>
  <si>
    <t>400GbE FR4</t>
  </si>
  <si>
    <t>400GbE LR8</t>
  </si>
  <si>
    <t>400GbE LR4</t>
  </si>
  <si>
    <t>OSFP</t>
  </si>
  <si>
    <t>100 GbE DR4</t>
  </si>
  <si>
    <t>200GbE and above</t>
  </si>
  <si>
    <t>100GbE DR1</t>
  </si>
  <si>
    <t>50-100G grey optics</t>
  </si>
  <si>
    <t>100 GbE 4WDM10</t>
  </si>
  <si>
    <t>RMB/USD</t>
  </si>
  <si>
    <t>5G</t>
  </si>
  <si>
    <t>BBn &amp; Internet</t>
  </si>
  <si>
    <t>Subtotal</t>
  </si>
  <si>
    <t>Total capex</t>
  </si>
  <si>
    <t>10 Gbps CWDM</t>
  </si>
  <si>
    <t>10 Gbps DWDM</t>
  </si>
  <si>
    <t>25 Gbps CWDM</t>
  </si>
  <si>
    <t>25 Gbps DWDM</t>
  </si>
  <si>
    <t>&lt; China capex</t>
  </si>
  <si>
    <t>&lt; non-China capex</t>
  </si>
  <si>
    <t>&lt; China revenues</t>
  </si>
  <si>
    <t>&lt; non-China revenues</t>
  </si>
  <si>
    <t>2019 total</t>
  </si>
  <si>
    <t>&lt; Growth rate without Huawei and ZTE</t>
  </si>
  <si>
    <t>&lt; Growth rate for Huawei and ZTE only</t>
  </si>
  <si>
    <t>&lt; Revenues excluding Huawei and ZTE</t>
  </si>
  <si>
    <t>H1/H1</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</si>
  <si>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</si>
  <si>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</si>
  <si>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</si>
  <si>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</si>
  <si>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</si>
  <si>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</si>
  <si>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</si>
  <si>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</si>
  <si>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</si>
  <si>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</si>
  <si>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</si>
  <si>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</si>
  <si>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</si>
  <si>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</si>
  <si>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</si>
  <si>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</si>
  <si>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</si>
  <si>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</si>
  <si>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</si>
  <si>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1H20/1H19</t>
  </si>
  <si>
    <t>64G</t>
  </si>
  <si>
    <t>25 Gbps grey optics</t>
  </si>
  <si>
    <t>2019-2025</t>
  </si>
  <si>
    <t>10G PON ONU/OLTs</t>
  </si>
  <si>
    <t>Mellanox – bought by Nvidia</t>
  </si>
  <si>
    <t>3Q 20E</t>
  </si>
  <si>
    <t>4Q 20E</t>
  </si>
  <si>
    <t>ASPs: Estimated</t>
  </si>
  <si>
    <t>Revenues: Estimated</t>
  </si>
  <si>
    <t>AMD</t>
  </si>
  <si>
    <t>Nvidia</t>
  </si>
  <si>
    <t>Under contract to be purchased by Analog Devices</t>
  </si>
  <si>
    <t>&lt;&lt; Under contract to be purchased by Analog Devices</t>
  </si>
  <si>
    <t>acquired by IDT Q4 2016</t>
  </si>
  <si>
    <t>acquired by Marvel Q4 2017</t>
  </si>
  <si>
    <t>acquired by MACOM 3Q 2016</t>
  </si>
  <si>
    <t>acquired by Analog Devices 4Q 2016</t>
  </si>
  <si>
    <t>acquired by Microchip 4Q 2017</t>
  </si>
  <si>
    <t>T-Mobile USA</t>
  </si>
  <si>
    <t>y-o-y growth rate</t>
  </si>
  <si>
    <t>BiDi</t>
  </si>
  <si>
    <t>GPON/EPON</t>
  </si>
  <si>
    <t>inadequate data from survey</t>
  </si>
  <si>
    <t>Inadequate data in survey</t>
  </si>
  <si>
    <t>Included in miscellaneous</t>
  </si>
  <si>
    <t>4x14G</t>
  </si>
  <si>
    <t>4x25G</t>
  </si>
  <si>
    <t>4x50G</t>
  </si>
  <si>
    <t>8x50G</t>
  </si>
  <si>
    <t>CXP/CXP2</t>
  </si>
  <si>
    <t>Other</t>
  </si>
  <si>
    <t>AOCs</t>
  </si>
  <si>
    <t>AOCs total</t>
  </si>
  <si>
    <t>Parallel Transceivers</t>
  </si>
  <si>
    <t>Duplex</t>
  </si>
  <si>
    <t>1x10G</t>
  </si>
  <si>
    <t>1x25G</t>
  </si>
  <si>
    <t>END OF SUMMARY DATA</t>
  </si>
  <si>
    <t>`</t>
  </si>
  <si>
    <t>3Q20</t>
  </si>
  <si>
    <t>4Q19</t>
  </si>
  <si>
    <t>4Q20 G</t>
  </si>
  <si>
    <t>3Q20/3Q19 revenue growth</t>
  </si>
  <si>
    <t>October 2020 forecast</t>
  </si>
  <si>
    <t>did not issue guidance in 3Q 2020</t>
  </si>
  <si>
    <t>complete for 3Q 20</t>
  </si>
  <si>
    <t>Dell Infrastructure Solutions Group</t>
  </si>
  <si>
    <t>to be acquired by AMD</t>
  </si>
  <si>
    <t>complete for 3Q20</t>
  </si>
  <si>
    <t>2020/2019</t>
  </si>
  <si>
    <t>Sample template as of March 2022</t>
  </si>
  <si>
    <t xml:space="preserve">Vendor Survey Results through Q4 2021 </t>
  </si>
  <si>
    <t>Quarterly Market Update for the quarter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</si>
</sst>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4">
    <font>
      <sz val="10"/>
      <name val="Arial"/>
      <family val="2"/>
    </font>
    <font>
      <sz val="12"/>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sz val="10"/>
      <color rgb="FF000000"/>
      <name val="Calibri"/>
      <family val="2"/>
    </font>
    <font>
      <u/>
      <sz val="10"/>
      <color theme="10"/>
      <name val="Arial"/>
      <family val="2"/>
    </font>
    <font>
      <sz val="8"/>
      <color theme="1"/>
      <name val="Calibri"/>
      <family val="2"/>
      <scheme val="minor"/>
    </font>
    <font>
      <b/>
      <sz val="11"/>
      <name val="Arial"/>
      <family val="2"/>
    </font>
    <font>
      <sz val="9"/>
      <color indexed="81"/>
      <name val="Tahoma"/>
      <family val="2"/>
    </font>
    <font>
      <sz val="10"/>
      <name val="Calibri"/>
      <family val="2"/>
      <scheme val="minor"/>
    </font>
    <font>
      <b/>
      <sz val="10"/>
      <color theme="1"/>
      <name val="Calibri"/>
      <family val="2"/>
      <scheme val="minor"/>
    </font>
    <font>
      <sz val="10"/>
      <color rgb="FFFF0000"/>
      <name val="Calibri"/>
      <family val="2"/>
      <scheme val="minor"/>
    </font>
    <font>
      <sz val="11"/>
      <name val="Calibri"/>
      <family val="2"/>
      <scheme val="minor"/>
    </font>
    <font>
      <sz val="10"/>
      <color theme="10"/>
      <name val="Arial"/>
      <family val="2"/>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sz val="9"/>
      <color rgb="FFFF0000"/>
      <name val="Arial"/>
      <family val="2"/>
    </font>
    <font>
      <b/>
      <sz val="10"/>
      <name val="Calibri"/>
      <family val="2"/>
      <scheme val="minor"/>
    </font>
    <font>
      <sz val="12"/>
      <color theme="3"/>
      <name val="Arial"/>
      <family val="2"/>
    </font>
    <font>
      <sz val="16"/>
      <name val="Arial"/>
      <family val="2"/>
    </font>
    <font>
      <sz val="10"/>
      <color theme="3"/>
      <name val="Calibri"/>
      <family val="2"/>
      <scheme val="minor"/>
    </font>
    <font>
      <b/>
      <sz val="12"/>
      <name val="Calibri"/>
      <family val="2"/>
      <scheme val="minor"/>
    </font>
    <font>
      <b/>
      <sz val="10"/>
      <color indexed="81"/>
      <name val="Tahoma"/>
      <family val="2"/>
    </font>
    <font>
      <sz val="10"/>
      <color indexed="81"/>
      <name val="Tahoma"/>
      <family val="2"/>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color rgb="FF192530"/>
      <name val="Calibri"/>
      <family val="2"/>
    </font>
    <font>
      <sz val="12"/>
      <color rgb="FF090D11"/>
      <name val="Calibri"/>
      <family val="2"/>
    </font>
    <font>
      <sz val="12"/>
      <name val="Calibri"/>
      <family val="2"/>
    </font>
    <font>
      <sz val="14"/>
      <name val="Calibri"/>
      <family val="2"/>
    </font>
    <font>
      <sz val="14"/>
      <name val="Calibri"/>
      <family val="2"/>
      <scheme val="minor"/>
    </font>
    <font>
      <sz val="12"/>
      <name val="Calibri"/>
      <family val="2"/>
      <scheme val="minor"/>
    </font>
    <font>
      <sz val="9"/>
      <color theme="1"/>
      <name val="Calibri"/>
      <family val="2"/>
      <scheme val="minor"/>
    </font>
    <font>
      <sz val="10"/>
      <color rgb="FF000000"/>
      <name val="Arial"/>
      <family val="2"/>
    </font>
    <font>
      <sz val="12"/>
      <color rgb="FFFF0000"/>
      <name val="Calibri"/>
      <family val="2"/>
      <scheme val="minor"/>
    </font>
  </fonts>
  <fills count="68">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rgb="FF000000"/>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7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right style="double">
        <color auto="1"/>
      </right>
      <top style="thin">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style="thin">
        <color auto="1"/>
      </left>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right style="thin">
        <color auto="1"/>
      </right>
      <top/>
      <bottom style="thin">
        <color theme="1"/>
      </bottom>
      <diagonal/>
    </border>
    <border>
      <left style="thick">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medium">
        <color auto="1"/>
      </left>
      <right style="hair">
        <color auto="1"/>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s>
  <cellStyleXfs count="4374">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alignment wrapText="1"/>
    </xf>
    <xf numFmtId="0" fontId="8" fillId="0" borderId="0"/>
    <xf numFmtId="0" fontId="6" fillId="0" borderId="0"/>
    <xf numFmtId="0" fontId="8" fillId="0" borderId="0"/>
    <xf numFmtId="44" fontId="8" fillId="0" borderId="0" applyFont="0" applyFill="0" applyBorder="0" applyAlignment="0" applyProtection="0"/>
    <xf numFmtId="0" fontId="6" fillId="0" borderId="0"/>
    <xf numFmtId="166" fontId="8" fillId="0" borderId="0"/>
    <xf numFmtId="0" fontId="16" fillId="0" borderId="0"/>
    <xf numFmtId="0" fontId="17" fillId="0" borderId="0"/>
    <xf numFmtId="0" fontId="16" fillId="0" borderId="0"/>
    <xf numFmtId="167" fontId="10" fillId="0" borderId="0"/>
    <xf numFmtId="168" fontId="8" fillId="0" borderId="0"/>
    <xf numFmtId="169" fontId="15"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0" fillId="0" borderId="0"/>
    <xf numFmtId="171" fontId="10" fillId="0" borderId="0" applyFont="0" applyFill="0" applyBorder="0" applyAlignment="0" applyProtection="0"/>
    <xf numFmtId="172" fontId="10" fillId="0" borderId="0" applyFont="0" applyFill="0" applyBorder="0" applyAlignment="0" applyProtection="0"/>
    <xf numFmtId="0" fontId="8" fillId="0" borderId="0"/>
    <xf numFmtId="166" fontId="8" fillId="0" borderId="0"/>
    <xf numFmtId="0" fontId="16" fillId="0" borderId="0" applyNumberFormat="0" applyFill="0" applyBorder="0" applyAlignment="0" applyProtection="0"/>
    <xf numFmtId="0" fontId="21" fillId="0" borderId="0"/>
    <xf numFmtId="166" fontId="17" fillId="0" borderId="0"/>
    <xf numFmtId="166" fontId="17" fillId="0" borderId="0"/>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8" fillId="0" borderId="0"/>
    <xf numFmtId="166" fontId="8" fillId="0" borderId="0"/>
    <xf numFmtId="166" fontId="8" fillId="0" borderId="0"/>
    <xf numFmtId="166" fontId="1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22" fillId="0" borderId="0"/>
    <xf numFmtId="0" fontId="22" fillId="0" borderId="0"/>
    <xf numFmtId="166" fontId="22" fillId="0" borderId="0"/>
    <xf numFmtId="166" fontId="22" fillId="0" borderId="0"/>
    <xf numFmtId="0" fontId="2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16" fillId="0" borderId="0" applyNumberFormat="0" applyFill="0" applyBorder="0" applyAlignment="0" applyProtection="0"/>
    <xf numFmtId="0" fontId="23" fillId="0" borderId="0"/>
    <xf numFmtId="3" fontId="10"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3" fontId="10" fillId="0" borderId="0"/>
    <xf numFmtId="166" fontId="19" fillId="0" borderId="0"/>
    <xf numFmtId="0" fontId="19" fillId="0" borderId="0"/>
    <xf numFmtId="0"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0" fontId="8"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7" fillId="0" borderId="0"/>
    <xf numFmtId="166" fontId="17" fillId="0" borderId="0"/>
    <xf numFmtId="166" fontId="17" fillId="0" borderId="0"/>
    <xf numFmtId="166" fontId="17" fillId="0" borderId="0"/>
    <xf numFmtId="166"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3" fillId="0" borderId="0"/>
    <xf numFmtId="0" fontId="23"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10" fillId="0" borderId="0" applyFont="0" applyFill="0" applyBorder="0" applyAlignment="0" applyProtection="0"/>
    <xf numFmtId="174" fontId="8" fillId="0" borderId="0" applyFont="0" applyFill="0" applyBorder="0" applyAlignment="0" applyProtection="0"/>
    <xf numFmtId="0" fontId="8" fillId="0" borderId="0"/>
    <xf numFmtId="166" fontId="8" fillId="0" borderId="0"/>
    <xf numFmtId="175" fontId="8" fillId="0" borderId="0"/>
    <xf numFmtId="0" fontId="16" fillId="0" borderId="0" applyNumberFormat="0" applyFill="0" applyBorder="0" applyAlignment="0" applyProtection="0"/>
    <xf numFmtId="0" fontId="21" fillId="0" borderId="0"/>
    <xf numFmtId="0" fontId="23" fillId="0" borderId="0"/>
    <xf numFmtId="0" fontId="22" fillId="0" borderId="0"/>
    <xf numFmtId="0" fontId="8" fillId="0" borderId="0"/>
    <xf numFmtId="0" fontId="21" fillId="0" borderId="0"/>
    <xf numFmtId="0" fontId="8" fillId="0" borderId="0"/>
    <xf numFmtId="166" fontId="8" fillId="0" borderId="0"/>
    <xf numFmtId="0" fontId="22" fillId="0" borderId="0"/>
    <xf numFmtId="0" fontId="22" fillId="0" borderId="0"/>
    <xf numFmtId="0" fontId="24"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0" fillId="0" borderId="0" applyFont="0" applyFill="0" applyBorder="0" applyAlignment="0" applyProtection="0"/>
    <xf numFmtId="177"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0" fillId="0" borderId="0" applyFont="0" applyFill="0" applyBorder="0" applyAlignment="0" applyProtection="0"/>
    <xf numFmtId="178" fontId="8" fillId="0" borderId="0" applyFont="0" applyFill="0" applyBorder="0" applyAlignment="0" applyProtection="0"/>
    <xf numFmtId="0" fontId="16" fillId="0" borderId="0" applyNumberFormat="0" applyFill="0" applyBorder="0" applyAlignment="0" applyProtection="0"/>
    <xf numFmtId="0" fontId="8" fillId="0" borderId="0"/>
    <xf numFmtId="166" fontId="8" fillId="0" borderId="0"/>
    <xf numFmtId="166" fontId="19" fillId="0" borderId="0"/>
    <xf numFmtId="0" fontId="19" fillId="0" borderId="0"/>
    <xf numFmtId="166" fontId="19" fillId="0" borderId="0"/>
    <xf numFmtId="0" fontId="19" fillId="0" borderId="0"/>
    <xf numFmtId="0" fontId="19" fillId="0" borderId="0"/>
    <xf numFmtId="0" fontId="23" fillId="0" borderId="0"/>
    <xf numFmtId="0" fontId="23" fillId="0" borderId="0"/>
    <xf numFmtId="0" fontId="8" fillId="0" borderId="0"/>
    <xf numFmtId="166" fontId="8" fillId="0" borderId="0"/>
    <xf numFmtId="166" fontId="22" fillId="0" borderId="0"/>
    <xf numFmtId="0" fontId="8" fillId="0" borderId="0"/>
    <xf numFmtId="0" fontId="8" fillId="0" borderId="0"/>
    <xf numFmtId="166" fontId="8"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166" fontId="8" fillId="0" borderId="0"/>
    <xf numFmtId="0" fontId="8" fillId="0" borderId="0"/>
    <xf numFmtId="0" fontId="17" fillId="0" borderId="0"/>
    <xf numFmtId="0" fontId="8" fillId="0" borderId="0"/>
    <xf numFmtId="166" fontId="8" fillId="0" borderId="0"/>
    <xf numFmtId="166" fontId="19" fillId="0" borderId="0"/>
    <xf numFmtId="0" fontId="22" fillId="0" borderId="0"/>
    <xf numFmtId="0" fontId="22" fillId="0" borderId="0"/>
    <xf numFmtId="179" fontId="10" fillId="0" borderId="0" applyFont="0" applyFill="0" applyBorder="0" applyAlignment="0" applyProtection="0"/>
    <xf numFmtId="0" fontId="8" fillId="0" borderId="0"/>
    <xf numFmtId="166"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7" fillId="0" borderId="0"/>
    <xf numFmtId="0" fontId="17" fillId="0" borderId="0"/>
    <xf numFmtId="0" fontId="17" fillId="0" borderId="0"/>
    <xf numFmtId="0" fontId="17" fillId="0" borderId="0"/>
    <xf numFmtId="0" fontId="17" fillId="0" borderId="0"/>
    <xf numFmtId="0" fontId="8" fillId="0" borderId="0"/>
    <xf numFmtId="166" fontId="8" fillId="0" borderId="0"/>
    <xf numFmtId="0" fontId="8" fillId="0" borderId="0"/>
    <xf numFmtId="166" fontId="8" fillId="0" borderId="0"/>
    <xf numFmtId="0" fontId="8" fillId="0" borderId="0"/>
    <xf numFmtId="166" fontId="8" fillId="0" borderId="0"/>
    <xf numFmtId="0" fontId="17"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3" fillId="0" borderId="0"/>
    <xf numFmtId="3" fontId="10" fillId="0" borderId="0"/>
    <xf numFmtId="3"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2" fillId="0" borderId="0"/>
    <xf numFmtId="166" fontId="8" fillId="0" borderId="0"/>
    <xf numFmtId="0" fontId="8" fillId="0" borderId="0"/>
    <xf numFmtId="166" fontId="8" fillId="0" borderId="0"/>
    <xf numFmtId="0" fontId="8" fillId="0" borderId="0"/>
    <xf numFmtId="166" fontId="22" fillId="0" borderId="0"/>
    <xf numFmtId="0" fontId="8" fillId="0" borderId="0"/>
    <xf numFmtId="166" fontId="8"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 borderId="0" applyNumberFormat="0" applyFont="0" applyAlignment="0" applyProtection="0"/>
    <xf numFmtId="166" fontId="19" fillId="0" borderId="0"/>
    <xf numFmtId="0" fontId="19" fillId="0" borderId="0"/>
    <xf numFmtId="0" fontId="8" fillId="0" borderId="0"/>
    <xf numFmtId="166" fontId="8"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23" fillId="0" borderId="0"/>
    <xf numFmtId="166" fontId="8" fillId="0" borderId="0"/>
    <xf numFmtId="0" fontId="8" fillId="0" borderId="0"/>
    <xf numFmtId="0" fontId="23" fillId="0" borderId="0"/>
    <xf numFmtId="0" fontId="8" fillId="0" borderId="0"/>
    <xf numFmtId="166" fontId="8" fillId="0" borderId="0"/>
    <xf numFmtId="0" fontId="23" fillId="0" borderId="0"/>
    <xf numFmtId="0" fontId="8" fillId="0" borderId="0"/>
    <xf numFmtId="166" fontId="8" fillId="0" borderId="0"/>
    <xf numFmtId="166" fontId="8" fillId="0" borderId="0"/>
    <xf numFmtId="0" fontId="17"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166"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10"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10" fillId="0" borderId="0" applyFont="0" applyFill="0" applyBorder="0" applyAlignment="0" applyProtection="0"/>
    <xf numFmtId="182" fontId="13" fillId="0" borderId="0" applyFill="0" applyAlignment="0" applyProtection="0"/>
    <xf numFmtId="183" fontId="8" fillId="0" borderId="0" applyFont="0" applyFill="0" applyBorder="0" applyProtection="0">
      <alignment horizontal="right"/>
    </xf>
    <xf numFmtId="166" fontId="26" fillId="0" borderId="0"/>
    <xf numFmtId="166" fontId="19" fillId="0" borderId="0"/>
    <xf numFmtId="0" fontId="19" fillId="0" borderId="0"/>
    <xf numFmtId="0" fontId="23" fillId="0" borderId="0"/>
    <xf numFmtId="166" fontId="19"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166" fontId="19" fillId="0" borderId="0"/>
    <xf numFmtId="0" fontId="19" fillId="0" borderId="0"/>
    <xf numFmtId="166" fontId="19" fillId="0" borderId="0"/>
    <xf numFmtId="0" fontId="22" fillId="0" borderId="0"/>
    <xf numFmtId="0" fontId="8" fillId="0" borderId="0"/>
    <xf numFmtId="166" fontId="8" fillId="0" borderId="0"/>
    <xf numFmtId="0" fontId="8" fillId="0" borderId="0"/>
    <xf numFmtId="0" fontId="19" fillId="0" borderId="0"/>
    <xf numFmtId="0" fontId="22" fillId="0" borderId="0"/>
    <xf numFmtId="0" fontId="22" fillId="0" borderId="0"/>
    <xf numFmtId="0" fontId="8" fillId="0" borderId="0"/>
    <xf numFmtId="166" fontId="8" fillId="0" borderId="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1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9"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22" fillId="0" borderId="0"/>
    <xf numFmtId="3" fontId="10" fillId="0" borderId="0"/>
    <xf numFmtId="0" fontId="8" fillId="0" borderId="0"/>
    <xf numFmtId="0" fontId="8" fillId="0" borderId="0"/>
    <xf numFmtId="166"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3" fontId="10" fillId="0" borderId="0"/>
    <xf numFmtId="0" fontId="22" fillId="0" borderId="0"/>
    <xf numFmtId="0" fontId="8" fillId="0" borderId="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0" fontId="17" fillId="0" borderId="0"/>
    <xf numFmtId="0" fontId="21"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6" fillId="0" borderId="0" applyNumberFormat="0" applyFill="0" applyBorder="0" applyAlignment="0" applyProtection="0"/>
    <xf numFmtId="0" fontId="22" fillId="0" borderId="0"/>
    <xf numFmtId="166" fontId="17" fillId="0" borderId="0"/>
    <xf numFmtId="0" fontId="17"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9"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19"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17" fillId="0" borderId="0"/>
    <xf numFmtId="0" fontId="17" fillId="0" borderId="0"/>
    <xf numFmtId="0" fontId="27"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3" fillId="0" borderId="0"/>
    <xf numFmtId="0" fontId="28" fillId="0" borderId="5" applyNumberFormat="0" applyFill="0" applyAlignment="0" applyProtection="0"/>
    <xf numFmtId="0" fontId="8" fillId="0" borderId="0"/>
    <xf numFmtId="166" fontId="8" fillId="0" borderId="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8" fillId="0" borderId="0"/>
    <xf numFmtId="166" fontId="8" fillId="0" borderId="0"/>
    <xf numFmtId="0" fontId="8" fillId="0" borderId="0"/>
    <xf numFmtId="166" fontId="8" fillId="0" borderId="0"/>
    <xf numFmtId="0" fontId="8" fillId="0" borderId="0"/>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19" fillId="0" borderId="0"/>
    <xf numFmtId="0" fontId="19" fillId="0" borderId="0"/>
    <xf numFmtId="0" fontId="8" fillId="0" borderId="0"/>
    <xf numFmtId="166" fontId="8" fillId="0" borderId="0"/>
    <xf numFmtId="0" fontId="8" fillId="0" borderId="0"/>
    <xf numFmtId="0" fontId="8" fillId="0" borderId="0"/>
    <xf numFmtId="166"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0" fontId="17" fillId="0" borderId="0"/>
    <xf numFmtId="0" fontId="22"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31" fillId="3" borderId="0" applyNumberFormat="0" applyBorder="0" applyAlignment="0" applyProtection="0">
      <alignment vertical="center"/>
    </xf>
    <xf numFmtId="0" fontId="32" fillId="0" borderId="7" applyNumberFormat="0" applyFill="0" applyAlignment="0" applyProtection="0">
      <alignment vertical="center"/>
    </xf>
    <xf numFmtId="0" fontId="33" fillId="2" borderId="8" applyNumberFormat="0" applyAlignment="0" applyProtection="0">
      <alignment vertical="center"/>
    </xf>
    <xf numFmtId="0" fontId="34" fillId="4" borderId="9" applyNumberFormat="0" applyAlignment="0" applyProtection="0">
      <alignment vertical="center"/>
    </xf>
    <xf numFmtId="186" fontId="8" fillId="0" borderId="0" applyFont="0" applyFill="0" applyBorder="0" applyAlignment="0" applyProtection="0"/>
    <xf numFmtId="187" fontId="8" fillId="0" borderId="0" applyFont="0" applyFill="0" applyBorder="0" applyAlignment="0" applyProtection="0"/>
    <xf numFmtId="0" fontId="35" fillId="2" borderId="0" applyNumberFormat="0" applyBorder="0" applyAlignment="0" applyProtection="0">
      <alignment vertical="center"/>
    </xf>
    <xf numFmtId="9" fontId="8" fillId="5" borderId="0"/>
    <xf numFmtId="0" fontId="8" fillId="0" borderId="0"/>
    <xf numFmtId="0" fontId="36"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0" fillId="0" borderId="0"/>
    <xf numFmtId="188" fontId="41" fillId="0" borderId="0" applyFont="0" applyFill="0" applyBorder="0" applyAlignment="0" applyProtection="0"/>
    <xf numFmtId="189" fontId="42" fillId="0" borderId="0" applyFont="0" applyFill="0" applyBorder="0" applyAlignment="0" applyProtection="0"/>
    <xf numFmtId="0" fontId="19" fillId="0" borderId="0"/>
    <xf numFmtId="0" fontId="19" fillId="0" borderId="0"/>
    <xf numFmtId="175" fontId="8" fillId="0" borderId="0"/>
    <xf numFmtId="0" fontId="8" fillId="0" borderId="0"/>
    <xf numFmtId="190" fontId="41" fillId="0" borderId="0" applyFont="0" applyFill="0" applyBorder="0" applyAlignment="0" applyProtection="0"/>
    <xf numFmtId="10" fontId="41" fillId="0" borderId="0" applyFont="0" applyFill="0" applyBorder="0" applyAlignment="0" applyProtection="0"/>
    <xf numFmtId="5" fontId="43" fillId="12" borderId="0" applyFont="0" applyFill="0" applyBorder="0" applyAlignment="0" applyProtection="0"/>
    <xf numFmtId="191" fontId="17" fillId="0" borderId="0">
      <alignment horizontal="center"/>
    </xf>
    <xf numFmtId="0" fontId="44"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21" borderId="0" applyNumberFormat="0" applyBorder="0" applyAlignment="0" applyProtection="0"/>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0" fillId="3" borderId="0" applyNumberFormat="0" applyBorder="0" applyAlignment="0" applyProtection="0">
      <alignment vertical="center"/>
    </xf>
    <xf numFmtId="0" fontId="50" fillId="21" borderId="0" applyNumberFormat="0" applyBorder="0" applyAlignment="0" applyProtection="0">
      <alignment vertical="center"/>
    </xf>
    <xf numFmtId="192" fontId="13" fillId="0" borderId="0">
      <alignment horizontal="center"/>
    </xf>
    <xf numFmtId="0" fontId="11" fillId="15" borderId="13" applyNumberFormat="0" applyFont="0" applyAlignment="0" applyProtection="0">
      <alignment vertical="center"/>
    </xf>
    <xf numFmtId="0" fontId="51" fillId="0" borderId="14" applyNumberFormat="0" applyFill="0" applyAlignment="0" applyProtection="0">
      <alignment vertical="center"/>
    </xf>
    <xf numFmtId="0" fontId="48" fillId="3" borderId="0" applyNumberFormat="0" applyBorder="0" applyAlignment="0" applyProtection="0">
      <alignment vertical="center"/>
    </xf>
    <xf numFmtId="0" fontId="48" fillId="14" borderId="0" applyNumberFormat="0" applyBorder="0" applyAlignment="0" applyProtection="0">
      <alignment vertical="center"/>
    </xf>
    <xf numFmtId="0" fontId="48" fillId="2" borderId="0" applyNumberFormat="0" applyBorder="0" applyAlignment="0" applyProtection="0">
      <alignment vertical="center"/>
    </xf>
    <xf numFmtId="0" fontId="48" fillId="18"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3"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8" borderId="0" applyNumberFormat="0" applyBorder="0" applyAlignment="0" applyProtection="0"/>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22" borderId="0" applyNumberFormat="0" applyBorder="0" applyAlignment="0" applyProtection="0">
      <alignment vertical="center"/>
    </xf>
    <xf numFmtId="0" fontId="50" fillId="20" borderId="0" applyNumberFormat="0" applyBorder="0" applyAlignment="0" applyProtection="0">
      <alignment vertical="center"/>
    </xf>
    <xf numFmtId="0" fontId="50" fillId="13" borderId="0" applyNumberFormat="0" applyBorder="0" applyAlignment="0" applyProtection="0">
      <alignment vertical="center"/>
    </xf>
    <xf numFmtId="0" fontId="50" fillId="8" borderId="0" applyNumberFormat="0" applyBorder="0" applyAlignment="0" applyProtection="0">
      <alignment vertical="center"/>
    </xf>
    <xf numFmtId="193" fontId="52" fillId="0" borderId="0">
      <alignment horizont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18" borderId="0" applyNumberFormat="0" applyBorder="0" applyAlignment="0" applyProtection="0">
      <alignment vertical="center"/>
    </xf>
    <xf numFmtId="0" fontId="37" fillId="3" borderId="0" applyNumberFormat="0" applyBorder="0" applyAlignment="0" applyProtection="0">
      <alignment vertical="center"/>
    </xf>
    <xf numFmtId="0" fontId="37" fillId="14" borderId="0" applyNumberFormat="0" applyBorder="0" applyAlignment="0" applyProtection="0">
      <alignment vertical="center"/>
    </xf>
    <xf numFmtId="0" fontId="53" fillId="23" borderId="0" applyNumberFormat="0" applyBorder="0" applyAlignment="0" applyProtection="0"/>
    <xf numFmtId="0" fontId="53" fillId="14"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25" borderId="0" applyNumberFormat="0" applyBorder="0" applyAlignment="0" applyProtection="0"/>
    <xf numFmtId="0" fontId="54" fillId="23" borderId="0" applyNumberFormat="0" applyBorder="0" applyAlignment="0" applyProtection="0">
      <alignment vertical="center"/>
    </xf>
    <xf numFmtId="0" fontId="54" fillId="14" borderId="0" applyNumberFormat="0" applyBorder="0" applyAlignment="0" applyProtection="0">
      <alignment vertical="center"/>
    </xf>
    <xf numFmtId="0" fontId="54" fillId="22"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25" borderId="0" applyNumberFormat="0" applyBorder="0" applyAlignment="0" applyProtection="0">
      <alignment vertical="center"/>
    </xf>
    <xf numFmtId="194" fontId="17"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0" fontId="51" fillId="0" borderId="0" applyNumberFormat="0" applyFill="0" applyBorder="0" applyAlignment="0" applyProtection="0">
      <alignment vertical="center"/>
    </xf>
    <xf numFmtId="0" fontId="55" fillId="20" borderId="0" applyNumberFormat="0" applyBorder="0" applyAlignment="0" applyProtection="0">
      <alignment vertical="center"/>
    </xf>
    <xf numFmtId="0" fontId="56" fillId="0" borderId="4" applyBorder="0"/>
    <xf numFmtId="0" fontId="53" fillId="26" borderId="0" applyNumberFormat="0" applyBorder="0" applyAlignment="0" applyProtection="0"/>
    <xf numFmtId="0" fontId="53" fillId="11" borderId="0" applyNumberFormat="0" applyBorder="0" applyAlignment="0" applyProtection="0"/>
    <xf numFmtId="0" fontId="53" fillId="27"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195" fontId="8" fillId="0" borderId="0" applyFont="0" applyFill="0" applyBorder="0" applyAlignment="0" applyProtection="0"/>
    <xf numFmtId="0" fontId="57" fillId="0" borderId="15" applyBorder="0">
      <alignment horizontal="left"/>
    </xf>
    <xf numFmtId="0" fontId="58" fillId="0" borderId="0" applyNumberFormat="0" applyFill="0" applyBorder="0" applyAlignment="0" applyProtection="0"/>
    <xf numFmtId="0" fontId="59" fillId="0" borderId="0" applyNumberFormat="0" applyAlignment="0"/>
    <xf numFmtId="0" fontId="59" fillId="0" borderId="0" applyNumberFormat="0" applyAlignment="0"/>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0" fontId="60" fillId="29" borderId="17" applyNumberFormat="0" applyAlignment="0" applyProtection="0">
      <alignment vertical="center"/>
    </xf>
    <xf numFmtId="6" fontId="8" fillId="0" borderId="0"/>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8" fillId="0" borderId="0" applyNumberFormat="0" applyFill="0" applyBorder="0" applyAlignment="0" applyProtection="0"/>
    <xf numFmtId="0" fontId="13" fillId="0" borderId="0" applyNumberFormat="0" applyFill="0" applyBorder="0" applyAlignment="0" applyProtection="0"/>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8" fontId="8" fillId="16" borderId="0"/>
    <xf numFmtId="38" fontId="21" fillId="16" borderId="18">
      <alignment horizontal="right"/>
    </xf>
    <xf numFmtId="0" fontId="62" fillId="18" borderId="0" applyNumberFormat="0" applyBorder="0" applyAlignment="0" applyProtection="0"/>
    <xf numFmtId="38" fontId="63" fillId="0" borderId="0" applyNumberFormat="0" applyFill="0" applyBorder="0" applyAlignment="0" applyProtection="0"/>
    <xf numFmtId="190" fontId="8" fillId="0" borderId="0" applyNumberFormat="0" applyFont="0" applyAlignment="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18"/>
    <xf numFmtId="198" fontId="67" fillId="0" borderId="2" applyAlignment="0" applyProtection="0"/>
    <xf numFmtId="0" fontId="68" fillId="0" borderId="19" applyNumberFormat="0" applyAlignment="0"/>
    <xf numFmtId="0" fontId="63" fillId="0" borderId="4" applyNumberFormat="0" applyFont="0" applyFill="0" applyAlignment="0" applyProtection="0"/>
    <xf numFmtId="0" fontId="12" fillId="0" borderId="0" applyFont="0" applyFill="0" applyBorder="0" applyAlignment="0" applyProtection="0"/>
    <xf numFmtId="0" fontId="69" fillId="0" borderId="0"/>
    <xf numFmtId="0" fontId="70" fillId="0" borderId="0"/>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9"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201" fontId="17" fillId="0" borderId="0" applyFill="0" applyBorder="0" applyAlignment="0"/>
    <xf numFmtId="202" fontId="72" fillId="0" borderId="0" applyFill="0" applyBorder="0" applyAlignment="0"/>
    <xf numFmtId="202" fontId="72" fillId="0" borderId="0" applyFill="0" applyBorder="0" applyAlignment="0"/>
    <xf numFmtId="0" fontId="8"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3" fontId="8" fillId="0" borderId="0" applyFill="0" applyBorder="0" applyAlignment="0"/>
    <xf numFmtId="204" fontId="72" fillId="0" borderId="0" applyFill="0" applyBorder="0" applyAlignment="0"/>
    <xf numFmtId="204" fontId="72" fillId="0" borderId="0" applyFill="0" applyBorder="0" applyAlignment="0"/>
    <xf numFmtId="0" fontId="8"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5" fontId="74" fillId="0" borderId="0" applyFill="0" applyBorder="0" applyAlignment="0"/>
    <xf numFmtId="206" fontId="72" fillId="0" borderId="0" applyFill="0" applyBorder="0" applyAlignment="0"/>
    <xf numFmtId="206" fontId="72" fillId="0" borderId="0" applyFill="0" applyBorder="0" applyAlignment="0"/>
    <xf numFmtId="0" fontId="8"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75" fillId="16" borderId="8" applyNumberFormat="0" applyAlignment="0" applyProtection="0"/>
    <xf numFmtId="0" fontId="15" fillId="0" borderId="0" applyFill="0" applyBorder="0" applyProtection="0">
      <alignment horizontal="center"/>
      <protection locked="0"/>
    </xf>
    <xf numFmtId="0" fontId="76" fillId="29" borderId="17" applyNumberFormat="0" applyAlignment="0" applyProtection="0"/>
    <xf numFmtId="0" fontId="77" fillId="0" borderId="0"/>
    <xf numFmtId="0" fontId="77" fillId="30" borderId="0"/>
    <xf numFmtId="0" fontId="59" fillId="0" borderId="0" applyNumberFormat="0" applyFill="0" applyBorder="0" applyAlignment="0" applyProtection="0"/>
    <xf numFmtId="166"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9" fillId="0" borderId="4" applyNumberFormat="0" applyFill="0" applyProtection="0">
      <alignment horizontal="center"/>
    </xf>
    <xf numFmtId="0" fontId="79" fillId="0" borderId="4" applyNumberFormat="0" applyFill="0" applyProtection="0">
      <alignment horizontal="center"/>
    </xf>
    <xf numFmtId="0" fontId="80" fillId="0" borderId="20">
      <alignment horizontal="center"/>
    </xf>
    <xf numFmtId="0" fontId="81" fillId="32" borderId="0">
      <alignment horizontal="left"/>
    </xf>
    <xf numFmtId="0" fontId="81" fillId="32" borderId="0">
      <alignment horizontal="left"/>
    </xf>
    <xf numFmtId="0" fontId="82" fillId="32" borderId="0">
      <alignment horizontal="right"/>
    </xf>
    <xf numFmtId="0" fontId="82" fillId="32" borderId="0">
      <alignment horizontal="right"/>
    </xf>
    <xf numFmtId="0" fontId="83" fillId="4" borderId="0">
      <alignment horizontal="center"/>
    </xf>
    <xf numFmtId="0" fontId="83" fillId="4" borderId="0">
      <alignment horizontal="center"/>
    </xf>
    <xf numFmtId="0" fontId="82" fillId="32" borderId="0">
      <alignment horizontal="right"/>
    </xf>
    <xf numFmtId="0" fontId="82" fillId="32" borderId="0">
      <alignment horizontal="right"/>
    </xf>
    <xf numFmtId="0" fontId="84" fillId="4" borderId="0">
      <alignment horizontal="left"/>
    </xf>
    <xf numFmtId="0" fontId="84" fillId="4" borderId="0">
      <alignment horizontal="left"/>
    </xf>
    <xf numFmtId="0" fontId="17" fillId="0" borderId="0"/>
    <xf numFmtId="209" fontId="17" fillId="0" borderId="0"/>
    <xf numFmtId="0" fontId="8" fillId="0" borderId="0" applyNumberFormat="0" applyFont="0" applyFill="0" applyBorder="0" applyAlignment="0" applyProtection="0"/>
    <xf numFmtId="209" fontId="17" fillId="0" borderId="0"/>
    <xf numFmtId="209" fontId="17" fillId="0" borderId="0"/>
    <xf numFmtId="209" fontId="17" fillId="0" borderId="0"/>
    <xf numFmtId="209" fontId="17" fillId="0" borderId="0"/>
    <xf numFmtId="209" fontId="17" fillId="0" borderId="0"/>
    <xf numFmtId="209" fontId="17" fillId="0" borderId="0"/>
    <xf numFmtId="209" fontId="17" fillId="0" borderId="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38" fontId="8" fillId="0" borderId="0" applyFill="0" applyBorder="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173" fontId="8" fillId="0" borderId="0" applyFill="0" applyBorder="0" applyProtection="0"/>
    <xf numFmtId="211" fontId="8" fillId="0" borderId="0" applyFont="0" applyFill="0" applyBorder="0" applyAlignment="0" applyProtection="0"/>
    <xf numFmtId="211" fontId="8" fillId="0" borderId="0" applyFont="0" applyFill="0" applyBorder="0" applyAlignment="0" applyProtection="0"/>
    <xf numFmtId="212" fontId="8" fillId="0" borderId="0" applyFont="0" applyFill="0" applyBorder="0" applyAlignment="0" applyProtection="0"/>
    <xf numFmtId="40" fontId="8" fillId="0" borderId="0" applyFill="0" applyBorder="0" applyProtection="0"/>
    <xf numFmtId="212" fontId="8" fillId="0" borderId="0" applyFont="0" applyFill="0" applyBorder="0" applyAlignment="0" applyProtection="0"/>
    <xf numFmtId="212" fontId="8" fillId="0" borderId="0" applyFont="0" applyFill="0" applyBorder="0" applyAlignment="0" applyProtection="0"/>
    <xf numFmtId="213" fontId="17" fillId="0" borderId="4"/>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4" fontId="17"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0" fontId="73"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173" fontId="61" fillId="0" borderId="0"/>
    <xf numFmtId="40" fontId="13" fillId="0" borderId="0" applyFont="0" applyFill="0" applyBorder="0" applyAlignment="0" applyProtection="0"/>
    <xf numFmtId="218" fontId="85" fillId="0" borderId="0" applyFont="0" applyFill="0" applyBorder="0" applyAlignment="0" applyProtection="0">
      <alignment horizontal="right"/>
    </xf>
    <xf numFmtId="219"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42" fillId="0" borderId="0"/>
    <xf numFmtId="37" fontId="41" fillId="0" borderId="0" applyFont="0" applyFill="0" applyBorder="0" applyAlignment="0" applyProtection="0"/>
    <xf numFmtId="173" fontId="41" fillId="0" borderId="0" applyFont="0" applyFill="0" applyBorder="0" applyAlignment="0" applyProtection="0"/>
    <xf numFmtId="39" fontId="41"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17" fillId="0" borderId="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78" fillId="0" borderId="0" applyFill="0" applyBorder="0" applyAlignment="0" applyProtection="0">
      <protection locked="0"/>
    </xf>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220" fontId="89" fillId="0" borderId="0" applyBorder="0"/>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221" fontId="52" fillId="0" borderId="0">
      <alignment horizontal="center"/>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3" fillId="0" borderId="0">
      <alignment horizontal="left"/>
    </xf>
    <xf numFmtId="0" fontId="94" fillId="0" borderId="0"/>
    <xf numFmtId="0" fontId="95" fillId="0" borderId="0">
      <alignment horizontal="left"/>
    </xf>
    <xf numFmtId="220" fontId="15" fillId="0" borderId="0"/>
    <xf numFmtId="222" fontId="8" fillId="0" borderId="0" applyFont="0" applyFill="0" applyBorder="0" applyAlignment="0" applyProtection="0">
      <alignment horizontal="right"/>
    </xf>
    <xf numFmtId="6" fontId="8" fillId="0" borderId="0" applyFill="0" applyBorder="0" applyProtection="0">
      <alignment horizontal="right"/>
    </xf>
    <xf numFmtId="222" fontId="8" fillId="0" borderId="0" applyFont="0" applyFill="0" applyBorder="0" applyAlignment="0" applyProtection="0">
      <alignment horizontal="right"/>
    </xf>
    <xf numFmtId="222" fontId="8" fillId="0" borderId="0" applyFont="0" applyFill="0" applyBorder="0" applyAlignment="0" applyProtection="0">
      <alignment horizontal="right"/>
    </xf>
    <xf numFmtId="223" fontId="8" fillId="0" borderId="0" applyFont="0" applyFill="0" applyBorder="0" applyAlignment="0" applyProtection="0">
      <alignment horizontal="right"/>
    </xf>
    <xf numFmtId="165" fontId="8" fillId="0" borderId="0" applyFill="0" applyBorder="0" applyProtection="0">
      <alignment horizontal="right"/>
    </xf>
    <xf numFmtId="223" fontId="8" fillId="0" borderId="0" applyFont="0" applyFill="0" applyBorder="0" applyAlignment="0" applyProtection="0">
      <alignment horizontal="right"/>
    </xf>
    <xf numFmtId="223" fontId="8" fillId="0" borderId="0" applyFont="0" applyFill="0" applyBorder="0" applyAlignment="0" applyProtection="0">
      <alignment horizontal="right"/>
    </xf>
    <xf numFmtId="224" fontId="8" fillId="0" borderId="0" applyFont="0" applyFill="0" applyBorder="0" applyAlignment="0" applyProtection="0">
      <alignment horizontal="right"/>
    </xf>
    <xf numFmtId="7" fontId="8" fillId="0" borderId="0" applyFill="0" applyBorder="0" applyProtection="0">
      <alignment horizontal="right"/>
    </xf>
    <xf numFmtId="224" fontId="8" fillId="0" borderId="0" applyFont="0" applyFill="0" applyBorder="0" applyAlignment="0" applyProtection="0">
      <alignment horizontal="right"/>
    </xf>
    <xf numFmtId="224" fontId="8" fillId="0" borderId="0" applyFont="0" applyFill="0" applyBorder="0" applyAlignment="0" applyProtection="0">
      <alignment horizontal="right"/>
    </xf>
    <xf numFmtId="225" fontId="96" fillId="33" borderId="0" applyFont="0" applyFill="0" applyBorder="0" applyAlignment="0" applyProtection="0"/>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6"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42" fontId="8" fillId="0" borderId="0" applyFont="0" applyFill="0" applyBorder="0" applyAlignment="0" applyProtection="0"/>
    <xf numFmtId="173" fontId="17"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0" fontId="73"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230" fontId="13" fillId="0" borderId="0" applyFont="0" applyFill="0" applyBorder="0" applyAlignment="0" applyProtection="0"/>
    <xf numFmtId="8" fontId="8" fillId="0" borderId="0" applyFont="0" applyFill="0" applyBorder="0" applyAlignment="0"/>
    <xf numFmtId="231" fontId="85"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232" fontId="8" fillId="0" borderId="0" applyFont="0" applyFill="0" applyBorder="0" applyAlignment="0" applyProtection="0">
      <alignment vertical="top"/>
      <protection hidden="1"/>
    </xf>
    <xf numFmtId="232" fontId="8" fillId="0" borderId="0" applyFont="0" applyFill="0" applyBorder="0" applyAlignment="0" applyProtection="0">
      <alignment vertical="top"/>
      <protection hidden="1"/>
    </xf>
    <xf numFmtId="5" fontId="41" fillId="0" borderId="0" applyFont="0" applyFill="0" applyBorder="0" applyAlignment="0" applyProtection="0"/>
    <xf numFmtId="7" fontId="41"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4" fontId="8" fillId="0" borderId="0"/>
    <xf numFmtId="235" fontId="8" fillId="0" borderId="0" applyFill="0" applyBorder="0" applyProtection="0">
      <alignment vertical="center"/>
    </xf>
    <xf numFmtId="220" fontId="97" fillId="0" borderId="0">
      <protection locked="0"/>
    </xf>
    <xf numFmtId="15" fontId="39" fillId="0" borderId="0"/>
    <xf numFmtId="236" fontId="98" fillId="0" borderId="0" applyAlignment="0">
      <alignment horizontal="right"/>
    </xf>
    <xf numFmtId="0" fontId="17" fillId="0" borderId="0"/>
    <xf numFmtId="237"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15" fillId="0" borderId="0" applyFill="0" applyBorder="0" applyProtection="0">
      <alignment horizontal="center"/>
    </xf>
    <xf numFmtId="15" fontId="80" fillId="0" borderId="0" applyFill="0" applyBorder="0" applyAlignment="0"/>
    <xf numFmtId="238" fontId="80" fillId="34" borderId="0" applyFont="0" applyFill="0" applyBorder="0" applyAlignment="0" applyProtection="0"/>
    <xf numFmtId="239" fontId="99" fillId="34" borderId="21" applyFont="0" applyFill="0" applyBorder="0" applyAlignment="0" applyProtection="0"/>
    <xf numFmtId="238" fontId="59" fillId="34" borderId="0" applyFont="0" applyFill="0" applyBorder="0" applyAlignment="0" applyProtection="0"/>
    <xf numFmtId="17" fontId="80" fillId="0" borderId="0" applyFill="0" applyBorder="0">
      <alignment horizontal="right"/>
    </xf>
    <xf numFmtId="240" fontId="80" fillId="0" borderId="4" applyFill="0" applyBorder="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235" fontId="85" fillId="0" borderId="0" applyFont="0" applyFill="0" applyBorder="0" applyAlignment="0" applyProtection="0"/>
    <xf numFmtId="14" fontId="11" fillId="0" borderId="0" applyFill="0" applyBorder="0" applyAlignment="0"/>
    <xf numFmtId="14" fontId="52" fillId="0" borderId="0">
      <alignment horizontal="center"/>
    </xf>
    <xf numFmtId="241" fontId="59" fillId="35" borderId="22" applyFill="0" applyBorder="0" applyProtection="0">
      <alignment horizontal="right"/>
      <protection locked="0"/>
    </xf>
    <xf numFmtId="42" fontId="100" fillId="0" borderId="0"/>
    <xf numFmtId="242" fontId="100" fillId="0" borderId="0"/>
    <xf numFmtId="0" fontId="101" fillId="0" borderId="0" applyNumberFormat="0" applyFill="0" applyBorder="0" applyAlignment="0" applyProtection="0"/>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0" fontId="17" fillId="0" borderId="0"/>
    <xf numFmtId="0" fontId="17" fillId="0" borderId="0"/>
    <xf numFmtId="243" fontId="8" fillId="0" borderId="0" applyFont="0" applyFill="0" applyBorder="0" applyAlignment="0" applyProtection="0"/>
    <xf numFmtId="244" fontId="8" fillId="0" borderId="0" applyFont="0" applyFill="0" applyBorder="0" applyAlignment="0" applyProtection="0"/>
    <xf numFmtId="166" fontId="102" fillId="0" borderId="0">
      <protection locked="0"/>
    </xf>
    <xf numFmtId="245" fontId="80" fillId="0" borderId="24">
      <alignment vertical="top"/>
    </xf>
    <xf numFmtId="245" fontId="59" fillId="0" borderId="0"/>
    <xf numFmtId="7" fontId="8" fillId="0" borderId="0" applyFont="0" applyFill="0" applyBorder="0" applyAlignment="0"/>
    <xf numFmtId="246" fontId="8" fillId="0" borderId="0"/>
    <xf numFmtId="42" fontId="42" fillId="0" borderId="0"/>
    <xf numFmtId="7" fontId="59" fillId="0" borderId="0"/>
    <xf numFmtId="0" fontId="85" fillId="0" borderId="25" applyNumberFormat="0" applyFont="0" applyFill="0" applyAlignment="0" applyProtection="0"/>
    <xf numFmtId="42" fontId="103" fillId="0" borderId="0" applyFill="0" applyBorder="0" applyAlignment="0" applyProtection="0"/>
    <xf numFmtId="220" fontId="89" fillId="0" borderId="2"/>
    <xf numFmtId="173" fontId="99" fillId="0" borderId="0" applyBorder="0"/>
    <xf numFmtId="186" fontId="99" fillId="0" borderId="0" applyBorder="0"/>
    <xf numFmtId="49" fontId="104" fillId="0" borderId="0" applyBorder="0">
      <alignment horizontal="center"/>
    </xf>
    <xf numFmtId="0" fontId="104" fillId="0" borderId="0" applyBorder="0">
      <alignment horizontal="center"/>
    </xf>
    <xf numFmtId="0" fontId="105" fillId="28" borderId="26" applyBorder="0">
      <alignment horizontal="center" vertical="center" wrapText="1"/>
    </xf>
    <xf numFmtId="0" fontId="106" fillId="0" borderId="0" applyBorder="0">
      <alignment horizontal="center"/>
    </xf>
    <xf numFmtId="0" fontId="107" fillId="28" borderId="26" applyBorder="0">
      <alignment horizontal="center" vertical="center" wrapText="1"/>
    </xf>
    <xf numFmtId="0" fontId="108" fillId="28" borderId="26" applyFill="0" applyBorder="0">
      <alignment horizontal="left" vertical="center"/>
    </xf>
    <xf numFmtId="0" fontId="42" fillId="0" borderId="1" applyBorder="0">
      <alignment horizontal="center" vertical="center" wrapText="1"/>
    </xf>
    <xf numFmtId="15" fontId="42" fillId="0" borderId="1" applyBorder="0">
      <alignment wrapText="1"/>
    </xf>
    <xf numFmtId="15" fontId="42" fillId="0" borderId="1" applyNumberFormat="0" applyBorder="0">
      <alignment vertical="center" wrapText="1"/>
    </xf>
    <xf numFmtId="0" fontId="15" fillId="36" borderId="1" applyBorder="0">
      <alignment horizontal="center" wrapText="1"/>
    </xf>
    <xf numFmtId="0" fontId="109" fillId="28" borderId="26" applyBorder="0">
      <alignment horizontal="centerContinuous"/>
    </xf>
    <xf numFmtId="166" fontId="110" fillId="0" borderId="0">
      <protection locked="0"/>
    </xf>
    <xf numFmtId="166" fontId="110" fillId="0" borderId="0">
      <protection locked="0"/>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247" fontId="59" fillId="37" borderId="18" applyFill="0" applyBorder="0" applyProtection="0">
      <alignment horizontal="left"/>
    </xf>
    <xf numFmtId="0" fontId="112" fillId="0" borderId="0" applyNumberFormat="0" applyFill="0" applyBorder="0" applyAlignment="0" applyProtection="0"/>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2" fontId="13" fillId="0" borderId="0" applyProtection="0"/>
    <xf numFmtId="248" fontId="8" fillId="0" borderId="0" applyFill="0" applyBorder="0" applyProtection="0">
      <alignment horizontal="left"/>
    </xf>
    <xf numFmtId="249" fontId="8" fillId="34" borderId="0" applyFont="0" applyFill="0" applyBorder="0" applyAlignment="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0" fontId="11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4" fillId="0" borderId="0">
      <alignment horizontal="left"/>
    </xf>
    <xf numFmtId="0" fontId="115" fillId="0" borderId="0">
      <alignment horizontal="left"/>
    </xf>
    <xf numFmtId="0" fontId="116" fillId="0" borderId="0" applyFill="0" applyBorder="0" applyProtection="0">
      <alignment horizontal="left"/>
    </xf>
    <xf numFmtId="0" fontId="116" fillId="0" borderId="0" applyNumberFormat="0" applyFill="0" applyBorder="0" applyProtection="0">
      <alignment horizontal="left"/>
    </xf>
    <xf numFmtId="0" fontId="116" fillId="0" borderId="0" applyFill="0" applyBorder="0" applyProtection="0">
      <alignment vertical="center"/>
    </xf>
    <xf numFmtId="0" fontId="117" fillId="19" borderId="0" applyNumberFormat="0" applyBorder="0" applyAlignment="0" applyProtection="0"/>
    <xf numFmtId="38" fontId="8" fillId="0" borderId="0" applyProtection="0"/>
    <xf numFmtId="38" fontId="59" fillId="33" borderId="0" applyNumberFormat="0" applyBorder="0" applyAlignment="0" applyProtection="0"/>
    <xf numFmtId="38" fontId="21" fillId="0" borderId="18"/>
    <xf numFmtId="250" fontId="85" fillId="0" borderId="0" applyFont="0" applyFill="0" applyBorder="0" applyAlignment="0" applyProtection="0">
      <alignment horizontal="right"/>
    </xf>
    <xf numFmtId="0" fontId="118" fillId="0" borderId="0">
      <alignment horizontal="left"/>
    </xf>
    <xf numFmtId="0" fontId="119" fillId="0" borderId="0" applyNumberFormat="0" applyFill="0" applyBorder="0" applyAlignment="0" applyProtection="0"/>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20" fillId="0" borderId="0">
      <alignment horizontal="left"/>
    </xf>
    <xf numFmtId="251" fontId="80" fillId="34" borderId="27"/>
    <xf numFmtId="251" fontId="80" fillId="0" borderId="4"/>
    <xf numFmtId="0" fontId="121" fillId="0" borderId="0">
      <alignment horizontal="right"/>
    </xf>
    <xf numFmtId="0" fontId="78" fillId="0" borderId="28" applyNumberFormat="0" applyAlignment="0" applyProtection="0">
      <alignment horizontal="left" vertical="center"/>
    </xf>
    <xf numFmtId="0" fontId="78" fillId="0" borderId="28" applyNumberFormat="0" applyAlignment="0" applyProtection="0">
      <alignment horizontal="left" vertical="center"/>
    </xf>
    <xf numFmtId="0" fontId="78" fillId="0" borderId="27">
      <alignment horizontal="left" vertical="center"/>
    </xf>
    <xf numFmtId="0" fontId="78" fillId="0" borderId="27">
      <alignment horizontal="left" vertical="center"/>
    </xf>
    <xf numFmtId="14" fontId="15" fillId="38" borderId="15">
      <alignment horizontal="center" vertical="center" wrapText="1"/>
    </xf>
    <xf numFmtId="0" fontId="122" fillId="0" borderId="29"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lignment horizontal="left"/>
    </xf>
    <xf numFmtId="0" fontId="125" fillId="0" borderId="30">
      <alignment horizontal="left" vertical="top"/>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7" fillId="0" borderId="3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lignment horizontal="left"/>
    </xf>
    <xf numFmtId="0" fontId="130" fillId="0" borderId="30">
      <alignment horizontal="left" vertical="top"/>
    </xf>
    <xf numFmtId="0" fontId="131" fillId="0" borderId="32" applyNumberFormat="0" applyFill="0" applyAlignment="0" applyProtection="0"/>
    <xf numFmtId="0" fontId="132" fillId="0" borderId="0">
      <alignment horizontal="left"/>
    </xf>
    <xf numFmtId="0" fontId="131" fillId="0" borderId="0" applyNumberFormat="0" applyFill="0" applyBorder="0" applyAlignment="0" applyProtection="0"/>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173" fontId="59" fillId="0" borderId="4">
      <alignment horizontal="right" vertical="center"/>
    </xf>
    <xf numFmtId="0" fontId="15" fillId="0" borderId="0" applyFill="0" applyAlignment="0" applyProtection="0">
      <protection locked="0"/>
    </xf>
    <xf numFmtId="0" fontId="133" fillId="0" borderId="4" applyFill="0" applyAlignment="0" applyProtection="0">
      <protection locked="0"/>
    </xf>
    <xf numFmtId="0" fontId="134"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78"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38" fontId="136" fillId="0" borderId="0" applyNumberFormat="0" applyFill="0" applyBorder="0" applyProtection="0">
      <alignment horizontal="center"/>
    </xf>
    <xf numFmtId="0" fontId="135" fillId="0" borderId="15">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7" fillId="37" borderId="33" applyBorder="0">
      <alignment horizontal="center"/>
    </xf>
    <xf numFmtId="0" fontId="138" fillId="0" borderId="34" applyNumberFormat="0" applyFill="0" applyAlignment="0" applyProtection="0"/>
    <xf numFmtId="0" fontId="138" fillId="0" borderId="34" applyNumberFormat="0" applyFill="0" applyAlignment="0" applyProtection="0"/>
    <xf numFmtId="0" fontId="72" fillId="0" borderId="0"/>
    <xf numFmtId="166"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66" fontId="141" fillId="0" borderId="0" applyNumberFormat="0" applyAlignment="0">
      <alignment horizontal="left"/>
    </xf>
    <xf numFmtId="0" fontId="141" fillId="0" borderId="0" applyNumberFormat="0" applyAlignment="0">
      <alignment horizontal="left"/>
    </xf>
    <xf numFmtId="10" fontId="59" fillId="34" borderId="1" applyNumberFormat="0" applyBorder="0" applyAlignment="0" applyProtection="0"/>
    <xf numFmtId="218" fontId="142" fillId="0" borderId="0" applyFill="0" applyBorder="0" applyProtection="0">
      <alignment horizontal="right"/>
    </xf>
    <xf numFmtId="0" fontId="143" fillId="21" borderId="8" applyNumberFormat="0" applyAlignment="0" applyProtection="0"/>
    <xf numFmtId="40" fontId="138" fillId="0" borderId="0" applyNumberFormat="0" applyFill="0" applyBorder="0" applyAlignment="0" applyProtection="0"/>
    <xf numFmtId="173" fontId="56" fillId="30" borderId="0"/>
    <xf numFmtId="173" fontId="144" fillId="30" borderId="0"/>
    <xf numFmtId="173" fontId="144" fillId="30" borderId="0"/>
    <xf numFmtId="173" fontId="56"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253" fontId="142" fillId="0" borderId="0" applyFill="0" applyBorder="0" applyProtection="0">
      <alignment horizontal="right"/>
    </xf>
    <xf numFmtId="254" fontId="142" fillId="0" borderId="0" applyFill="0" applyBorder="0" applyProtection="0">
      <alignment horizontal="right"/>
    </xf>
    <xf numFmtId="255" fontId="142" fillId="0" borderId="0" applyFill="0" applyBorder="0" applyProtection="0">
      <alignment horizontal="right"/>
    </xf>
    <xf numFmtId="8" fontId="59" fillId="34" borderId="0" applyFont="0" applyBorder="0" applyAlignment="0" applyProtection="0">
      <protection locked="0"/>
    </xf>
    <xf numFmtId="239" fontId="59" fillId="34" borderId="0" applyFont="0" applyBorder="0" applyAlignment="0" applyProtection="0">
      <protection locked="0"/>
    </xf>
    <xf numFmtId="249" fontId="59" fillId="34" borderId="0" applyFont="0" applyBorder="0" applyAlignment="0">
      <protection locked="0"/>
    </xf>
    <xf numFmtId="256" fontId="142" fillId="0" borderId="0" applyFill="0" applyBorder="0" applyProtection="0">
      <alignment horizontal="right"/>
    </xf>
    <xf numFmtId="257" fontId="142" fillId="0" borderId="0" applyFill="0" applyBorder="0" applyProtection="0"/>
    <xf numFmtId="38" fontId="99" fillId="34" borderId="0">
      <protection locked="0"/>
    </xf>
    <xf numFmtId="251" fontId="59" fillId="34" borderId="0" applyBorder="0"/>
    <xf numFmtId="251" fontId="99" fillId="34" borderId="0">
      <protection locked="0"/>
    </xf>
    <xf numFmtId="258" fontId="142" fillId="0" borderId="0" applyFill="0" applyBorder="0" applyProtection="0">
      <alignment horizontal="right"/>
    </xf>
    <xf numFmtId="10" fontId="59" fillId="34" borderId="0">
      <protection locked="0"/>
    </xf>
    <xf numFmtId="259" fontId="59" fillId="34" borderId="0" applyBorder="0"/>
    <xf numFmtId="259" fontId="99" fillId="34" borderId="0" applyBorder="0" applyAlignment="0">
      <protection locked="0"/>
    </xf>
    <xf numFmtId="251" fontId="145" fillId="34" borderId="0" applyNumberFormat="0" applyBorder="0" applyAlignment="0">
      <protection locked="0"/>
    </xf>
    <xf numFmtId="251" fontId="59" fillId="34" borderId="0" applyNumberFormat="0" applyBorder="0" applyAlignment="0"/>
    <xf numFmtId="260" fontId="142" fillId="0" borderId="0" applyFill="0" applyBorder="0" applyProtection="0">
      <alignment horizontal="right"/>
    </xf>
    <xf numFmtId="260" fontId="8" fillId="0" borderId="0" applyFill="0" applyBorder="0" applyProtection="0">
      <alignment vertical="center"/>
    </xf>
    <xf numFmtId="235" fontId="8" fillId="0" borderId="0" applyFill="0" applyBorder="0" applyProtection="0">
      <alignment vertical="center"/>
    </xf>
    <xf numFmtId="261" fontId="146" fillId="0" borderId="0" applyFont="0" applyFill="0" applyBorder="0" applyAlignment="0">
      <protection locked="0"/>
    </xf>
    <xf numFmtId="262" fontId="8" fillId="0" borderId="0" applyFont="0" applyFill="0" applyBorder="0" applyAlignment="0">
      <protection locked="0"/>
    </xf>
    <xf numFmtId="263" fontId="8" fillId="0" borderId="0" applyFill="0" applyBorder="0" applyProtection="0">
      <alignment vertical="center"/>
    </xf>
    <xf numFmtId="264" fontId="8" fillId="0" borderId="0" applyFill="0" applyBorder="0" applyProtection="0">
      <alignment vertical="center"/>
    </xf>
    <xf numFmtId="265" fontId="8" fillId="0" borderId="4" applyFill="0"/>
    <xf numFmtId="266" fontId="8" fillId="0" borderId="0" applyFont="0" applyFill="0" applyBorder="0" applyProtection="0">
      <alignment horizontal="right"/>
    </xf>
    <xf numFmtId="3" fontId="8" fillId="0" borderId="0" applyFont="0" applyFill="0" applyBorder="0" applyProtection="0">
      <alignment horizontal="right"/>
    </xf>
    <xf numFmtId="38" fontId="147" fillId="40" borderId="0" applyNumberFormat="0" applyBorder="0" applyAlignment="0" applyProtection="0">
      <alignment horizontal="center"/>
    </xf>
    <xf numFmtId="38" fontId="81" fillId="40" borderId="0" applyBorder="0" applyProtection="0">
      <alignment horizontal="center"/>
    </xf>
    <xf numFmtId="173" fontId="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8" fillId="0" borderId="0" applyNumberFormat="0" applyFill="0" applyBorder="0" applyAlignment="0" applyProtection="0">
      <alignment horizontal="centerContinuous"/>
    </xf>
    <xf numFmtId="267" fontId="8" fillId="0" borderId="0" applyFont="0" applyFill="0" applyBorder="0" applyAlignment="0" applyProtection="0"/>
    <xf numFmtId="0" fontId="39" fillId="0" borderId="0"/>
    <xf numFmtId="0" fontId="81" fillId="32" borderId="0">
      <alignment horizontal="left"/>
    </xf>
    <xf numFmtId="0" fontId="81" fillId="32" borderId="0">
      <alignment horizontal="left"/>
    </xf>
    <xf numFmtId="0" fontId="149" fillId="4" borderId="0">
      <alignment horizontal="left"/>
    </xf>
    <xf numFmtId="0" fontId="149" fillId="4" borderId="0">
      <alignment horizontal="left"/>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50" fillId="0" borderId="35" applyNumberFormat="0" applyFill="0" applyAlignment="0" applyProtection="0"/>
    <xf numFmtId="173" fontId="151" fillId="32" borderId="0"/>
    <xf numFmtId="173" fontId="152" fillId="32" borderId="0"/>
    <xf numFmtId="173" fontId="152" fillId="32" borderId="0"/>
    <xf numFmtId="173" fontId="151"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0" fontId="153" fillId="0" borderId="0" applyNumberFormat="0" applyFont="0" applyBorder="0" applyAlignment="0" applyProtection="0"/>
    <xf numFmtId="0" fontId="59" fillId="41" borderId="36" applyBorder="0">
      <alignment horizontal="left"/>
    </xf>
    <xf numFmtId="209" fontId="8" fillId="0" borderId="0" applyFont="0" applyFill="0" applyBorder="0" applyAlignment="0" applyProtection="0"/>
    <xf numFmtId="43" fontId="8" fillId="0" borderId="0" applyFont="0" applyFill="0" applyBorder="0" applyAlignment="0" applyProtection="0"/>
    <xf numFmtId="268" fontId="8" fillId="0" borderId="0" applyFont="0" applyFill="0" applyBorder="0" applyAlignment="0" applyProtection="0"/>
    <xf numFmtId="269" fontId="74" fillId="0" borderId="0" applyFont="0" applyFill="0" applyBorder="0" applyAlignment="0" applyProtection="0"/>
    <xf numFmtId="270" fontId="8" fillId="0" borderId="0" applyFill="0" applyBorder="0" applyProtection="0"/>
    <xf numFmtId="271" fontId="8" fillId="0" borderId="0" applyFill="0" applyBorder="0" applyProtection="0"/>
    <xf numFmtId="0" fontId="154" fillId="0" borderId="15"/>
    <xf numFmtId="42" fontId="8" fillId="0" borderId="0" applyFont="0" applyFill="0" applyBorder="0" applyAlignment="0" applyProtection="0"/>
    <xf numFmtId="44" fontId="8" fillId="0" borderId="0" applyFont="0" applyFill="0" applyBorder="0" applyAlignment="0" applyProtection="0"/>
    <xf numFmtId="272" fontId="8" fillId="0" borderId="0" applyFont="0" applyFill="0" applyBorder="0" applyAlignment="0" applyProtection="0"/>
    <xf numFmtId="273" fontId="74" fillId="0" borderId="0" applyFont="0" applyFill="0" applyBorder="0" applyAlignment="0" applyProtection="0"/>
    <xf numFmtId="17" fontId="8" fillId="38" borderId="37" applyFill="0" applyBorder="0" applyProtection="0">
      <alignment horizontal="center"/>
    </xf>
    <xf numFmtId="274" fontId="59" fillId="37" borderId="0" applyFill="0" applyBorder="0" applyProtection="0">
      <alignment horizontal="center"/>
    </xf>
    <xf numFmtId="0" fontId="155" fillId="0" borderId="0" applyNumberFormat="0">
      <alignment horizontal="left"/>
    </xf>
    <xf numFmtId="275" fontId="10" fillId="0" borderId="0"/>
    <xf numFmtId="263" fontId="8" fillId="0" borderId="0" applyFill="0" applyBorder="0" applyProtection="0">
      <alignment vertical="center"/>
    </xf>
    <xf numFmtId="276" fontId="59" fillId="33" borderId="0" applyFont="0" applyBorder="0" applyAlignment="0" applyProtection="0">
      <alignment horizontal="right"/>
      <protection hidden="1"/>
    </xf>
    <xf numFmtId="0" fontId="156" fillId="2" borderId="0" applyNumberFormat="0" applyBorder="0" applyAlignment="0" applyProtection="0"/>
    <xf numFmtId="0" fontId="10" fillId="0" borderId="1">
      <alignment horizontal="left"/>
    </xf>
    <xf numFmtId="0" fontId="42" fillId="0" borderId="0"/>
    <xf numFmtId="0" fontId="10" fillId="0" borderId="1">
      <alignment horizontal="left"/>
    </xf>
    <xf numFmtId="0" fontId="157" fillId="0" borderId="0" applyNumberFormat="0" applyFill="0" applyBorder="0" applyAlignment="0" applyProtection="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7" fontId="92" fillId="0" borderId="0"/>
    <xf numFmtId="278" fontId="42" fillId="0" borderId="0"/>
    <xf numFmtId="38" fontId="59" fillId="0" borderId="0" applyFont="0" applyFill="0" applyBorder="0" applyAlignment="0"/>
    <xf numFmtId="251" fontId="8" fillId="0" borderId="0" applyFont="0" applyFill="0" applyBorder="0" applyAlignment="0"/>
    <xf numFmtId="40" fontId="59" fillId="0" borderId="0" applyFont="0" applyFill="0" applyBorder="0" applyAlignment="0"/>
    <xf numFmtId="279" fontId="59" fillId="0" borderId="0" applyFont="0" applyFill="0" applyBorder="0" applyAlignment="0"/>
    <xf numFmtId="0" fontId="8" fillId="0" borderId="0"/>
    <xf numFmtId="0" fontId="8" fillId="0" borderId="0"/>
    <xf numFmtId="0"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15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166" fontId="8" fillId="0" borderId="0"/>
    <xf numFmtId="0" fontId="6" fillId="0" borderId="0"/>
    <xf numFmtId="0" fontId="6" fillId="0" borderId="0"/>
    <xf numFmtId="166" fontId="8" fillId="0" borderId="0"/>
    <xf numFmtId="0" fontId="8" fillId="0" borderId="0"/>
    <xf numFmtId="0" fontId="8" fillId="0" borderId="0"/>
    <xf numFmtId="0" fontId="159" fillId="0" borderId="0"/>
    <xf numFmtId="166" fontId="8" fillId="0" borderId="0"/>
    <xf numFmtId="0" fontId="8" fillId="0" borderId="0"/>
    <xf numFmtId="0" fontId="8" fillId="0" borderId="0"/>
    <xf numFmtId="0" fontId="8" fillId="0" borderId="0"/>
    <xf numFmtId="166" fontId="6" fillId="0" borderId="0"/>
    <xf numFmtId="166" fontId="6" fillId="0" borderId="0"/>
    <xf numFmtId="166" fontId="6" fillId="0" borderId="0"/>
    <xf numFmtId="0" fontId="8" fillId="0" borderId="0"/>
    <xf numFmtId="0" fontId="8" fillId="0" borderId="0"/>
    <xf numFmtId="166" fontId="6" fillId="0" borderId="0"/>
    <xf numFmtId="0" fontId="49" fillId="0" borderId="0"/>
    <xf numFmtId="0" fontId="8" fillId="0" borderId="0"/>
    <xf numFmtId="166" fontId="6" fillId="0" borderId="0"/>
    <xf numFmtId="166" fontId="6" fillId="0" borderId="0"/>
    <xf numFmtId="166" fontId="6" fillId="0" borderId="0"/>
    <xf numFmtId="0" fontId="8" fillId="0" borderId="0"/>
    <xf numFmtId="0" fontId="8" fillId="0" borderId="0"/>
    <xf numFmtId="0" fontId="8" fillId="0" borderId="0"/>
    <xf numFmtId="0" fontId="6" fillId="0" borderId="0"/>
    <xf numFmtId="251" fontId="80" fillId="0" borderId="0" applyNumberForma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280" fontId="59" fillId="0" borderId="0" applyFont="0" applyFill="0" applyBorder="0" applyAlignment="0" applyProtection="0"/>
    <xf numFmtId="281" fontId="8" fillId="0" borderId="0" applyFont="0" applyFill="0" applyBorder="0" applyAlignment="0" applyProtection="0"/>
    <xf numFmtId="282" fontId="21"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54" fontId="8" fillId="0" borderId="0" applyFill="0" applyBorder="0" applyProtection="0">
      <alignment vertical="center"/>
    </xf>
    <xf numFmtId="0" fontId="129" fillId="0" borderId="0"/>
    <xf numFmtId="0" fontId="160" fillId="0" borderId="0" applyNumberFormat="0" applyFill="0" applyBorder="0" applyAlignment="0" applyProtection="0"/>
    <xf numFmtId="0" fontId="161" fillId="0" borderId="0" applyNumberFormat="0" applyFill="0" applyBorder="0" applyAlignment="0" applyProtection="0"/>
    <xf numFmtId="0" fontId="22" fillId="0" borderId="0" applyNumberFormat="0" applyFill="0" applyBorder="0" applyAlignment="0" applyProtection="0"/>
    <xf numFmtId="0" fontId="8" fillId="15" borderId="13" applyNumberFormat="0" applyFont="0" applyAlignment="0" applyProtection="0"/>
    <xf numFmtId="283" fontId="162" fillId="0" borderId="0">
      <alignment horizontal="right"/>
    </xf>
    <xf numFmtId="284" fontId="162" fillId="0" borderId="0">
      <alignment horizontal="right"/>
    </xf>
    <xf numFmtId="3" fontId="10" fillId="0" borderId="2" applyBorder="0"/>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40" fontId="163" fillId="0" borderId="0">
      <alignment horizontal="right"/>
    </xf>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5" fontId="43" fillId="0" borderId="0" applyNumberFormat="0" applyFill="0" applyBorder="0" applyAlignment="0" applyProtection="0"/>
    <xf numFmtId="0" fontId="80" fillId="0" borderId="0" applyNumberFormat="0" applyFill="0" applyBorder="0" applyAlignment="0" applyProtection="0"/>
    <xf numFmtId="167" fontId="59" fillId="0" borderId="0" applyNumberFormat="0" applyFill="0" applyBorder="0" applyAlignment="0" applyProtection="0"/>
    <xf numFmtId="40" fontId="164" fillId="0" borderId="0" applyFont="0" applyFill="0" applyBorder="0" applyAlignment="0" applyProtection="0"/>
    <xf numFmtId="38" fontId="164" fillId="0" borderId="0" applyFont="0" applyFill="0" applyBorder="0" applyAlignment="0" applyProtection="0"/>
    <xf numFmtId="166" fontId="165" fillId="0" borderId="0" applyNumberFormat="0" applyFill="0" applyBorder="0" applyAlignment="0" applyProtection="0"/>
    <xf numFmtId="166" fontId="165" fillId="0" borderId="0" applyNumberFormat="0" applyFill="0" applyBorder="0" applyAlignment="0" applyProtection="0"/>
    <xf numFmtId="0" fontId="166" fillId="16" borderId="9" applyNumberFormat="0" applyAlignment="0" applyProtection="0"/>
    <xf numFmtId="40" fontId="167" fillId="12" borderId="0">
      <alignment horizontal="right"/>
    </xf>
    <xf numFmtId="0" fontId="168" fillId="12" borderId="0">
      <alignment horizontal="right"/>
    </xf>
    <xf numFmtId="0" fontId="169" fillId="33" borderId="0">
      <alignment horizontal="right"/>
    </xf>
    <xf numFmtId="0" fontId="170" fillId="12" borderId="38"/>
    <xf numFmtId="0" fontId="81" fillId="42" borderId="38"/>
    <xf numFmtId="0" fontId="170" fillId="0" borderId="0" applyBorder="0">
      <alignment horizontal="centerContinuous"/>
    </xf>
    <xf numFmtId="0" fontId="29" fillId="0" borderId="0" applyBorder="0">
      <alignment horizontal="centerContinuous"/>
    </xf>
    <xf numFmtId="0" fontId="171" fillId="0" borderId="0" applyBorder="0">
      <alignment horizontal="centerContinuous"/>
    </xf>
    <xf numFmtId="0" fontId="172" fillId="0" borderId="0" applyBorder="0">
      <alignment horizontal="centerContinuous"/>
    </xf>
    <xf numFmtId="0" fontId="173" fillId="33" borderId="18" applyNumberFormat="0" applyFont="0" applyBorder="0" applyAlignment="0">
      <alignment horizontal="center"/>
      <protection locked="0"/>
    </xf>
    <xf numFmtId="1" fontId="174" fillId="0" borderId="0" applyProtection="0">
      <alignment horizontal="right" vertical="center"/>
    </xf>
    <xf numFmtId="0" fontId="175" fillId="0" borderId="0" applyNumberFormat="0" applyFill="0" applyBorder="0" applyAlignment="0" applyProtection="0"/>
    <xf numFmtId="0" fontId="176" fillId="32" borderId="0" applyNumberFormat="0">
      <alignment vertical="center"/>
    </xf>
    <xf numFmtId="0" fontId="8" fillId="43" borderId="36" applyNumberFormat="0" applyFont="0" applyBorder="0" applyAlignment="0">
      <alignment horizontal="centerContinuous"/>
      <protection locked="0"/>
    </xf>
    <xf numFmtId="0" fontId="80" fillId="44" borderId="0" applyNumberFormat="0" applyFont="0" applyBorder="0" applyAlignment="0">
      <alignment horizontal="centerContinuous"/>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0" fontId="17" fillId="0" borderId="0"/>
    <xf numFmtId="287" fontId="8" fillId="0" borderId="0" applyFont="0" applyFill="0" applyBorder="0" applyAlignment="0" applyProtection="0"/>
    <xf numFmtId="9" fontId="8" fillId="0" borderId="0" applyFill="0" applyBorder="0" applyProtection="0"/>
    <xf numFmtId="288" fontId="8" fillId="0" borderId="0" applyFont="0" applyFill="0" applyBorder="0" applyAlignment="0" applyProtection="0"/>
    <xf numFmtId="288" fontId="8" fillId="0" borderId="0" applyFont="0" applyFill="0" applyBorder="0" applyAlignment="0" applyProtection="0"/>
    <xf numFmtId="289" fontId="59" fillId="38" borderId="0" applyFill="0" applyBorder="0" applyProtection="0">
      <alignment horizontal="right"/>
    </xf>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90" fontId="8" fillId="0" borderId="0" applyFill="0" applyBorder="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1" fontId="8" fillId="0" borderId="0"/>
    <xf numFmtId="291" fontId="8" fillId="0" borderId="0"/>
    <xf numFmtId="291" fontId="8" fillId="0" borderId="0"/>
    <xf numFmtId="291" fontId="8" fillId="0" borderId="0"/>
    <xf numFmtId="292" fontId="8" fillId="0" borderId="0" applyFont="0" applyFill="0" applyBorder="0" applyAlignment="0" applyProtection="0"/>
    <xf numFmtId="293"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05" fontId="74"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0" fontId="8"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94" fontId="177" fillId="0" borderId="0" applyFill="0" applyBorder="0">
      <alignment horizontal="right"/>
    </xf>
    <xf numFmtId="295" fontId="8" fillId="0" borderId="0" applyFont="0" applyFill="0" applyBorder="0" applyAlignment="0" applyProtection="0"/>
    <xf numFmtId="296"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8"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190" fontId="17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299" fontId="8" fillId="0" borderId="0" applyFont="0" applyFill="0" applyBorder="0" applyAlignment="0" applyProtection="0"/>
    <xf numFmtId="300" fontId="21"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4" fontId="8" fillId="0" borderId="0" applyFill="0" applyBorder="0" applyProtection="0">
      <alignment vertical="center"/>
    </xf>
    <xf numFmtId="5" fontId="43" fillId="0" borderId="0"/>
    <xf numFmtId="301" fontId="59" fillId="0" borderId="0" applyFont="0" applyFill="0" applyBorder="0" applyAlignment="0" applyProtection="0"/>
    <xf numFmtId="0" fontId="179" fillId="4" borderId="8" applyNumberFormat="0" applyAlignment="0" applyProtection="0">
      <alignment vertical="center"/>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5" fontId="17" fillId="0" borderId="0">
      <alignment horizontal="right"/>
    </xf>
    <xf numFmtId="5" fontId="17" fillId="0" borderId="0">
      <alignment horizontal="right"/>
    </xf>
    <xf numFmtId="302" fontId="8" fillId="0" borderId="0"/>
    <xf numFmtId="198" fontId="180" fillId="0" borderId="0"/>
    <xf numFmtId="198" fontId="180" fillId="0" borderId="0"/>
    <xf numFmtId="198" fontId="181"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303" fontId="59" fillId="38" borderId="18" applyFill="0" applyBorder="0" applyProtection="0">
      <alignment horizontal="left"/>
    </xf>
    <xf numFmtId="251" fontId="182" fillId="0" borderId="0" applyNumberFormat="0" applyFill="0" applyBorder="0" applyAlignment="0" applyProtection="0">
      <alignment horizontal="left"/>
    </xf>
    <xf numFmtId="49" fontId="10" fillId="0" borderId="0">
      <alignment horizontal="right"/>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49" fillId="2" borderId="0">
      <alignment horizontal="center"/>
    </xf>
    <xf numFmtId="0" fontId="149" fillId="2" borderId="0">
      <alignment horizontal="center"/>
    </xf>
    <xf numFmtId="49" fontId="184" fillId="4" borderId="0">
      <alignment horizontal="center"/>
    </xf>
    <xf numFmtId="268" fontId="185"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0" fontId="15" fillId="0" borderId="0" applyNumberFormat="0" applyFill="0" applyBorder="0" applyProtection="0">
      <alignment horizontal="center" vertical="top" wrapText="1"/>
    </xf>
    <xf numFmtId="0" fontId="15" fillId="0" borderId="0" applyFill="0" applyBorder="0" applyProtection="0">
      <alignment horizontal="center" vertical="top" wrapText="1"/>
    </xf>
    <xf numFmtId="0" fontId="82" fillId="32" borderId="0">
      <alignment horizontal="center"/>
    </xf>
    <xf numFmtId="0" fontId="82" fillId="32" borderId="0">
      <alignment horizontal="center"/>
    </xf>
    <xf numFmtId="0" fontId="82" fillId="32" borderId="0">
      <alignment horizontal="centerContinuous"/>
    </xf>
    <xf numFmtId="0" fontId="82" fillId="32" borderId="0">
      <alignment horizontal="centerContinuous"/>
    </xf>
    <xf numFmtId="0" fontId="159" fillId="4" borderId="0">
      <alignment horizontal="left"/>
    </xf>
    <xf numFmtId="0" fontId="159" fillId="4" borderId="0">
      <alignment horizontal="left"/>
    </xf>
    <xf numFmtId="49" fontId="159" fillId="4" borderId="0">
      <alignment horizontal="center"/>
    </xf>
    <xf numFmtId="0" fontId="81" fillId="32" borderId="0">
      <alignment horizontal="left"/>
    </xf>
    <xf numFmtId="0" fontId="81" fillId="32" borderId="0">
      <alignment horizontal="left"/>
    </xf>
    <xf numFmtId="49" fontId="159" fillId="4" borderId="0">
      <alignment horizontal="left"/>
    </xf>
    <xf numFmtId="0" fontId="81" fillId="32" borderId="0">
      <alignment horizontal="centerContinuous"/>
    </xf>
    <xf numFmtId="0" fontId="81" fillId="32" borderId="0">
      <alignment horizontal="centerContinuous"/>
    </xf>
    <xf numFmtId="0" fontId="81" fillId="32" borderId="0">
      <alignment horizontal="right"/>
    </xf>
    <xf numFmtId="0" fontId="81" fillId="32" borderId="0">
      <alignment horizontal="right"/>
    </xf>
    <xf numFmtId="49" fontId="149" fillId="4" borderId="0">
      <alignment horizontal="left"/>
    </xf>
    <xf numFmtId="0" fontId="82" fillId="32" borderId="0">
      <alignment horizontal="right"/>
    </xf>
    <xf numFmtId="0" fontId="82" fillId="32" borderId="0">
      <alignment horizontal="right"/>
    </xf>
    <xf numFmtId="166" fontId="165" fillId="0" borderId="0" applyNumberFormat="0" applyFill="0" applyBorder="0" applyAlignment="0" applyProtection="0"/>
    <xf numFmtId="0" fontId="8" fillId="0" borderId="0"/>
    <xf numFmtId="166" fontId="165" fillId="0" borderId="0" applyNumberFormat="0" applyFill="0" applyBorder="0" applyAlignment="0" applyProtection="0"/>
    <xf numFmtId="0" fontId="115" fillId="0" borderId="39">
      <alignment vertical="center"/>
    </xf>
    <xf numFmtId="0" fontId="159" fillId="21" borderId="0">
      <alignment horizontal="center"/>
    </xf>
    <xf numFmtId="0" fontId="159" fillId="21" borderId="0">
      <alignment horizontal="center"/>
    </xf>
    <xf numFmtId="0" fontId="99" fillId="21" borderId="0">
      <alignment horizontal="center"/>
    </xf>
    <xf numFmtId="0" fontId="99" fillId="21" borderId="0">
      <alignment horizontal="center"/>
    </xf>
    <xf numFmtId="4" fontId="17" fillId="0" borderId="0" applyFont="0" applyFill="0" applyBorder="0" applyAlignment="0" applyProtection="0"/>
    <xf numFmtId="38" fontId="21" fillId="16" borderId="0"/>
    <xf numFmtId="38" fontId="66" fillId="16" borderId="18"/>
    <xf numFmtId="38" fontId="21" fillId="16" borderId="18"/>
    <xf numFmtId="38" fontId="21" fillId="16" borderId="40"/>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5" fontId="58" fillId="47" borderId="0" applyNumberFormat="0" applyFont="0" applyBorder="0" applyAlignment="0" applyProtection="0"/>
    <xf numFmtId="305" fontId="59" fillId="38" borderId="41" applyFill="0" applyBorder="0" applyProtection="0">
      <alignment horizontal="center"/>
    </xf>
    <xf numFmtId="42" fontId="186" fillId="0" borderId="0" applyFill="0" applyBorder="0" applyAlignment="0" applyProtection="0"/>
    <xf numFmtId="41" fontId="187" fillId="0" borderId="0"/>
    <xf numFmtId="242" fontId="187" fillId="0" borderId="0"/>
    <xf numFmtId="3" fontId="59" fillId="0" borderId="0"/>
    <xf numFmtId="38" fontId="21" fillId="47" borderId="0"/>
    <xf numFmtId="38" fontId="21" fillId="47" borderId="18"/>
    <xf numFmtId="38" fontId="21" fillId="47" borderId="40"/>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1" fontId="42" fillId="0" borderId="0" applyBorder="0">
      <alignment horizontal="left" vertical="top" wrapText="1"/>
    </xf>
    <xf numFmtId="0" fontId="21" fillId="0" borderId="0"/>
    <xf numFmtId="0" fontId="8" fillId="0" borderId="0"/>
    <xf numFmtId="3" fontId="10"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34" borderId="27" applyNumberFormat="0" applyProtection="0">
      <alignment horizontal="center" vertical="center"/>
    </xf>
    <xf numFmtId="0" fontId="189" fillId="0" borderId="0" applyNumberFormat="0" applyFill="0" applyBorder="0" applyAlignment="0" applyProtection="0"/>
    <xf numFmtId="0" fontId="15" fillId="34" borderId="27" applyNumberFormat="0" applyProtection="0">
      <alignment horizontal="center" vertical="center"/>
    </xf>
    <xf numFmtId="0" fontId="15" fillId="49" borderId="0" applyNumberFormat="0" applyBorder="0" applyAlignment="0"/>
    <xf numFmtId="0" fontId="15" fillId="50"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59" fillId="0" borderId="0" applyNumberFormat="0" applyFill="0" applyBorder="0" applyProtection="0">
      <alignment horizontal="left" vertical="top" wrapText="1"/>
    </xf>
    <xf numFmtId="0" fontId="80" fillId="0" borderId="0" applyNumberFormat="0" applyFill="0" applyBorder="0" applyProtection="0">
      <alignment horizontal="left" vertical="top" wrapText="1"/>
    </xf>
    <xf numFmtId="306" fontId="145" fillId="0" borderId="0" applyFill="0" applyBorder="0" applyProtection="0">
      <alignment horizontal="center" wrapText="1"/>
    </xf>
    <xf numFmtId="307" fontId="145" fillId="0" borderId="0" applyFill="0" applyBorder="0" applyProtection="0">
      <alignment horizontal="right" wrapText="1"/>
    </xf>
    <xf numFmtId="308" fontId="145" fillId="0" borderId="0" applyFill="0" applyBorder="0" applyProtection="0">
      <alignment horizontal="right" wrapText="1"/>
    </xf>
    <xf numFmtId="309" fontId="145" fillId="0" borderId="0" applyFill="0" applyBorder="0" applyProtection="0">
      <alignment horizontal="right" wrapText="1"/>
    </xf>
    <xf numFmtId="37" fontId="145" fillId="0" borderId="0" applyFill="0" applyBorder="0" applyProtection="0">
      <alignment horizontal="center" wrapText="1"/>
    </xf>
    <xf numFmtId="310" fontId="145" fillId="0" borderId="0" applyFill="0" applyBorder="0" applyProtection="0">
      <alignment horizontal="right"/>
    </xf>
    <xf numFmtId="311" fontId="145" fillId="0" borderId="0" applyFill="0" applyBorder="0" applyProtection="0">
      <alignment horizontal="right"/>
    </xf>
    <xf numFmtId="14" fontId="145" fillId="0" borderId="0" applyFill="0" applyBorder="0" applyProtection="0">
      <alignment horizontal="right"/>
    </xf>
    <xf numFmtId="166" fontId="8" fillId="0" borderId="0"/>
    <xf numFmtId="4" fontId="145" fillId="0" borderId="0" applyFill="0" applyBorder="0" applyProtection="0">
      <alignment wrapText="1"/>
    </xf>
    <xf numFmtId="0" fontId="80" fillId="0" borderId="42" applyNumberFormat="0" applyFill="0" applyProtection="0">
      <alignment wrapText="1"/>
    </xf>
    <xf numFmtId="0" fontId="15" fillId="0" borderId="0" applyNumberFormat="0" applyFill="0" applyBorder="0" applyProtection="0">
      <alignment wrapText="1"/>
    </xf>
    <xf numFmtId="0" fontId="80" fillId="0" borderId="42" applyNumberFormat="0" applyFill="0" applyProtection="0">
      <alignment horizontal="center" wrapText="1"/>
    </xf>
    <xf numFmtId="312" fontId="80" fillId="0" borderId="0" applyFill="0" applyBorder="0" applyProtection="0">
      <alignment horizontal="center" wrapText="1"/>
    </xf>
    <xf numFmtId="0" fontId="78" fillId="0" borderId="0" applyNumberFormat="0" applyFill="0" applyBorder="0" applyProtection="0">
      <alignment horizontal="justify" wrapText="1"/>
    </xf>
    <xf numFmtId="0" fontId="80" fillId="0" borderId="0" applyNumberFormat="0" applyFill="0" applyBorder="0" applyProtection="0">
      <alignment horizontal="centerContinuous" wrapText="1"/>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49" fillId="0" borderId="0" applyNumberFormat="0" applyBorder="0" applyAlignment="0"/>
    <xf numFmtId="0" fontId="190" fillId="0" borderId="0" applyNumberFormat="0" applyBorder="0" applyAlignment="0"/>
    <xf numFmtId="0" fontId="169" fillId="0" borderId="0" applyNumberFormat="0" applyBorder="0" applyAlignment="0"/>
    <xf numFmtId="0" fontId="190" fillId="0" borderId="0" applyNumberFormat="0" applyBorder="0" applyAlignment="0"/>
    <xf numFmtId="0" fontId="154" fillId="0" borderId="0"/>
    <xf numFmtId="0" fontId="191" fillId="0" borderId="0"/>
    <xf numFmtId="0" fontId="191" fillId="0" borderId="0"/>
    <xf numFmtId="6" fontId="15" fillId="0" borderId="27" applyFill="0" applyProtection="0"/>
    <xf numFmtId="38" fontId="15" fillId="0" borderId="27" applyFill="0" applyProtection="0"/>
    <xf numFmtId="40" fontId="192"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0" fontId="193" fillId="0" borderId="0" applyBorder="0" applyProtection="0">
      <alignment vertical="center"/>
    </xf>
    <xf numFmtId="0" fontId="193" fillId="0" borderId="4" applyBorder="0" applyProtection="0">
      <alignment horizontal="right" vertical="center"/>
    </xf>
    <xf numFmtId="0" fontId="194" fillId="51" borderId="0" applyBorder="0" applyProtection="0">
      <alignment horizontal="centerContinuous" vertical="center"/>
    </xf>
    <xf numFmtId="0" fontId="194" fillId="40" borderId="4" applyBorder="0" applyProtection="0">
      <alignment horizontal="centerContinuous" vertical="center"/>
    </xf>
    <xf numFmtId="0" fontId="195" fillId="0" borderId="0" applyFill="0" applyBorder="0" applyProtection="0">
      <alignment horizontal="center" vertical="center"/>
    </xf>
    <xf numFmtId="3" fontId="133" fillId="0" borderId="0" applyNumberFormat="0"/>
    <xf numFmtId="0" fontId="116" fillId="0" borderId="0" applyNumberFormat="0" applyFill="0" applyBorder="0" applyProtection="0">
      <alignment horizontal="left"/>
    </xf>
    <xf numFmtId="0" fontId="129" fillId="0" borderId="0"/>
    <xf numFmtId="0" fontId="196" fillId="0" borderId="0" applyFill="0" applyBorder="0" applyProtection="0">
      <alignment horizontal="left"/>
    </xf>
    <xf numFmtId="0" fontId="116" fillId="0" borderId="30" applyFill="0" applyBorder="0" applyProtection="0">
      <alignment horizontal="left" vertical="top"/>
    </xf>
    <xf numFmtId="0" fontId="163" fillId="0" borderId="0">
      <alignment horizontal="centerContinuous"/>
    </xf>
    <xf numFmtId="0" fontId="197" fillId="0" borderId="0" applyNumberFormat="0" applyFill="0" applyBorder="0">
      <alignment horizontal="left"/>
    </xf>
    <xf numFmtId="173" fontId="197" fillId="0" borderId="0" applyNumberFormat="0" applyFill="0" applyBorder="0">
      <alignment horizontal="right"/>
    </xf>
    <xf numFmtId="0" fontId="198" fillId="0" borderId="0" applyNumberFormat="0" applyFill="0" applyBorder="0">
      <alignment horizontal="right"/>
    </xf>
    <xf numFmtId="0" fontId="59" fillId="0" borderId="0" applyFill="0" applyBorder="0" applyProtection="0">
      <alignment horizontal="left"/>
    </xf>
    <xf numFmtId="0" fontId="199" fillId="0" borderId="0"/>
    <xf numFmtId="0" fontId="200" fillId="0" borderId="0" applyNumberFormat="0" applyFill="0" applyBorder="0" applyProtection="0"/>
    <xf numFmtId="0" fontId="201" fillId="0" borderId="0" applyFill="0" applyBorder="0" applyProtection="0"/>
    <xf numFmtId="0" fontId="202" fillId="0" borderId="0"/>
    <xf numFmtId="0" fontId="201" fillId="0" borderId="0" applyNumberFormat="0" applyFill="0" applyBorder="0" applyProtection="0"/>
    <xf numFmtId="0" fontId="200" fillId="0" borderId="0" applyNumberFormat="0" applyFill="0" applyBorder="0" applyProtection="0"/>
    <xf numFmtId="0" fontId="200" fillId="0" borderId="0"/>
    <xf numFmtId="49" fontId="11" fillId="0" borderId="0" applyFill="0" applyBorder="0" applyAlignment="0"/>
    <xf numFmtId="313" fontId="74" fillId="0" borderId="0" applyFill="0" applyBorder="0" applyAlignment="0"/>
    <xf numFmtId="314" fontId="72" fillId="0" borderId="0" applyFill="0" applyBorder="0" applyAlignment="0"/>
    <xf numFmtId="314" fontId="72" fillId="0" borderId="0" applyFill="0" applyBorder="0" applyAlignment="0"/>
    <xf numFmtId="0" fontId="9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5" fontId="74" fillId="0" borderId="0" applyFill="0" applyBorder="0" applyAlignment="0"/>
    <xf numFmtId="316" fontId="72" fillId="0" borderId="0" applyFill="0" applyBorder="0" applyAlignment="0"/>
    <xf numFmtId="316" fontId="72" fillId="0" borderId="0" applyFill="0" applyBorder="0" applyAlignment="0"/>
    <xf numFmtId="0" fontId="8"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0" fontId="39" fillId="0" borderId="0"/>
    <xf numFmtId="166" fontId="165" fillId="0" borderId="0" applyNumberFormat="0" applyFill="0" applyBorder="0" applyAlignment="0" applyProtection="0"/>
    <xf numFmtId="166" fontId="165" fillId="0" borderId="0" applyNumberFormat="0" applyFill="0" applyBorder="0" applyAlignment="0" applyProtection="0"/>
    <xf numFmtId="0" fontId="203" fillId="0" borderId="0" applyFill="0" applyBorder="0" applyProtection="0">
      <alignment horizontal="left" vertical="top"/>
    </xf>
    <xf numFmtId="0" fontId="42" fillId="0" borderId="0" applyNumberFormat="0" applyFill="0" applyBorder="0" applyAlignment="0" applyProtection="0"/>
    <xf numFmtId="0" fontId="19" fillId="0" borderId="0" applyNumberFormat="0" applyFill="0" applyBorder="0" applyAlignment="0" applyProtection="0"/>
    <xf numFmtId="197" fontId="204" fillId="0" borderId="0"/>
    <xf numFmtId="0" fontId="205" fillId="0" borderId="0" applyNumberFormat="0" applyFill="0" applyBorder="0" applyAlignment="0" applyProtection="0"/>
    <xf numFmtId="0" fontId="206" fillId="0" borderId="0" applyNumberFormat="0" applyFill="0" applyBorder="0" applyAlignment="0" applyProtection="0"/>
    <xf numFmtId="251" fontId="133" fillId="0" borderId="0"/>
    <xf numFmtId="3" fontId="207" fillId="0" borderId="0"/>
    <xf numFmtId="251" fontId="208" fillId="0" borderId="15" applyNumberFormat="0" applyBorder="0">
      <alignment vertical="center"/>
    </xf>
    <xf numFmtId="251" fontId="209" fillId="0" borderId="43" applyNumberFormat="0" applyBorder="0"/>
    <xf numFmtId="0" fontId="133" fillId="0" borderId="0" applyNumberFormat="0" applyFill="0" applyBorder="0" applyAlignment="0" applyProtection="0"/>
    <xf numFmtId="0" fontId="201" fillId="0" borderId="0"/>
    <xf numFmtId="0" fontId="200" fillId="0" borderId="0"/>
    <xf numFmtId="0" fontId="133" fillId="0" borderId="27">
      <alignment horizontal="center" wrapText="1"/>
    </xf>
    <xf numFmtId="6" fontId="63" fillId="0" borderId="44" applyNumberFormat="0" applyFont="0" applyFill="0" applyAlignment="0" applyProtection="0"/>
    <xf numFmtId="37" fontId="138" fillId="0" borderId="2" applyNumberFormat="0" applyFont="0" applyFill="0" applyAlignment="0"/>
    <xf numFmtId="0" fontId="210" fillId="0" borderId="45" applyNumberForma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253" fontId="212" fillId="0" borderId="0" applyFill="0" applyBorder="0" applyProtection="0"/>
    <xf numFmtId="251" fontId="80" fillId="0" borderId="2"/>
    <xf numFmtId="251" fontId="80" fillId="0" borderId="0"/>
    <xf numFmtId="251" fontId="59" fillId="0" borderId="2"/>
    <xf numFmtId="317" fontId="212" fillId="0" borderId="0" applyFill="0" applyBorder="0" applyProtection="0"/>
    <xf numFmtId="38" fontId="8" fillId="0" borderId="44"/>
    <xf numFmtId="3" fontId="133" fillId="0" borderId="4" applyNumberFormat="0"/>
    <xf numFmtId="0" fontId="56" fillId="0" borderId="47"/>
    <xf numFmtId="260" fontId="8" fillId="0" borderId="25" applyFill="0" applyBorder="0" applyProtection="0">
      <alignment vertical="center"/>
    </xf>
    <xf numFmtId="0" fontId="42" fillId="43" borderId="0" applyNumberFormat="0" applyFont="0" applyBorder="0" applyAlignment="0"/>
    <xf numFmtId="197" fontId="213" fillId="0" borderId="0">
      <alignment horizontal="left"/>
      <protection locked="0"/>
    </xf>
    <xf numFmtId="0" fontId="214" fillId="0" borderId="0"/>
    <xf numFmtId="0" fontId="215" fillId="0" borderId="0">
      <alignment horizontal="fill"/>
    </xf>
    <xf numFmtId="37" fontId="216" fillId="52" borderId="0"/>
    <xf numFmtId="37" fontId="217" fillId="33" borderId="0"/>
    <xf numFmtId="0" fontId="218" fillId="4" borderId="0">
      <alignment horizontal="center"/>
    </xf>
    <xf numFmtId="0" fontId="218" fillId="4" borderId="0">
      <alignment horizontal="center"/>
    </xf>
    <xf numFmtId="318" fontId="59" fillId="35" borderId="48" applyFill="0" applyBorder="0" applyAlignment="0" applyProtection="0">
      <alignment horizontal="right"/>
      <protection locked="0"/>
    </xf>
    <xf numFmtId="319" fontId="8" fillId="0" borderId="0" applyFont="0" applyFill="0" applyBorder="0" applyAlignment="0" applyProtection="0"/>
    <xf numFmtId="320" fontId="8" fillId="0" borderId="0" applyFont="0" applyFill="0" applyBorder="0" applyAlignment="0" applyProtection="0"/>
    <xf numFmtId="0" fontId="219" fillId="0" borderId="0" applyNumberFormat="0" applyFill="0" applyBorder="0" applyAlignment="0" applyProtection="0"/>
    <xf numFmtId="321" fontId="8" fillId="0" borderId="0"/>
    <xf numFmtId="37" fontId="148" fillId="0" borderId="0"/>
    <xf numFmtId="0" fontId="8" fillId="0" borderId="0">
      <alignment wrapText="1"/>
    </xf>
    <xf numFmtId="322" fontId="10" fillId="0" borderId="0"/>
    <xf numFmtId="323" fontId="42" fillId="0" borderId="0"/>
    <xf numFmtId="324" fontId="191" fillId="0" borderId="4" applyBorder="0" applyProtection="0">
      <alignment horizontal="right"/>
    </xf>
    <xf numFmtId="325" fontId="12" fillId="0" borderId="0" applyFont="0" applyFill="0" applyBorder="0" applyAlignment="0" applyProtection="0"/>
    <xf numFmtId="0" fontId="220" fillId="0" borderId="0" applyNumberFormat="0" applyFill="0" applyBorder="0" applyAlignment="0" applyProtection="0">
      <alignment vertical="top"/>
      <protection locked="0"/>
    </xf>
    <xf numFmtId="0" fontId="221" fillId="0" borderId="0"/>
    <xf numFmtId="0" fontId="222" fillId="0" borderId="0" applyNumberFormat="0" applyFill="0" applyBorder="0" applyAlignment="0" applyProtection="0">
      <alignment vertical="top"/>
      <protection locked="0"/>
    </xf>
    <xf numFmtId="0" fontId="8" fillId="0" borderId="0"/>
    <xf numFmtId="0" fontId="223" fillId="0" borderId="0"/>
    <xf numFmtId="0" fontId="224" fillId="2" borderId="0" applyNumberFormat="0" applyBorder="0" applyAlignment="0" applyProtection="0">
      <alignment vertical="center"/>
    </xf>
    <xf numFmtId="0" fontId="50" fillId="15" borderId="13" applyNumberFormat="0" applyFont="0" applyAlignment="0" applyProtection="0">
      <alignment vertical="center"/>
    </xf>
    <xf numFmtId="187" fontId="225" fillId="0" borderId="0" applyFont="0" applyFill="0" applyBorder="0" applyAlignment="0" applyProtection="0"/>
    <xf numFmtId="326" fontId="226" fillId="0" borderId="0" applyFont="0" applyFill="0" applyBorder="0" applyAlignment="0" applyProtection="0"/>
    <xf numFmtId="267" fontId="226" fillId="0" borderId="0" applyFont="0" applyFill="0" applyBorder="0" applyAlignment="0" applyProtection="0"/>
    <xf numFmtId="0" fontId="227" fillId="0" borderId="45" applyNumberFormat="0" applyFill="0" applyAlignment="0" applyProtection="0">
      <alignment vertical="center"/>
    </xf>
    <xf numFmtId="0" fontId="228" fillId="18" borderId="0" applyNumberFormat="0" applyBorder="0" applyAlignment="0" applyProtection="0">
      <alignment vertical="center"/>
    </xf>
    <xf numFmtId="0" fontId="229" fillId="19" borderId="0" applyNumberFormat="0" applyBorder="0" applyAlignment="0" applyProtection="0">
      <alignment vertical="center"/>
    </xf>
    <xf numFmtId="166" fontId="8" fillId="0" borderId="0"/>
    <xf numFmtId="43" fontId="8" fillId="0" borderId="0" applyFont="0" applyFill="0" applyBorder="0" applyAlignment="0" applyProtection="0"/>
    <xf numFmtId="326" fontId="230" fillId="0" borderId="0" applyFont="0" applyFill="0" applyBorder="0" applyAlignment="0" applyProtection="0"/>
    <xf numFmtId="0" fontId="8" fillId="0" borderId="0"/>
    <xf numFmtId="0" fontId="231" fillId="0" borderId="0" applyNumberFormat="0" applyFill="0" applyBorder="0" applyAlignment="0" applyProtection="0">
      <alignment vertical="center"/>
    </xf>
    <xf numFmtId="0" fontId="232" fillId="0" borderId="29" applyNumberFormat="0" applyFill="0" applyAlignment="0" applyProtection="0">
      <alignment vertical="center"/>
    </xf>
    <xf numFmtId="0" fontId="233" fillId="0" borderId="31" applyNumberFormat="0" applyFill="0" applyAlignment="0" applyProtection="0">
      <alignment vertical="center"/>
    </xf>
    <xf numFmtId="0" fontId="234" fillId="0" borderId="32" applyNumberFormat="0" applyFill="0" applyAlignment="0" applyProtection="0">
      <alignment vertical="center"/>
    </xf>
    <xf numFmtId="0" fontId="234" fillId="0" borderId="0" applyNumberFormat="0" applyFill="0" applyBorder="0" applyAlignment="0" applyProtection="0">
      <alignment vertical="center"/>
    </xf>
    <xf numFmtId="0" fontId="235" fillId="29" borderId="17" applyNumberFormat="0" applyAlignment="0" applyProtection="0">
      <alignment vertical="center"/>
    </xf>
    <xf numFmtId="0" fontId="236" fillId="0" borderId="0" applyNumberFormat="0" applyFill="0" applyBorder="0" applyAlignment="0" applyProtection="0">
      <alignment vertical="top"/>
      <protection locked="0"/>
    </xf>
    <xf numFmtId="0" fontId="237" fillId="16" borderId="8" applyNumberFormat="0" applyAlignment="0" applyProtection="0">
      <alignment vertical="center"/>
    </xf>
    <xf numFmtId="0" fontId="238" fillId="0" borderId="0" applyNumberFormat="0" applyFill="0" applyBorder="0" applyAlignment="0" applyProtection="0">
      <alignment vertical="center"/>
    </xf>
    <xf numFmtId="0" fontId="239" fillId="0" borderId="0" applyNumberFormat="0" applyFill="0" applyBorder="0" applyAlignment="0" applyProtection="0">
      <alignment vertical="center"/>
    </xf>
    <xf numFmtId="327" fontId="226" fillId="0" borderId="0" applyFont="0" applyFill="0" applyBorder="0" applyAlignment="0" applyProtection="0"/>
    <xf numFmtId="275" fontId="226" fillId="0" borderId="0" applyFont="0" applyFill="0" applyBorder="0" applyAlignment="0" applyProtection="0"/>
    <xf numFmtId="0" fontId="54" fillId="26" borderId="0" applyNumberFormat="0" applyBorder="0" applyAlignment="0" applyProtection="0">
      <alignment vertical="center"/>
    </xf>
    <xf numFmtId="0" fontId="54" fillId="11" borderId="0" applyNumberFormat="0" applyBorder="0" applyAlignment="0" applyProtection="0">
      <alignment vertical="center"/>
    </xf>
    <xf numFmtId="0" fontId="54" fillId="27"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7" borderId="0" applyNumberFormat="0" applyBorder="0" applyAlignment="0" applyProtection="0">
      <alignment vertical="center"/>
    </xf>
    <xf numFmtId="0" fontId="240" fillId="21" borderId="8" applyNumberFormat="0" applyAlignment="0" applyProtection="0">
      <alignment vertical="center"/>
    </xf>
    <xf numFmtId="0" fontId="241" fillId="16" borderId="9" applyNumberFormat="0" applyAlignment="0" applyProtection="0">
      <alignment vertical="center"/>
    </xf>
    <xf numFmtId="328" fontId="230" fillId="0" borderId="0" applyFont="0" applyFill="0" applyBorder="0" applyAlignment="0" applyProtection="0"/>
    <xf numFmtId="329" fontId="230" fillId="0" borderId="0" applyFont="0" applyFill="0" applyBorder="0" applyAlignment="0" applyProtection="0"/>
    <xf numFmtId="0" fontId="242" fillId="0" borderId="35" applyNumberFormat="0" applyFill="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8" fillId="0" borderId="0" applyNumberForma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11"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cellStyleXfs>
  <cellXfs count="1887">
    <xf numFmtId="0" fontId="0" fillId="0" borderId="0" xfId="0"/>
    <xf numFmtId="0" fontId="15"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6" fillId="0" borderId="0" xfId="11"/>
    <xf numFmtId="0" fontId="0" fillId="0" borderId="38" xfId="0" applyBorder="1"/>
    <xf numFmtId="0" fontId="6" fillId="0" borderId="38" xfId="11" applyBorder="1"/>
    <xf numFmtId="0" fontId="0" fillId="0" borderId="3" xfId="0" applyBorder="1"/>
    <xf numFmtId="0" fontId="0" fillId="0" borderId="4" xfId="0" applyBorder="1" applyAlignment="1">
      <alignment horizontal="right"/>
    </xf>
    <xf numFmtId="190" fontId="0" fillId="0" borderId="0" xfId="0" applyNumberFormat="1"/>
    <xf numFmtId="190" fontId="0" fillId="0" borderId="0" xfId="0" applyNumberFormat="1" applyAlignment="1">
      <alignment horizontal="right"/>
    </xf>
    <xf numFmtId="164" fontId="244" fillId="0" borderId="0" xfId="1" applyNumberFormat="1" applyFont="1"/>
    <xf numFmtId="0" fontId="244" fillId="0" borderId="0" xfId="0" applyFont="1"/>
    <xf numFmtId="0" fontId="245" fillId="0" borderId="0" xfId="11" applyFont="1"/>
    <xf numFmtId="0" fontId="245" fillId="0" borderId="0" xfId="11" applyFont="1" applyAlignment="1">
      <alignment horizontal="right"/>
    </xf>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4"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0" fillId="0" borderId="0" xfId="0" applyBorder="1"/>
    <xf numFmtId="0" fontId="247" fillId="0" borderId="0" xfId="0" applyFont="1" applyFill="1" applyBorder="1" applyAlignment="1">
      <alignment horizontal="center" vertical="center" wrapText="1" readingOrder="1"/>
    </xf>
    <xf numFmtId="0" fontId="247" fillId="0" borderId="1" xfId="0" applyFont="1" applyFill="1" applyBorder="1" applyAlignment="1">
      <alignment horizontal="center" vertical="center" wrapText="1" readingOrder="1"/>
    </xf>
    <xf numFmtId="190" fontId="0" fillId="0" borderId="1" xfId="0" applyNumberFormat="1" applyFont="1" applyFill="1" applyBorder="1" applyAlignment="1">
      <alignment horizontal="center" wrapText="1"/>
    </xf>
    <xf numFmtId="9"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247" fillId="0" borderId="49" xfId="0" applyFont="1" applyFill="1" applyBorder="1" applyAlignment="1">
      <alignment horizontal="center" vertical="center" wrapText="1" readingOrder="1"/>
    </xf>
    <xf numFmtId="0" fontId="0" fillId="0" borderId="1" xfId="0" applyBorder="1" applyAlignment="1">
      <alignment horizontal="center"/>
    </xf>
    <xf numFmtId="190" fontId="0" fillId="0" borderId="0" xfId="0" applyNumberFormat="1" applyFont="1" applyFill="1" applyBorder="1" applyAlignment="1">
      <alignment horizontal="center" wrapText="1"/>
    </xf>
    <xf numFmtId="0" fontId="0" fillId="0" borderId="30" xfId="0" applyFill="1" applyBorder="1"/>
    <xf numFmtId="164" fontId="8" fillId="0" borderId="0" xfId="1" applyNumberFormat="1" applyFont="1" applyFill="1"/>
    <xf numFmtId="0" fontId="250" fillId="0" borderId="0" xfId="0" applyFont="1"/>
    <xf numFmtId="330" fontId="8" fillId="0" borderId="0" xfId="1" applyNumberFormat="1" applyFont="1" applyFill="1"/>
    <xf numFmtId="330" fontId="8" fillId="53" borderId="0" xfId="1" applyNumberFormat="1" applyFont="1" applyFill="1"/>
    <xf numFmtId="0" fontId="249" fillId="0" borderId="0" xfId="0" applyFont="1" applyAlignment="1">
      <alignment horizontal="center"/>
    </xf>
    <xf numFmtId="190" fontId="0" fillId="0" borderId="0" xfId="2" applyNumberFormat="1" applyFont="1"/>
    <xf numFmtId="330" fontId="0" fillId="0" borderId="0" xfId="1" applyNumberFormat="1" applyFont="1"/>
    <xf numFmtId="9" fontId="0" fillId="0" borderId="0" xfId="2" applyNumberFormat="1" applyFont="1"/>
    <xf numFmtId="0" fontId="0" fillId="0" borderId="0" xfId="0" applyFont="1"/>
    <xf numFmtId="0" fontId="0" fillId="54" borderId="0" xfId="0" applyFill="1"/>
    <xf numFmtId="0" fontId="245" fillId="54" borderId="1" xfId="0" applyFont="1" applyFill="1" applyBorder="1" applyAlignment="1">
      <alignment horizontal="center"/>
    </xf>
    <xf numFmtId="0" fontId="0" fillId="54" borderId="52" xfId="0" applyFont="1" applyFill="1" applyBorder="1" applyAlignment="1">
      <alignment horizontal="center"/>
    </xf>
    <xf numFmtId="190" fontId="252" fillId="0" borderId="0" xfId="2" applyNumberFormat="1" applyFont="1"/>
    <xf numFmtId="9" fontId="252" fillId="0" borderId="0" xfId="2" applyFont="1"/>
    <xf numFmtId="0" fontId="252" fillId="0" borderId="0" xfId="0" applyFont="1"/>
    <xf numFmtId="5" fontId="245" fillId="0" borderId="50" xfId="1" applyNumberFormat="1" applyFont="1" applyFill="1" applyBorder="1"/>
    <xf numFmtId="5" fontId="245" fillId="0" borderId="1" xfId="1" applyNumberFormat="1" applyFont="1" applyFill="1" applyBorder="1"/>
    <xf numFmtId="5" fontId="245" fillId="0" borderId="1" xfId="0" applyNumberFormat="1" applyFont="1" applyFill="1" applyBorder="1"/>
    <xf numFmtId="5" fontId="245" fillId="0" borderId="50" xfId="0" applyNumberFormat="1" applyFont="1" applyFill="1" applyBorder="1"/>
    <xf numFmtId="164" fontId="252" fillId="0" borderId="51" xfId="1" applyNumberFormat="1" applyFont="1" applyBorder="1"/>
    <xf numFmtId="164" fontId="252" fillId="0" borderId="1" xfId="1" applyNumberFormat="1" applyFont="1" applyBorder="1"/>
    <xf numFmtId="164" fontId="252" fillId="0" borderId="50" xfId="1" applyNumberFormat="1" applyFont="1" applyBorder="1"/>
    <xf numFmtId="0" fontId="252" fillId="0" borderId="50" xfId="0" applyFont="1" applyBorder="1"/>
    <xf numFmtId="0" fontId="255" fillId="0" borderId="0" xfId="0" applyFont="1"/>
    <xf numFmtId="0" fontId="245" fillId="0" borderId="50" xfId="0" applyFont="1" applyFill="1" applyBorder="1" applyAlignment="1">
      <alignment horizontal="left"/>
    </xf>
    <xf numFmtId="0" fontId="256" fillId="0" borderId="52" xfId="4338" applyFont="1" applyBorder="1" applyAlignment="1">
      <alignment horizontal="left"/>
    </xf>
    <xf numFmtId="0" fontId="253" fillId="0" borderId="52" xfId="0" applyFont="1" applyBorder="1" applyAlignment="1">
      <alignment horizontal="left"/>
    </xf>
    <xf numFmtId="0" fontId="0" fillId="0" borderId="0" xfId="0" applyBorder="1" applyAlignment="1">
      <alignment horizontal="left"/>
    </xf>
    <xf numFmtId="0" fontId="249" fillId="0" borderId="0" xfId="0" applyFont="1" applyAlignment="1">
      <alignment horizontal="left"/>
    </xf>
    <xf numFmtId="0" fontId="8" fillId="0" borderId="52" xfId="4338" applyFont="1" applyBorder="1" applyAlignment="1">
      <alignment horizontal="left"/>
    </xf>
    <xf numFmtId="0" fontId="0" fillId="0" borderId="0" xfId="0" applyFill="1"/>
    <xf numFmtId="0" fontId="257" fillId="0" borderId="0" xfId="0" applyFont="1" applyFill="1"/>
    <xf numFmtId="0" fontId="14" fillId="0" borderId="0" xfId="0" applyFont="1" applyFill="1"/>
    <xf numFmtId="0" fontId="252" fillId="0" borderId="52" xfId="0" applyFont="1" applyBorder="1" applyAlignment="1">
      <alignment horizontal="center"/>
    </xf>
    <xf numFmtId="0" fontId="250" fillId="0" borderId="0" xfId="0" applyFont="1" applyFill="1"/>
    <xf numFmtId="0" fontId="0" fillId="0" borderId="0" xfId="0" applyFont="1" applyFill="1"/>
    <xf numFmtId="0" fontId="255" fillId="0" borderId="0" xfId="0" applyFont="1" applyAlignment="1">
      <alignment horizontal="left" indent="1"/>
    </xf>
    <xf numFmtId="0" fontId="6" fillId="0" borderId="0" xfId="11" applyAlignment="1">
      <alignment horizontal="left" indent="1"/>
    </xf>
    <xf numFmtId="0" fontId="243" fillId="54" borderId="0" xfId="0" applyFont="1" applyFill="1"/>
    <xf numFmtId="0" fontId="0" fillId="54" borderId="38" xfId="0" applyFill="1" applyBorder="1"/>
    <xf numFmtId="0" fontId="247" fillId="0" borderId="52" xfId="0" applyFont="1" applyFill="1" applyBorder="1" applyAlignment="1">
      <alignment horizontal="center" vertical="center" wrapText="1" readingOrder="1"/>
    </xf>
    <xf numFmtId="190" fontId="8" fillId="0" borderId="0" xfId="2" applyNumberFormat="1" applyFont="1" applyAlignment="1">
      <alignment horizontal="center"/>
    </xf>
    <xf numFmtId="5" fontId="252" fillId="0" borderId="1" xfId="1" applyNumberFormat="1" applyFont="1" applyFill="1" applyBorder="1"/>
    <xf numFmtId="5" fontId="252" fillId="0" borderId="50" xfId="1" applyNumberFormat="1" applyFont="1" applyFill="1" applyBorder="1"/>
    <xf numFmtId="164" fontId="258" fillId="0" borderId="0" xfId="1" applyNumberFormat="1" applyFont="1" applyFill="1"/>
    <xf numFmtId="0" fontId="252" fillId="54" borderId="51" xfId="0" applyFont="1" applyFill="1" applyBorder="1" applyAlignment="1">
      <alignment horizontal="center"/>
    </xf>
    <xf numFmtId="0" fontId="252" fillId="54" borderId="1" xfId="0" applyFont="1" applyFill="1" applyBorder="1" applyAlignment="1">
      <alignment horizontal="center"/>
    </xf>
    <xf numFmtId="0" fontId="252" fillId="54" borderId="50" xfId="0" applyFont="1" applyFill="1" applyBorder="1" applyAlignment="1">
      <alignment horizontal="center"/>
    </xf>
    <xf numFmtId="0" fontId="0" fillId="0" borderId="2" xfId="0" applyBorder="1"/>
    <xf numFmtId="0" fontId="0" fillId="0" borderId="30" xfId="0" applyBorder="1"/>
    <xf numFmtId="0" fontId="0" fillId="0" borderId="0" xfId="0" applyBorder="1" applyAlignment="1">
      <alignment horizontal="right"/>
    </xf>
    <xf numFmtId="164" fontId="0" fillId="0" borderId="0" xfId="0" applyNumberFormat="1"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0" fontId="189" fillId="54" borderId="0" xfId="0" applyFont="1" applyFill="1"/>
    <xf numFmtId="0" fontId="0" fillId="0" borderId="0" xfId="0" applyFill="1" applyAlignment="1">
      <alignment horizontal="right"/>
    </xf>
    <xf numFmtId="5" fontId="0" fillId="0" borderId="0" xfId="0" applyNumberFormat="1"/>
    <xf numFmtId="190" fontId="245" fillId="0" borderId="0" xfId="2" applyNumberFormat="1" applyFont="1"/>
    <xf numFmtId="0" fontId="15" fillId="0" borderId="59" xfId="0" applyFont="1" applyBorder="1"/>
    <xf numFmtId="164" fontId="244" fillId="0" borderId="0" xfId="0" applyNumberFormat="1" applyFont="1"/>
    <xf numFmtId="0" fontId="15" fillId="54" borderId="0" xfId="0" applyFont="1" applyFill="1" applyAlignment="1">
      <alignment horizontal="left" vertical="center"/>
    </xf>
    <xf numFmtId="164" fontId="0" fillId="0" borderId="0" xfId="4340" applyNumberFormat="1" applyFont="1"/>
    <xf numFmtId="5" fontId="252" fillId="0" borderId="0" xfId="0" applyNumberFormat="1" applyFont="1"/>
    <xf numFmtId="0" fontId="261" fillId="0" borderId="0" xfId="0" applyFont="1" applyAlignment="1">
      <alignment horizontal="right"/>
    </xf>
    <xf numFmtId="9" fontId="0" fillId="0" borderId="0" xfId="0" applyNumberFormat="1" applyFont="1"/>
    <xf numFmtId="0" fontId="0" fillId="0" borderId="52" xfId="4338" applyFont="1" applyBorder="1" applyAlignment="1">
      <alignment horizontal="left"/>
    </xf>
    <xf numFmtId="0" fontId="0" fillId="0" borderId="0" xfId="0" applyFill="1" applyBorder="1"/>
    <xf numFmtId="0" fontId="0" fillId="12" borderId="0" xfId="0" applyFont="1" applyFill="1"/>
    <xf numFmtId="0" fontId="0" fillId="12" borderId="0" xfId="0" applyFont="1" applyFill="1" applyBorder="1"/>
    <xf numFmtId="0" fontId="78" fillId="12" borderId="0" xfId="0" applyFont="1" applyFill="1" applyBorder="1"/>
    <xf numFmtId="0" fontId="250" fillId="12" borderId="0" xfId="0" applyFont="1" applyFill="1" applyBorder="1"/>
    <xf numFmtId="0" fontId="0" fillId="12" borderId="0" xfId="0" applyFont="1" applyFill="1" applyAlignment="1"/>
    <xf numFmtId="0" fontId="0" fillId="0" borderId="0" xfId="0" applyFont="1" applyAlignment="1"/>
    <xf numFmtId="0" fontId="244" fillId="12" borderId="0" xfId="0" applyFont="1" applyFill="1"/>
    <xf numFmtId="0" fontId="0" fillId="12" borderId="62" xfId="0" applyFont="1" applyFill="1" applyBorder="1" applyAlignment="1">
      <alignment horizontal="center"/>
    </xf>
    <xf numFmtId="9" fontId="0" fillId="12" borderId="62" xfId="0" applyNumberFormat="1" applyFont="1" applyFill="1" applyBorder="1" applyAlignment="1">
      <alignment horizontal="center"/>
    </xf>
    <xf numFmtId="0" fontId="0" fillId="12" borderId="62" xfId="0" applyFont="1" applyFill="1" applyBorder="1" applyAlignment="1">
      <alignment horizontal="left"/>
    </xf>
    <xf numFmtId="1" fontId="0" fillId="0" borderId="62" xfId="0" applyNumberFormat="1" applyFont="1" applyFill="1" applyBorder="1" applyAlignment="1">
      <alignment horizontal="left"/>
    </xf>
    <xf numFmtId="1" fontId="8" fillId="0" borderId="62" xfId="0" applyNumberFormat="1" applyFont="1" applyFill="1" applyBorder="1" applyAlignment="1">
      <alignment horizontal="left"/>
    </xf>
    <xf numFmtId="0" fontId="8" fillId="12" borderId="62" xfId="0" applyFont="1" applyFill="1" applyBorder="1" applyAlignment="1">
      <alignment horizontal="left"/>
    </xf>
    <xf numFmtId="0" fontId="0" fillId="0" borderId="62" xfId="0" applyFont="1" applyFill="1" applyBorder="1"/>
    <xf numFmtId="0" fontId="11" fillId="0" borderId="0" xfId="4341" applyFont="1" applyFill="1" applyBorder="1" applyAlignment="1">
      <alignment wrapText="1"/>
    </xf>
    <xf numFmtId="0" fontId="8" fillId="0" borderId="62" xfId="0" applyFont="1" applyFill="1" applyBorder="1"/>
    <xf numFmtId="1" fontId="8" fillId="0" borderId="0" xfId="0" applyNumberFormat="1" applyFont="1" applyFill="1" applyBorder="1" applyAlignment="1">
      <alignment horizontal="left"/>
    </xf>
    <xf numFmtId="0" fontId="0" fillId="12" borderId="0" xfId="0" applyFont="1" applyFill="1" applyAlignment="1" applyProtection="1"/>
    <xf numFmtId="0" fontId="0" fillId="0" borderId="0" xfId="0" applyFont="1" applyBorder="1"/>
    <xf numFmtId="0" fontId="0" fillId="0" borderId="0" xfId="0" applyFont="1" applyAlignment="1" applyProtection="1">
      <alignment readingOrder="1"/>
      <protection locked="0"/>
    </xf>
    <xf numFmtId="164" fontId="0" fillId="0" borderId="0" xfId="0" applyNumberFormat="1" applyFont="1"/>
    <xf numFmtId="0" fontId="0" fillId="0" borderId="0" xfId="0" applyFont="1" applyFill="1" applyBorder="1"/>
    <xf numFmtId="0" fontId="0" fillId="57" borderId="62" xfId="0" applyFont="1" applyFill="1" applyBorder="1" applyAlignment="1">
      <alignment horizontal="center" vertical="center"/>
    </xf>
    <xf numFmtId="0" fontId="0" fillId="57" borderId="66" xfId="0" applyFont="1" applyFill="1" applyBorder="1" applyAlignment="1">
      <alignment horizontal="center" vertical="center"/>
    </xf>
    <xf numFmtId="0" fontId="0" fillId="0" borderId="64" xfId="0" applyFont="1" applyFill="1" applyBorder="1" applyAlignment="1" applyProtection="1">
      <alignment horizontal="left" wrapText="1" readingOrder="1"/>
      <protection locked="0"/>
    </xf>
    <xf numFmtId="331" fontId="0" fillId="0" borderId="62" xfId="4339" applyNumberFormat="1" applyFont="1" applyFill="1" applyBorder="1" applyAlignment="1"/>
    <xf numFmtId="0" fontId="8" fillId="0" borderId="0" xfId="0" applyFont="1" applyBorder="1" applyAlignment="1" applyProtection="1">
      <alignment horizontal="left" readingOrder="1"/>
      <protection locked="0"/>
    </xf>
    <xf numFmtId="190" fontId="0" fillId="0" borderId="0" xfId="0" applyNumberFormat="1" applyFont="1" applyFill="1" applyBorder="1" applyAlignment="1">
      <alignment wrapText="1"/>
    </xf>
    <xf numFmtId="9" fontId="0" fillId="0" borderId="0" xfId="4342" applyFont="1"/>
    <xf numFmtId="9" fontId="0" fillId="0" borderId="62" xfId="3458" applyFont="1" applyFill="1" applyBorder="1" applyAlignment="1"/>
    <xf numFmtId="164" fontId="0" fillId="0" borderId="0" xfId="0" applyNumberFormat="1" applyFont="1" applyFill="1" applyBorder="1"/>
    <xf numFmtId="0" fontId="78" fillId="0" borderId="0" xfId="0" applyFont="1" applyAlignment="1" applyProtection="1">
      <alignment readingOrder="1"/>
      <protection locked="0"/>
    </xf>
    <xf numFmtId="0" fontId="0" fillId="12" borderId="0" xfId="0" applyFont="1" applyFill="1" applyBorder="1" applyAlignment="1" applyProtection="1">
      <alignment horizontal="left" readingOrder="1"/>
      <protection locked="0"/>
    </xf>
    <xf numFmtId="42" fontId="0" fillId="12" borderId="0" xfId="3458" applyNumberFormat="1" applyFont="1" applyFill="1" applyBorder="1" applyAlignment="1">
      <alignment horizontal="right"/>
    </xf>
    <xf numFmtId="190" fontId="0" fillId="12" borderId="0" xfId="3458" applyNumberFormat="1" applyFont="1" applyFill="1" applyBorder="1" applyAlignment="1">
      <alignment horizontal="right"/>
    </xf>
    <xf numFmtId="42" fontId="0" fillId="0" borderId="0" xfId="0" applyNumberFormat="1" applyFont="1"/>
    <xf numFmtId="9" fontId="0" fillId="0" borderId="0" xfId="3458" applyFont="1"/>
    <xf numFmtId="0" fontId="0" fillId="58" borderId="21" xfId="0" applyFont="1" applyFill="1" applyBorder="1" applyAlignment="1" applyProtection="1">
      <alignment readingOrder="1"/>
      <protection locked="0"/>
    </xf>
    <xf numFmtId="0" fontId="15" fillId="60" borderId="70" xfId="0" applyFont="1" applyFill="1" applyBorder="1" applyAlignment="1" applyProtection="1">
      <alignment horizontal="center"/>
      <protection locked="0"/>
    </xf>
    <xf numFmtId="0" fontId="15" fillId="60" borderId="71" xfId="0" applyFont="1" applyFill="1" applyBorder="1" applyAlignment="1" applyProtection="1">
      <alignment horizontal="center"/>
      <protection locked="0"/>
    </xf>
    <xf numFmtId="0" fontId="0" fillId="12" borderId="30" xfId="0" applyFont="1" applyFill="1" applyBorder="1" applyAlignment="1" applyProtection="1">
      <alignment readingOrder="1"/>
      <protection locked="0"/>
    </xf>
    <xf numFmtId="37" fontId="0" fillId="12" borderId="30" xfId="0" applyNumberFormat="1" applyFont="1" applyFill="1" applyBorder="1"/>
    <xf numFmtId="0" fontId="0" fillId="12" borderId="62" xfId="0" applyFont="1" applyFill="1" applyBorder="1" applyAlignment="1" applyProtection="1">
      <alignment horizontal="left" readingOrder="1"/>
      <protection locked="0"/>
    </xf>
    <xf numFmtId="37" fontId="0" fillId="12" borderId="64" xfId="0" applyNumberFormat="1" applyFont="1" applyFill="1" applyBorder="1" applyAlignment="1">
      <alignment horizontal="right"/>
    </xf>
    <xf numFmtId="0" fontId="0" fillId="0" borderId="0" xfId="0" applyFont="1" applyFill="1" applyBorder="1" applyAlignment="1" applyProtection="1">
      <alignment readingOrder="1"/>
      <protection locked="0"/>
    </xf>
    <xf numFmtId="0" fontId="78" fillId="0" borderId="0" xfId="0" applyFont="1" applyFill="1" applyAlignment="1" applyProtection="1">
      <alignment readingOrder="1"/>
      <protection locked="0"/>
    </xf>
    <xf numFmtId="0" fontId="0" fillId="0" borderId="0" xfId="0" applyFont="1" applyFill="1" applyAlignment="1" applyProtection="1">
      <alignment readingOrder="1"/>
      <protection locked="0"/>
    </xf>
    <xf numFmtId="0" fontId="15" fillId="60" borderId="72" xfId="0" applyFont="1" applyFill="1" applyBorder="1" applyAlignment="1" applyProtection="1">
      <alignment horizontal="center"/>
      <protection locked="0"/>
    </xf>
    <xf numFmtId="330" fontId="0" fillId="12" borderId="55" xfId="4" applyNumberFormat="1" applyFont="1" applyFill="1" applyBorder="1"/>
    <xf numFmtId="0" fontId="8" fillId="12" borderId="30" xfId="0" applyFont="1" applyFill="1" applyBorder="1" applyAlignment="1" applyProtection="1">
      <alignment readingOrder="1"/>
      <protection locked="0"/>
    </xf>
    <xf numFmtId="330" fontId="0" fillId="12" borderId="30" xfId="4" applyNumberFormat="1" applyFont="1" applyFill="1" applyBorder="1"/>
    <xf numFmtId="37" fontId="0" fillId="12" borderId="3" xfId="0" applyNumberFormat="1" applyFont="1" applyFill="1" applyBorder="1"/>
    <xf numFmtId="0" fontId="0" fillId="0" borderId="62" xfId="0" applyFont="1" applyFill="1" applyBorder="1" applyAlignment="1" applyProtection="1">
      <alignment readingOrder="1"/>
      <protection locked="0"/>
    </xf>
    <xf numFmtId="37" fontId="0" fillId="0" borderId="62" xfId="0" applyNumberFormat="1" applyFont="1" applyBorder="1" applyAlignment="1">
      <alignment horizontal="right"/>
    </xf>
    <xf numFmtId="43" fontId="0" fillId="0" borderId="0" xfId="4339" applyFont="1"/>
    <xf numFmtId="331" fontId="8" fillId="0" borderId="0" xfId="4339" applyNumberFormat="1" applyFont="1"/>
    <xf numFmtId="330" fontId="0" fillId="0" borderId="0" xfId="0" applyNumberFormat="1" applyFont="1" applyFill="1" applyBorder="1"/>
    <xf numFmtId="9" fontId="0" fillId="0" borderId="0" xfId="3458" applyFont="1" applyBorder="1"/>
    <xf numFmtId="0" fontId="78" fillId="0" borderId="0" xfId="0" applyFont="1" applyFill="1" applyBorder="1" applyAlignment="1" applyProtection="1">
      <alignment readingOrder="1"/>
      <protection locked="0"/>
    </xf>
    <xf numFmtId="44" fontId="0" fillId="12" borderId="0" xfId="0" applyNumberFormat="1" applyFont="1" applyFill="1" applyBorder="1"/>
    <xf numFmtId="0" fontId="0" fillId="12" borderId="67" xfId="0" applyFont="1" applyFill="1" applyBorder="1" applyAlignment="1" applyProtection="1">
      <alignment readingOrder="1"/>
      <protection locked="0"/>
    </xf>
    <xf numFmtId="331" fontId="0" fillId="12" borderId="55" xfId="0" applyNumberFormat="1" applyFont="1" applyFill="1" applyBorder="1"/>
    <xf numFmtId="0" fontId="0" fillId="0" borderId="55" xfId="0" applyFont="1" applyBorder="1" applyAlignment="1" applyProtection="1">
      <alignment readingOrder="1"/>
      <protection locked="0"/>
    </xf>
    <xf numFmtId="331" fontId="0" fillId="0" borderId="55" xfId="0" applyNumberFormat="1" applyFont="1" applyBorder="1"/>
    <xf numFmtId="37" fontId="0" fillId="0" borderId="66" xfId="0" applyNumberFormat="1" applyFont="1" applyBorder="1" applyAlignment="1">
      <alignment horizontal="right"/>
    </xf>
    <xf numFmtId="9" fontId="0" fillId="0" borderId="0" xfId="3458" applyFont="1" applyFill="1"/>
    <xf numFmtId="0" fontId="0" fillId="0" borderId="55" xfId="0" applyFont="1" applyFill="1" applyBorder="1" applyAlignment="1" applyProtection="1">
      <alignment readingOrder="1"/>
      <protection locked="0"/>
    </xf>
    <xf numFmtId="37" fontId="0" fillId="12" borderId="38" xfId="0" applyNumberFormat="1" applyFont="1" applyFill="1" applyBorder="1"/>
    <xf numFmtId="331" fontId="0" fillId="0" borderId="54" xfId="0" applyNumberFormat="1" applyFont="1" applyFill="1" applyBorder="1" applyAlignment="1">
      <alignment horizontal="center"/>
    </xf>
    <xf numFmtId="0" fontId="0" fillId="0" borderId="21" xfId="0" applyFont="1" applyFill="1" applyBorder="1" applyAlignment="1" applyProtection="1">
      <alignment readingOrder="1"/>
      <protection locked="0"/>
    </xf>
    <xf numFmtId="9" fontId="0" fillId="0" borderId="0" xfId="0" applyNumberFormat="1" applyFont="1" applyBorder="1"/>
    <xf numFmtId="196" fontId="0" fillId="0" borderId="0" xfId="0" applyNumberFormat="1" applyFont="1" applyBorder="1"/>
    <xf numFmtId="0" fontId="0" fillId="0" borderId="0" xfId="0" applyFont="1" applyFill="1" applyBorder="1" applyAlignment="1">
      <alignment horizontal="center"/>
    </xf>
    <xf numFmtId="3" fontId="0" fillId="0" borderId="55" xfId="0" applyNumberFormat="1" applyFont="1" applyBorder="1" applyAlignment="1"/>
    <xf numFmtId="3" fontId="0" fillId="0" borderId="62" xfId="0" applyNumberFormat="1" applyFont="1" applyBorder="1" applyAlignment="1"/>
    <xf numFmtId="0" fontId="8" fillId="0" borderId="62" xfId="0" applyFont="1" applyFill="1" applyBorder="1" applyAlignment="1" applyProtection="1">
      <alignment wrapText="1" readingOrder="1"/>
      <protection locked="0"/>
    </xf>
    <xf numFmtId="330" fontId="8" fillId="0" borderId="62" xfId="4" applyNumberFormat="1" applyFont="1" applyFill="1" applyBorder="1" applyAlignment="1">
      <alignment horizontal="center" vertical="center"/>
    </xf>
    <xf numFmtId="0" fontId="0" fillId="0" borderId="30" xfId="0" applyFont="1" applyFill="1" applyBorder="1" applyAlignment="1" applyProtection="1">
      <alignment readingOrder="1"/>
      <protection locked="0"/>
    </xf>
    <xf numFmtId="331" fontId="8" fillId="0" borderId="64" xfId="4339" applyNumberFormat="1" applyFont="1" applyFill="1" applyBorder="1" applyAlignment="1">
      <alignment horizontal="right" vertical="center"/>
    </xf>
    <xf numFmtId="0" fontId="0" fillId="0" borderId="62" xfId="0" applyBorder="1" applyAlignment="1" applyProtection="1">
      <alignment readingOrder="1"/>
      <protection locked="0"/>
    </xf>
    <xf numFmtId="37" fontId="0" fillId="12" borderId="64" xfId="0" applyNumberFormat="1" applyFont="1" applyFill="1" applyBorder="1"/>
    <xf numFmtId="37" fontId="8" fillId="0" borderId="64" xfId="0" applyNumberFormat="1" applyFont="1" applyFill="1" applyBorder="1" applyAlignment="1">
      <alignment horizontal="right" vertical="center"/>
    </xf>
    <xf numFmtId="332" fontId="8" fillId="0" borderId="62" xfId="0" applyNumberFormat="1" applyFont="1" applyFill="1" applyBorder="1" applyAlignment="1">
      <alignment horizontal="center" vertical="center"/>
    </xf>
    <xf numFmtId="0" fontId="0" fillId="0" borderId="62" xfId="0" applyFont="1" applyBorder="1" applyAlignment="1" applyProtection="1">
      <alignment readingOrder="1"/>
      <protection locked="0"/>
    </xf>
    <xf numFmtId="37" fontId="0" fillId="12" borderId="62" xfId="0" applyNumberFormat="1" applyFont="1" applyFill="1" applyBorder="1"/>
    <xf numFmtId="0" fontId="0" fillId="0" borderId="0" xfId="0" applyFont="1" applyBorder="1" applyAlignment="1" applyProtection="1">
      <alignment readingOrder="1"/>
      <protection locked="0"/>
    </xf>
    <xf numFmtId="330" fontId="0" fillId="0" borderId="62" xfId="4" applyNumberFormat="1" applyFont="1" applyFill="1" applyBorder="1"/>
    <xf numFmtId="0" fontId="15" fillId="60" borderId="80" xfId="0" applyFont="1" applyFill="1" applyBorder="1" applyAlignment="1" applyProtection="1">
      <alignment horizontal="center"/>
      <protection locked="0"/>
    </xf>
    <xf numFmtId="0" fontId="258" fillId="0" borderId="30" xfId="0" applyFont="1" applyFill="1" applyBorder="1" applyAlignment="1" applyProtection="1">
      <alignment horizontal="center"/>
      <protection locked="0"/>
    </xf>
    <xf numFmtId="0" fontId="258" fillId="0" borderId="81" xfId="0" applyFont="1" applyFill="1" applyBorder="1" applyAlignment="1" applyProtection="1">
      <alignment horizontal="center"/>
      <protection locked="0"/>
    </xf>
    <xf numFmtId="331" fontId="8" fillId="0" borderId="62" xfId="0" applyNumberFormat="1" applyFont="1" applyFill="1" applyBorder="1" applyAlignment="1">
      <alignment horizontal="right"/>
    </xf>
    <xf numFmtId="331" fontId="0" fillId="0" borderId="62" xfId="4339" applyNumberFormat="1" applyFont="1" applyFill="1" applyBorder="1"/>
    <xf numFmtId="164" fontId="0" fillId="0" borderId="62" xfId="4" applyNumberFormat="1" applyFont="1" applyFill="1" applyBorder="1"/>
    <xf numFmtId="331" fontId="0" fillId="0" borderId="71" xfId="4339" applyNumberFormat="1" applyFont="1" applyFill="1" applyBorder="1"/>
    <xf numFmtId="331" fontId="0" fillId="0" borderId="78" xfId="4339" applyNumberFormat="1" applyFont="1" applyFill="1" applyBorder="1"/>
    <xf numFmtId="164" fontId="0" fillId="0" borderId="71" xfId="4" applyNumberFormat="1" applyFont="1" applyFill="1" applyBorder="1"/>
    <xf numFmtId="164" fontId="0" fillId="0" borderId="70" xfId="4" applyNumberFormat="1" applyFont="1" applyFill="1" applyBorder="1"/>
    <xf numFmtId="164" fontId="0" fillId="0" borderId="72" xfId="4" applyNumberFormat="1" applyFont="1" applyFill="1" applyBorder="1"/>
    <xf numFmtId="331" fontId="8" fillId="0" borderId="21" xfId="0" applyNumberFormat="1" applyFont="1" applyFill="1" applyBorder="1" applyAlignment="1">
      <alignment horizontal="right"/>
    </xf>
    <xf numFmtId="331" fontId="0" fillId="0" borderId="21" xfId="4339" applyNumberFormat="1" applyFont="1" applyFill="1" applyBorder="1"/>
    <xf numFmtId="164" fontId="0" fillId="0" borderId="21" xfId="4" applyNumberFormat="1" applyFont="1" applyFill="1" applyBorder="1"/>
    <xf numFmtId="331" fontId="0" fillId="0" borderId="67" xfId="4339" applyNumberFormat="1" applyFont="1" applyFill="1" applyBorder="1"/>
    <xf numFmtId="331" fontId="8" fillId="0" borderId="92" xfId="4339" applyNumberFormat="1" applyFont="1" applyFill="1" applyBorder="1"/>
    <xf numFmtId="0" fontId="0" fillId="0" borderId="98" xfId="0" applyFont="1" applyFill="1" applyBorder="1" applyAlignment="1" applyProtection="1">
      <alignment horizontal="center"/>
      <protection locked="0"/>
    </xf>
    <xf numFmtId="0" fontId="0" fillId="0" borderId="66" xfId="0" applyFont="1" applyFill="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0" fillId="0" borderId="30" xfId="0" applyFont="1" applyFill="1" applyBorder="1" applyAlignment="1" applyProtection="1">
      <alignment horizontal="center"/>
      <protection locked="0"/>
    </xf>
    <xf numFmtId="0" fontId="8" fillId="0" borderId="97" xfId="0" applyFont="1" applyFill="1" applyBorder="1" applyAlignment="1">
      <alignment horizontal="center" vertical="center" wrapText="1"/>
    </xf>
    <xf numFmtId="0" fontId="8" fillId="0" borderId="67" xfId="0" applyFont="1" applyFill="1" applyBorder="1" applyAlignment="1">
      <alignment horizontal="center" vertical="center"/>
    </xf>
    <xf numFmtId="331" fontId="8" fillId="0" borderId="55" xfId="0" applyNumberFormat="1" applyFont="1" applyFill="1" applyBorder="1" applyAlignment="1">
      <alignment horizontal="right"/>
    </xf>
    <xf numFmtId="0" fontId="0" fillId="0" borderId="77" xfId="0" applyFont="1" applyBorder="1"/>
    <xf numFmtId="331" fontId="0" fillId="0" borderId="71" xfId="4339" applyNumberFormat="1" applyFont="1" applyBorder="1"/>
    <xf numFmtId="0" fontId="0" fillId="0" borderId="99" xfId="0" applyFill="1" applyBorder="1" applyAlignment="1">
      <alignment horizontal="center" vertical="center"/>
    </xf>
    <xf numFmtId="331" fontId="0" fillId="0" borderId="66" xfId="0" applyNumberFormat="1" applyFont="1" applyFill="1" applyBorder="1" applyAlignment="1">
      <alignment horizontal="right"/>
    </xf>
    <xf numFmtId="331" fontId="0" fillId="0" borderId="62" xfId="0" applyNumberFormat="1" applyFont="1" applyFill="1" applyBorder="1" applyAlignment="1">
      <alignment horizontal="right"/>
    </xf>
    <xf numFmtId="331" fontId="0" fillId="0" borderId="94" xfId="0" applyNumberFormat="1" applyFont="1" applyFill="1" applyBorder="1" applyAlignment="1">
      <alignment horizontal="right"/>
    </xf>
    <xf numFmtId="164" fontId="0" fillId="0" borderId="66" xfId="4" applyNumberFormat="1" applyFont="1" applyFill="1" applyBorder="1" applyAlignment="1">
      <alignment horizontal="right"/>
    </xf>
    <xf numFmtId="164" fontId="0" fillId="0" borderId="62" xfId="4" applyNumberFormat="1" applyFont="1" applyFill="1" applyBorder="1" applyAlignment="1">
      <alignment horizontal="right"/>
    </xf>
    <xf numFmtId="164" fontId="8" fillId="0" borderId="62" xfId="4" applyNumberFormat="1" applyFont="1" applyFill="1" applyBorder="1" applyAlignment="1">
      <alignment horizontal="right"/>
    </xf>
    <xf numFmtId="164" fontId="8" fillId="0" borderId="94" xfId="4" applyNumberFormat="1" applyFont="1" applyFill="1" applyBorder="1" applyAlignment="1">
      <alignment horizontal="right"/>
    </xf>
    <xf numFmtId="0" fontId="0" fillId="0" borderId="62" xfId="0" applyFont="1" applyFill="1" applyBorder="1" applyAlignment="1">
      <alignment horizontal="center" vertical="center"/>
    </xf>
    <xf numFmtId="0" fontId="0" fillId="0" borderId="94" xfId="0" applyFont="1" applyFill="1" applyBorder="1" applyAlignment="1">
      <alignment horizontal="center" vertical="center"/>
    </xf>
    <xf numFmtId="331" fontId="0" fillId="0" borderId="66" xfId="0" applyNumberFormat="1" applyFont="1" applyFill="1" applyBorder="1" applyAlignment="1">
      <alignment horizontal="right" vertical="center"/>
    </xf>
    <xf numFmtId="331" fontId="0" fillId="0" borderId="62" xfId="0" applyNumberFormat="1" applyFont="1" applyFill="1" applyBorder="1" applyAlignment="1">
      <alignment horizontal="right" vertical="center"/>
    </xf>
    <xf numFmtId="164" fontId="0" fillId="0" borderId="66" xfId="4" applyNumberFormat="1" applyFont="1" applyFill="1" applyBorder="1" applyAlignment="1">
      <alignment horizontal="right" vertical="center"/>
    </xf>
    <xf numFmtId="164" fontId="0" fillId="0" borderId="62" xfId="4"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wrapText="1"/>
    </xf>
    <xf numFmtId="331" fontId="8" fillId="0" borderId="62" xfId="4339" applyNumberFormat="1" applyFont="1" applyFill="1" applyBorder="1"/>
    <xf numFmtId="331" fontId="0" fillId="0" borderId="94" xfId="0" applyNumberFormat="1" applyFont="1" applyFill="1" applyBorder="1" applyAlignment="1">
      <alignment horizontal="right" vertical="center"/>
    </xf>
    <xf numFmtId="164" fontId="8" fillId="0" borderId="62" xfId="4" applyNumberFormat="1" applyFont="1" applyFill="1" applyBorder="1" applyAlignment="1">
      <alignment horizontal="right" vertical="center"/>
    </xf>
    <xf numFmtId="164" fontId="8" fillId="0" borderId="94" xfId="4" applyNumberFormat="1" applyFont="1" applyFill="1" applyBorder="1" applyAlignment="1">
      <alignment horizontal="right" vertical="center"/>
    </xf>
    <xf numFmtId="0" fontId="8" fillId="0" borderId="94" xfId="0" applyFont="1" applyFill="1" applyBorder="1" applyAlignment="1">
      <alignment horizontal="center" vertical="center" wrapText="1"/>
    </xf>
    <xf numFmtId="0" fontId="0" fillId="0" borderId="62" xfId="0" applyBorder="1" applyAlignment="1">
      <alignment horizontal="center" vertical="center"/>
    </xf>
    <xf numFmtId="331" fontId="0" fillId="0" borderId="89" xfId="0" applyNumberFormat="1" applyFont="1" applyFill="1" applyBorder="1" applyAlignment="1">
      <alignment horizontal="right" vertical="center"/>
    </xf>
    <xf numFmtId="164" fontId="0" fillId="0" borderId="89" xfId="4" applyNumberFormat="1" applyFont="1" applyFill="1" applyBorder="1" applyAlignment="1">
      <alignment horizontal="right" vertical="center"/>
    </xf>
    <xf numFmtId="331" fontId="0" fillId="0" borderId="21" xfId="0" applyNumberFormat="1" applyFont="1" applyFill="1" applyBorder="1" applyAlignment="1">
      <alignment horizontal="right"/>
    </xf>
    <xf numFmtId="331" fontId="0" fillId="0" borderId="61" xfId="0" applyNumberFormat="1" applyFont="1" applyFill="1" applyBorder="1" applyAlignment="1">
      <alignment horizontal="right"/>
    </xf>
    <xf numFmtId="164" fontId="0" fillId="0" borderId="21" xfId="4" applyNumberFormat="1" applyFont="1" applyFill="1" applyBorder="1" applyAlignment="1">
      <alignment horizontal="right"/>
    </xf>
    <xf numFmtId="0" fontId="0" fillId="0" borderId="69" xfId="0" applyFont="1" applyBorder="1"/>
    <xf numFmtId="0" fontId="8" fillId="0" borderId="63" xfId="0" applyFont="1" applyBorder="1" applyAlignment="1" applyProtection="1">
      <alignment horizontal="center"/>
      <protection locked="0"/>
    </xf>
    <xf numFmtId="3" fontId="0" fillId="0" borderId="93" xfId="0" applyNumberFormat="1" applyFont="1" applyBorder="1" applyAlignment="1"/>
    <xf numFmtId="3" fontId="0" fillId="0" borderId="102" xfId="0" applyNumberFormat="1" applyFont="1" applyBorder="1" applyAlignment="1"/>
    <xf numFmtId="3" fontId="0" fillId="0" borderId="101" xfId="0" applyNumberFormat="1" applyFont="1" applyBorder="1" applyAlignment="1"/>
    <xf numFmtId="164" fontId="0" fillId="0" borderId="100" xfId="4" applyNumberFormat="1" applyFont="1" applyBorder="1" applyAlignment="1"/>
    <xf numFmtId="164" fontId="0" fillId="0" borderId="102" xfId="4" applyNumberFormat="1" applyFont="1" applyBorder="1" applyAlignment="1"/>
    <xf numFmtId="164" fontId="0" fillId="0" borderId="62" xfId="4" applyNumberFormat="1" applyFont="1" applyBorder="1" applyAlignment="1"/>
    <xf numFmtId="164" fontId="0" fillId="0" borderId="94" xfId="4" applyNumberFormat="1" applyFont="1" applyBorder="1" applyAlignment="1"/>
    <xf numFmtId="164" fontId="0" fillId="0" borderId="83" xfId="0" applyNumberFormat="1" applyFont="1" applyBorder="1"/>
    <xf numFmtId="164" fontId="0" fillId="0" borderId="74" xfId="0" applyNumberFormat="1" applyFont="1" applyBorder="1"/>
    <xf numFmtId="3" fontId="0" fillId="0" borderId="66" xfId="0" applyNumberFormat="1" applyFont="1" applyBorder="1" applyAlignment="1"/>
    <xf numFmtId="3" fontId="0" fillId="0" borderId="54" xfId="0" applyNumberFormat="1" applyFont="1" applyBorder="1" applyAlignment="1"/>
    <xf numFmtId="164" fontId="0" fillId="0" borderId="3" xfId="4" applyNumberFormat="1" applyFont="1" applyBorder="1" applyAlignment="1"/>
    <xf numFmtId="164" fontId="0" fillId="0" borderId="61" xfId="4" applyNumberFormat="1" applyFont="1" applyBorder="1" applyAlignment="1"/>
    <xf numFmtId="164" fontId="0" fillId="0" borderId="98" xfId="0" applyNumberFormat="1" applyFont="1" applyBorder="1"/>
    <xf numFmtId="164" fontId="0" fillId="0" borderId="67" xfId="0" applyNumberFormat="1" applyFont="1" applyBorder="1"/>
    <xf numFmtId="0" fontId="8" fillId="0" borderId="30" xfId="0" applyFont="1" applyBorder="1" applyAlignment="1" applyProtection="1">
      <alignment horizontal="center"/>
      <protection locked="0"/>
    </xf>
    <xf numFmtId="3" fontId="0" fillId="0" borderId="99" xfId="0" applyNumberFormat="1" applyFont="1" applyBorder="1" applyAlignment="1"/>
    <xf numFmtId="3" fontId="0" fillId="0" borderId="98" xfId="0" applyNumberFormat="1" applyFont="1" applyBorder="1" applyAlignment="1"/>
    <xf numFmtId="164" fontId="0" fillId="0" borderId="64" xfId="4" applyNumberFormat="1" applyFont="1" applyBorder="1" applyAlignment="1"/>
    <xf numFmtId="331" fontId="8" fillId="0" borderId="62" xfId="0" applyNumberFormat="1" applyFont="1" applyFill="1" applyBorder="1" applyAlignment="1" applyProtection="1">
      <alignment horizontal="center"/>
      <protection locked="0"/>
    </xf>
    <xf numFmtId="331" fontId="8" fillId="0" borderId="89" xfId="0" applyNumberFormat="1" applyFont="1" applyFill="1" applyBorder="1" applyAlignment="1" applyProtection="1">
      <alignment horizontal="center"/>
      <protection locked="0"/>
    </xf>
    <xf numFmtId="164" fontId="0" fillId="0" borderId="70" xfId="0" applyNumberFormat="1" applyFont="1" applyBorder="1"/>
    <xf numFmtId="331" fontId="0" fillId="0" borderId="60" xfId="0" applyNumberFormat="1" applyFont="1" applyFill="1" applyBorder="1" applyAlignment="1">
      <alignment horizontal="right"/>
    </xf>
    <xf numFmtId="331" fontId="0" fillId="0" borderId="93" xfId="0" applyNumberFormat="1" applyFont="1" applyFill="1" applyBorder="1" applyAlignment="1">
      <alignment horizontal="right"/>
    </xf>
    <xf numFmtId="164" fontId="0" fillId="0" borderId="21" xfId="0" applyNumberFormat="1" applyFont="1" applyFill="1" applyBorder="1"/>
    <xf numFmtId="164" fontId="0" fillId="0" borderId="0" xfId="0" applyNumberFormat="1" applyFont="1" applyFill="1"/>
    <xf numFmtId="331" fontId="0" fillId="0" borderId="91" xfId="0" applyNumberFormat="1" applyFont="1" applyFill="1" applyBorder="1" applyAlignment="1">
      <alignment horizontal="right"/>
    </xf>
    <xf numFmtId="164" fontId="0" fillId="0" borderId="62" xfId="0" applyNumberFormat="1" applyFont="1" applyFill="1" applyBorder="1"/>
    <xf numFmtId="164" fontId="0" fillId="0" borderId="64" xfId="4" applyNumberFormat="1" applyFont="1" applyFill="1" applyBorder="1" applyAlignment="1">
      <alignment horizontal="right"/>
    </xf>
    <xf numFmtId="331" fontId="0" fillId="0" borderId="70" xfId="0" applyNumberFormat="1" applyFont="1" applyFill="1" applyBorder="1" applyAlignment="1">
      <alignment horizontal="right"/>
    </xf>
    <xf numFmtId="331" fontId="0" fillId="0" borderId="71" xfId="0" applyNumberFormat="1" applyFont="1" applyFill="1" applyBorder="1" applyAlignment="1">
      <alignment horizontal="right"/>
    </xf>
    <xf numFmtId="164" fontId="0" fillId="0" borderId="70" xfId="4" applyNumberFormat="1" applyFont="1" applyFill="1" applyBorder="1" applyAlignment="1">
      <alignment horizontal="right"/>
    </xf>
    <xf numFmtId="164" fontId="0" fillId="0" borderId="71" xfId="4" applyNumberFormat="1" applyFont="1" applyFill="1" applyBorder="1" applyAlignment="1">
      <alignment horizontal="right"/>
    </xf>
    <xf numFmtId="164" fontId="0" fillId="0" borderId="72" xfId="4" applyNumberFormat="1" applyFont="1" applyFill="1" applyBorder="1" applyAlignment="1">
      <alignment horizontal="right"/>
    </xf>
    <xf numFmtId="331" fontId="0" fillId="0" borderId="62" xfId="0" applyNumberFormat="1" applyFont="1" applyFill="1" applyBorder="1" applyAlignment="1">
      <alignment horizontal="center" vertical="center"/>
    </xf>
    <xf numFmtId="164" fontId="0" fillId="0" borderId="62" xfId="4" applyNumberFormat="1" applyFont="1" applyFill="1" applyBorder="1" applyAlignment="1">
      <alignment horizontal="center" vertical="center"/>
    </xf>
    <xf numFmtId="164" fontId="0" fillId="0" borderId="99" xfId="0" applyNumberFormat="1" applyFont="1" applyFill="1" applyBorder="1"/>
    <xf numFmtId="164" fontId="0" fillId="0" borderId="0" xfId="0" applyNumberFormat="1" applyFont="1" applyBorder="1"/>
    <xf numFmtId="0" fontId="0" fillId="0" borderId="0" xfId="0" applyFont="1" applyAlignment="1">
      <alignment horizontal="center"/>
    </xf>
    <xf numFmtId="0" fontId="0" fillId="0" borderId="62" xfId="0" applyFont="1" applyFill="1" applyBorder="1" applyAlignment="1">
      <alignment horizontal="center"/>
    </xf>
    <xf numFmtId="331" fontId="159" fillId="0" borderId="0" xfId="4339" applyNumberFormat="1" applyFont="1" applyFill="1" applyBorder="1" applyAlignment="1">
      <alignment horizontal="center"/>
    </xf>
    <xf numFmtId="0" fontId="0" fillId="0" borderId="0" xfId="0" applyFont="1" applyBorder="1" applyAlignment="1">
      <alignment horizontal="center"/>
    </xf>
    <xf numFmtId="0" fontId="258" fillId="0" borderId="67" xfId="0" applyFont="1" applyBorder="1" applyAlignment="1">
      <alignment horizontal="center" vertical="center"/>
    </xf>
    <xf numFmtId="0" fontId="258" fillId="0" borderId="87" xfId="0" applyFont="1" applyFill="1" applyBorder="1" applyAlignment="1">
      <alignment horizontal="center" vertical="center"/>
    </xf>
    <xf numFmtId="37" fontId="0" fillId="61" borderId="93" xfId="4" applyNumberFormat="1" applyFont="1" applyFill="1" applyBorder="1"/>
    <xf numFmtId="164" fontId="0" fillId="61" borderId="93" xfId="4" applyNumberFormat="1" applyFont="1" applyFill="1" applyBorder="1"/>
    <xf numFmtId="164" fontId="0" fillId="0" borderId="91" xfId="0" applyNumberFormat="1" applyFont="1" applyBorder="1"/>
    <xf numFmtId="164" fontId="0" fillId="0" borderId="62" xfId="0" applyNumberFormat="1" applyFont="1" applyBorder="1"/>
    <xf numFmtId="0" fontId="258" fillId="0" borderId="55" xfId="0" applyFont="1" applyBorder="1" applyAlignment="1">
      <alignment horizontal="center" vertical="center"/>
    </xf>
    <xf numFmtId="0" fontId="258" fillId="0" borderId="0" xfId="0" applyFont="1" applyFill="1" applyBorder="1" applyAlignment="1">
      <alignment horizontal="center" vertical="center"/>
    </xf>
    <xf numFmtId="37" fontId="0" fillId="61" borderId="62" xfId="4" applyNumberFormat="1" applyFont="1" applyFill="1" applyBorder="1"/>
    <xf numFmtId="164" fontId="0" fillId="61" borderId="62" xfId="4" applyNumberFormat="1" applyFont="1" applyFill="1" applyBorder="1"/>
    <xf numFmtId="164" fontId="0" fillId="61" borderId="94" xfId="4" applyNumberFormat="1" applyFont="1" applyFill="1" applyBorder="1"/>
    <xf numFmtId="164" fontId="0" fillId="0" borderId="98" xfId="0" applyNumberFormat="1" applyFont="1" applyFill="1" applyBorder="1"/>
    <xf numFmtId="164" fontId="0" fillId="0" borderId="109" xfId="0" applyNumberFormat="1" applyFont="1" applyFill="1" applyBorder="1"/>
    <xf numFmtId="331" fontId="0" fillId="61" borderId="67" xfId="4339" applyNumberFormat="1" applyFont="1" applyFill="1" applyBorder="1"/>
    <xf numFmtId="0" fontId="258" fillId="0" borderId="74" xfId="0" applyFont="1" applyBorder="1" applyAlignment="1">
      <alignment horizontal="center" vertical="center"/>
    </xf>
    <xf numFmtId="0" fontId="258" fillId="0" borderId="81" xfId="0" applyFont="1" applyFill="1" applyBorder="1" applyAlignment="1">
      <alignment horizontal="center" vertical="center"/>
    </xf>
    <xf numFmtId="331" fontId="0" fillId="61" borderId="93" xfId="4339" applyNumberFormat="1" applyFont="1" applyFill="1" applyBorder="1"/>
    <xf numFmtId="164" fontId="0" fillId="61" borderId="21" xfId="4" applyNumberFormat="1" applyFont="1" applyFill="1" applyBorder="1"/>
    <xf numFmtId="164" fontId="0" fillId="61" borderId="61" xfId="4" applyNumberFormat="1" applyFont="1" applyFill="1" applyBorder="1"/>
    <xf numFmtId="164" fontId="0" fillId="0" borderId="83" xfId="0" applyNumberFormat="1" applyFont="1" applyFill="1" applyBorder="1"/>
    <xf numFmtId="164" fontId="0" fillId="0" borderId="82" xfId="0" applyNumberFormat="1" applyFont="1" applyFill="1" applyBorder="1"/>
    <xf numFmtId="0" fontId="258" fillId="0" borderId="30" xfId="0" applyFont="1" applyFill="1" applyBorder="1" applyAlignment="1">
      <alignment horizontal="center" vertical="center"/>
    </xf>
    <xf numFmtId="331" fontId="0" fillId="61" borderId="62" xfId="4339" applyNumberFormat="1" applyFont="1" applyFill="1" applyBorder="1"/>
    <xf numFmtId="0" fontId="258" fillId="0" borderId="110" xfId="0" applyFont="1" applyBorder="1" applyAlignment="1">
      <alignment horizontal="center" vertical="center"/>
    </xf>
    <xf numFmtId="0" fontId="258" fillId="0" borderId="111" xfId="0" applyFont="1" applyFill="1" applyBorder="1" applyAlignment="1">
      <alignment horizontal="center" vertical="center"/>
    </xf>
    <xf numFmtId="164" fontId="0" fillId="0" borderId="89" xfId="0" applyNumberFormat="1" applyFont="1" applyBorder="1"/>
    <xf numFmtId="164" fontId="0" fillId="0" borderId="89" xfId="0" applyNumberFormat="1" applyFont="1" applyFill="1" applyBorder="1"/>
    <xf numFmtId="164" fontId="0" fillId="0" borderId="95" xfId="0" applyNumberFormat="1" applyFont="1" applyFill="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Font="1" applyBorder="1"/>
    <xf numFmtId="164" fontId="0" fillId="0" borderId="38" xfId="0" applyNumberFormat="1" applyFont="1" applyFill="1" applyBorder="1"/>
    <xf numFmtId="164" fontId="0" fillId="0" borderId="19" xfId="0" applyNumberFormat="1" applyFont="1" applyFill="1" applyBorder="1"/>
    <xf numFmtId="164" fontId="0" fillId="61" borderId="66" xfId="4" applyNumberFormat="1" applyFont="1" applyFill="1" applyBorder="1"/>
    <xf numFmtId="164" fontId="0" fillId="61" borderId="89" xfId="4" applyNumberFormat="1" applyFont="1" applyFill="1" applyBorder="1"/>
    <xf numFmtId="164" fontId="0" fillId="0" borderId="66" xfId="0" applyNumberFormat="1" applyFont="1" applyFill="1" applyBorder="1"/>
    <xf numFmtId="164" fontId="0" fillId="0" borderId="92" xfId="0" applyNumberFormat="1" applyFont="1" applyFill="1" applyBorder="1"/>
    <xf numFmtId="164" fontId="0" fillId="0" borderId="66" xfId="0" applyNumberFormat="1" applyFont="1" applyBorder="1"/>
    <xf numFmtId="331" fontId="0" fillId="0" borderId="89" xfId="4339" applyNumberFormat="1" applyFont="1" applyFill="1" applyBorder="1"/>
    <xf numFmtId="0" fontId="258" fillId="0" borderId="72" xfId="0" applyFont="1" applyFill="1" applyBorder="1" applyAlignment="1">
      <alignment horizontal="center" vertical="center"/>
    </xf>
    <xf numFmtId="37" fontId="0" fillId="0" borderId="108" xfId="0" applyNumberFormat="1" applyFont="1" applyBorder="1"/>
    <xf numFmtId="164" fontId="0" fillId="61" borderId="71" xfId="4" applyNumberFormat="1" applyFont="1" applyFill="1" applyBorder="1"/>
    <xf numFmtId="164" fontId="0" fillId="61" borderId="72" xfId="4" applyNumberFormat="1" applyFont="1" applyFill="1" applyBorder="1"/>
    <xf numFmtId="164" fontId="0" fillId="61" borderId="79" xfId="4" applyNumberFormat="1" applyFont="1" applyFill="1" applyBorder="1"/>
    <xf numFmtId="9" fontId="244" fillId="0" borderId="0" xfId="2" applyFont="1"/>
    <xf numFmtId="44" fontId="8" fillId="0" borderId="0" xfId="1" applyNumberFormat="1" applyFont="1" applyFill="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164" fontId="252" fillId="0" borderId="1" xfId="1" applyNumberFormat="1" applyFont="1" applyFill="1" applyBorder="1"/>
    <xf numFmtId="42" fontId="0" fillId="12" borderId="55" xfId="0" applyNumberFormat="1" applyFont="1" applyFill="1" applyBorder="1"/>
    <xf numFmtId="164" fontId="0" fillId="12" borderId="1" xfId="4" applyNumberFormat="1" applyFont="1" applyFill="1" applyBorder="1" applyAlignment="1">
      <alignment horizontal="right"/>
    </xf>
    <xf numFmtId="9" fontId="3" fillId="0" borderId="0" xfId="2" applyFont="1"/>
    <xf numFmtId="190" fontId="244" fillId="0" borderId="0" xfId="2" applyNumberFormat="1" applyFont="1"/>
    <xf numFmtId="0" fontId="2" fillId="0" borderId="50" xfId="0" applyFont="1" applyFill="1" applyBorder="1" applyAlignment="1">
      <alignment horizontal="left"/>
    </xf>
    <xf numFmtId="0" fontId="0" fillId="0" borderId="0" xfId="0" applyAlignment="1">
      <alignment horizontal="left" indent="1"/>
    </xf>
    <xf numFmtId="0" fontId="262" fillId="12" borderId="0" xfId="0" applyFont="1" applyFill="1" applyBorder="1"/>
    <xf numFmtId="3" fontId="0" fillId="0" borderId="61" xfId="0" applyNumberFormat="1" applyFont="1" applyBorder="1" applyAlignment="1"/>
    <xf numFmtId="3" fontId="0" fillId="0" borderId="72" xfId="0" applyNumberFormat="1" applyFont="1" applyBorder="1" applyAlignment="1">
      <alignment horizontal="right" vertical="center"/>
    </xf>
    <xf numFmtId="331" fontId="0" fillId="0" borderId="72" xfId="0" applyNumberFormat="1" applyFont="1" applyFill="1" applyBorder="1" applyAlignment="1">
      <alignment horizontal="right"/>
    </xf>
    <xf numFmtId="3" fontId="0" fillId="0" borderId="21" xfId="0" applyNumberFormat="1" applyFont="1" applyBorder="1" applyAlignment="1">
      <alignment horizontal="right"/>
    </xf>
    <xf numFmtId="3" fontId="0" fillId="0" borderId="62" xfId="0" applyNumberFormat="1" applyFont="1" applyBorder="1" applyAlignment="1">
      <alignment horizontal="right"/>
    </xf>
    <xf numFmtId="3" fontId="0" fillId="0" borderId="112" xfId="0" applyNumberFormat="1" applyFont="1" applyFill="1" applyBorder="1" applyAlignment="1">
      <alignment horizontal="right"/>
    </xf>
    <xf numFmtId="3" fontId="0" fillId="0" borderId="96" xfId="0" applyNumberFormat="1" applyFont="1" applyBorder="1" applyAlignment="1">
      <alignment horizontal="right"/>
    </xf>
    <xf numFmtId="164" fontId="0" fillId="0" borderId="38" xfId="4" applyNumberFormat="1" applyFont="1" applyFill="1" applyBorder="1" applyAlignment="1"/>
    <xf numFmtId="164" fontId="0" fillId="0" borderId="66" xfId="4" applyNumberFormat="1" applyFont="1" applyFill="1" applyBorder="1" applyAlignment="1"/>
    <xf numFmtId="37" fontId="0" fillId="61" borderId="101" xfId="4" applyNumberFormat="1" applyFont="1" applyFill="1" applyBorder="1"/>
    <xf numFmtId="37" fontId="0" fillId="61" borderId="66" xfId="4" applyNumberFormat="1" applyFont="1" applyFill="1" applyBorder="1"/>
    <xf numFmtId="331" fontId="0" fillId="61" borderId="98" xfId="4339" applyNumberFormat="1" applyFont="1" applyFill="1" applyBorder="1"/>
    <xf numFmtId="331" fontId="0" fillId="61" borderId="101" xfId="4339" applyNumberFormat="1" applyFont="1" applyFill="1" applyBorder="1"/>
    <xf numFmtId="331" fontId="0" fillId="61" borderId="66" xfId="4339" applyNumberFormat="1" applyFont="1" applyFill="1" applyBorder="1"/>
    <xf numFmtId="331" fontId="0" fillId="61" borderId="89" xfId="4339" applyNumberFormat="1" applyFont="1" applyFill="1" applyBorder="1"/>
    <xf numFmtId="331" fontId="0" fillId="61" borderId="54" xfId="4339" applyNumberFormat="1" applyFont="1" applyFill="1" applyBorder="1"/>
    <xf numFmtId="37" fontId="0" fillId="0" borderId="85" xfId="0" applyNumberFormat="1" applyFont="1" applyBorder="1"/>
    <xf numFmtId="164" fontId="0" fillId="0" borderId="54" xfId="0" applyNumberFormat="1" applyFont="1" applyFill="1" applyBorder="1"/>
    <xf numFmtId="164" fontId="0" fillId="0" borderId="79" xfId="0" applyNumberFormat="1" applyFont="1" applyFill="1" applyBorder="1"/>
    <xf numFmtId="164" fontId="0" fillId="0" borderId="71" xfId="0" applyNumberFormat="1" applyFont="1" applyBorder="1"/>
    <xf numFmtId="164" fontId="0" fillId="0" borderId="72" xfId="0" applyNumberFormat="1" applyFont="1" applyBorder="1"/>
    <xf numFmtId="3" fontId="0" fillId="0" borderId="71" xfId="0" applyNumberFormat="1" applyFont="1" applyBorder="1" applyAlignment="1">
      <alignment horizontal="right" vertical="center"/>
    </xf>
    <xf numFmtId="0" fontId="15" fillId="55" borderId="64" xfId="0" applyFont="1" applyFill="1" applyBorder="1" applyAlignment="1" applyProtection="1">
      <alignment horizontal="left" wrapText="1" readingOrder="1"/>
      <protection locked="0"/>
    </xf>
    <xf numFmtId="0" fontId="0" fillId="0" borderId="3" xfId="0" applyFont="1" applyFill="1" applyBorder="1" applyAlignment="1" applyProtection="1">
      <alignment horizontal="center"/>
      <protection locked="0"/>
    </xf>
    <xf numFmtId="0" fontId="0" fillId="12" borderId="55" xfId="0" applyFont="1" applyFill="1" applyBorder="1" applyAlignment="1" applyProtection="1">
      <alignment readingOrder="1"/>
      <protection locked="0"/>
    </xf>
    <xf numFmtId="37" fontId="0" fillId="12" borderId="62" xfId="0" applyNumberFormat="1" applyFont="1" applyFill="1" applyBorder="1" applyAlignment="1">
      <alignment horizontal="right"/>
    </xf>
    <xf numFmtId="164" fontId="0" fillId="12" borderId="62" xfId="4" applyNumberFormat="1" applyFont="1" applyFill="1" applyBorder="1" applyAlignment="1">
      <alignment horizontal="right"/>
    </xf>
    <xf numFmtId="331" fontId="8" fillId="0" borderId="62" xfId="4339" applyNumberFormat="1" applyFont="1" applyFill="1" applyBorder="1" applyAlignment="1">
      <alignment horizontal="center"/>
    </xf>
    <xf numFmtId="9" fontId="0" fillId="0" borderId="0" xfId="0" applyNumberFormat="1" applyAlignment="1">
      <alignment horizontal="right"/>
    </xf>
    <xf numFmtId="0" fontId="252" fillId="0" borderId="0" xfId="0" applyFont="1" applyAlignment="1">
      <alignment horizontal="right"/>
    </xf>
    <xf numFmtId="9" fontId="252" fillId="0" borderId="0" xfId="2" applyFont="1" applyFill="1"/>
    <xf numFmtId="9" fontId="252" fillId="0" borderId="0" xfId="2" applyFont="1" applyFill="1" applyBorder="1"/>
    <xf numFmtId="0" fontId="252" fillId="0" borderId="0" xfId="0" applyFont="1" applyFill="1"/>
    <xf numFmtId="0" fontId="15" fillId="60" borderId="110" xfId="0" applyFont="1" applyFill="1" applyBorder="1" applyAlignment="1" applyProtection="1">
      <alignment horizontal="center"/>
      <protection locked="0"/>
    </xf>
    <xf numFmtId="0" fontId="15" fillId="60" borderId="108" xfId="0" applyFont="1" applyFill="1" applyBorder="1" applyAlignment="1" applyProtection="1">
      <alignment horizontal="center"/>
      <protection locked="0"/>
    </xf>
    <xf numFmtId="5" fontId="252" fillId="0" borderId="64" xfId="1" applyNumberFormat="1" applyFont="1" applyFill="1" applyBorder="1"/>
    <xf numFmtId="9" fontId="245" fillId="0" borderId="50" xfId="2" applyFont="1" applyFill="1" applyBorder="1"/>
    <xf numFmtId="330" fontId="258" fillId="0" borderId="0" xfId="1" applyNumberFormat="1" applyFont="1" applyFill="1"/>
    <xf numFmtId="190" fontId="3" fillId="0" borderId="0" xfId="2" applyNumberFormat="1" applyFont="1"/>
    <xf numFmtId="331" fontId="8" fillId="0" borderId="89" xfId="4339" applyNumberFormat="1" applyFont="1" applyFill="1" applyBorder="1"/>
    <xf numFmtId="0" fontId="0" fillId="62" borderId="0" xfId="0" applyFill="1"/>
    <xf numFmtId="9" fontId="0" fillId="0" borderId="0" xfId="2" applyFont="1" applyFill="1" applyBorder="1"/>
    <xf numFmtId="0" fontId="0" fillId="0" borderId="4" xfId="0" applyFill="1" applyBorder="1" applyAlignment="1">
      <alignment horizontal="center"/>
    </xf>
    <xf numFmtId="0" fontId="266" fillId="0" borderId="0" xfId="0" applyFont="1" applyAlignment="1" applyProtection="1">
      <alignment readingOrder="1"/>
      <protection locked="0"/>
    </xf>
    <xf numFmtId="0" fontId="4" fillId="0" borderId="0" xfId="11" applyFont="1" applyAlignment="1">
      <alignment horizontal="left" indent="1"/>
    </xf>
    <xf numFmtId="5" fontId="252" fillId="0" borderId="66" xfId="1" applyNumberFormat="1" applyFont="1" applyFill="1" applyBorder="1"/>
    <xf numFmtId="5" fontId="252" fillId="0" borderId="62" xfId="1" applyNumberFormat="1" applyFont="1" applyFill="1" applyBorder="1"/>
    <xf numFmtId="0" fontId="252" fillId="0" borderId="62" xfId="0" applyFont="1" applyBorder="1"/>
    <xf numFmtId="0" fontId="2" fillId="54" borderId="1" xfId="0" applyFont="1" applyFill="1" applyBorder="1" applyAlignment="1">
      <alignment horizontal="center"/>
    </xf>
    <xf numFmtId="5" fontId="2" fillId="0" borderId="1" xfId="1" applyNumberFormat="1" applyFont="1" applyFill="1" applyBorder="1"/>
    <xf numFmtId="5" fontId="2" fillId="0" borderId="1" xfId="0" applyNumberFormat="1" applyFont="1" applyFill="1" applyBorder="1"/>
    <xf numFmtId="0" fontId="265" fillId="0" borderId="0" xfId="0" applyFont="1"/>
    <xf numFmtId="0" fontId="265" fillId="0" borderId="59" xfId="0" applyFont="1" applyBorder="1"/>
    <xf numFmtId="9" fontId="252" fillId="0" borderId="0" xfId="0" applyNumberFormat="1" applyFont="1"/>
    <xf numFmtId="0" fontId="2" fillId="0" borderId="0" xfId="0" applyFont="1" applyAlignment="1">
      <alignment horizontal="center"/>
    </xf>
    <xf numFmtId="164" fontId="252" fillId="0" borderId="62" xfId="1" applyNumberFormat="1" applyFont="1" applyFill="1" applyBorder="1"/>
    <xf numFmtId="164" fontId="2" fillId="0" borderId="1" xfId="0" applyNumberFormat="1" applyFont="1" applyFill="1" applyBorder="1"/>
    <xf numFmtId="0" fontId="252" fillId="0" borderId="0" xfId="0" applyFont="1" applyAlignment="1">
      <alignment horizontal="center"/>
    </xf>
    <xf numFmtId="0" fontId="10" fillId="0" borderId="0" xfId="0" applyFont="1" applyFill="1"/>
    <xf numFmtId="331" fontId="0" fillId="0" borderId="54" xfId="0" applyNumberFormat="1" applyFont="1" applyFill="1" applyBorder="1" applyAlignment="1">
      <alignment horizontal="right"/>
    </xf>
    <xf numFmtId="38" fontId="15" fillId="55" borderId="79" xfId="0" applyNumberFormat="1" applyFont="1" applyFill="1" applyBorder="1" applyAlignment="1" applyProtection="1">
      <alignment horizontal="center"/>
      <protection locked="0"/>
    </xf>
    <xf numFmtId="331" fontId="0" fillId="0" borderId="66" xfId="0" applyNumberFormat="1" applyFont="1" applyFill="1" applyBorder="1" applyAlignment="1">
      <alignment horizontal="left"/>
    </xf>
    <xf numFmtId="164" fontId="244" fillId="0" borderId="0" xfId="0" applyNumberFormat="1" applyFont="1" applyBorder="1"/>
    <xf numFmtId="164" fontId="267" fillId="0" borderId="0" xfId="0" applyNumberFormat="1" applyFont="1"/>
    <xf numFmtId="0" fontId="250" fillId="0" borderId="0" xfId="0" applyFont="1" applyAlignment="1">
      <alignment horizontal="center"/>
    </xf>
    <xf numFmtId="0" fontId="252" fillId="54" borderId="66" xfId="0" applyFont="1" applyFill="1" applyBorder="1" applyAlignment="1">
      <alignment horizontal="center"/>
    </xf>
    <xf numFmtId="0" fontId="0" fillId="0" borderId="114" xfId="0" applyBorder="1"/>
    <xf numFmtId="9" fontId="0" fillId="0" borderId="114" xfId="2" applyFont="1" applyBorder="1"/>
    <xf numFmtId="0" fontId="252" fillId="54" borderId="115" xfId="0" applyFont="1" applyFill="1" applyBorder="1" applyAlignment="1">
      <alignment horizontal="center"/>
    </xf>
    <xf numFmtId="5" fontId="245" fillId="0" borderId="66" xfId="0" applyNumberFormat="1" applyFont="1" applyFill="1" applyBorder="1"/>
    <xf numFmtId="5" fontId="252" fillId="0" borderId="115" xfId="1" applyNumberFormat="1" applyFont="1" applyFill="1" applyBorder="1"/>
    <xf numFmtId="5" fontId="245" fillId="0" borderId="115" xfId="0" applyNumberFormat="1" applyFont="1" applyFill="1" applyBorder="1"/>
    <xf numFmtId="9" fontId="0" fillId="0" borderId="113" xfId="2" applyFont="1" applyBorder="1"/>
    <xf numFmtId="9" fontId="0" fillId="0" borderId="114" xfId="0" applyNumberFormat="1" applyBorder="1"/>
    <xf numFmtId="5" fontId="2" fillId="0" borderId="66" xfId="0" applyNumberFormat="1" applyFont="1" applyFill="1" applyBorder="1"/>
    <xf numFmtId="5" fontId="2" fillId="0" borderId="115" xfId="0" applyNumberFormat="1" applyFont="1" applyFill="1" applyBorder="1"/>
    <xf numFmtId="0" fontId="252" fillId="54" borderId="62" xfId="0" applyFont="1" applyFill="1" applyBorder="1" applyAlignment="1">
      <alignment horizontal="center"/>
    </xf>
    <xf numFmtId="9" fontId="252" fillId="0" borderId="0" xfId="2" applyFont="1" applyBorder="1"/>
    <xf numFmtId="331" fontId="8" fillId="0" borderId="71" xfId="0" applyNumberFormat="1" applyFont="1" applyBorder="1" applyAlignment="1">
      <alignment horizontal="right"/>
    </xf>
    <xf numFmtId="0" fontId="0" fillId="0" borderId="63" xfId="0" applyFont="1" applyFill="1" applyBorder="1" applyAlignment="1">
      <alignment horizontal="center"/>
    </xf>
    <xf numFmtId="0" fontId="0" fillId="0" borderId="67"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xf>
    <xf numFmtId="0" fontId="0" fillId="0" borderId="63" xfId="0" applyFont="1" applyFill="1" applyBorder="1" applyAlignment="1" applyProtection="1">
      <alignment horizontal="center"/>
      <protection locked="0"/>
    </xf>
    <xf numFmtId="0" fontId="0" fillId="0" borderId="90"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4" xfId="0" applyFont="1" applyBorder="1" applyAlignment="1" applyProtection="1">
      <alignment horizontal="center"/>
      <protection locked="0"/>
    </xf>
    <xf numFmtId="0" fontId="0" fillId="0" borderId="84" xfId="0" applyFont="1" applyFill="1" applyBorder="1" applyAlignment="1" applyProtection="1">
      <alignment horizontal="center"/>
      <protection locked="0"/>
    </xf>
    <xf numFmtId="0" fontId="0" fillId="0" borderId="5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protection locked="0"/>
    </xf>
    <xf numFmtId="0" fontId="0" fillId="0" borderId="64" xfId="0" applyFont="1" applyFill="1" applyBorder="1" applyAlignment="1" applyProtection="1">
      <alignment horizontal="center"/>
      <protection locked="0"/>
    </xf>
    <xf numFmtId="0" fontId="0" fillId="0" borderId="67" xfId="0" applyFont="1" applyBorder="1" applyAlignment="1" applyProtection="1">
      <alignment horizontal="center" vertical="center" wrapText="1"/>
      <protection locked="0"/>
    </xf>
    <xf numFmtId="0" fontId="0" fillId="0" borderId="89" xfId="0" applyFont="1" applyBorder="1" applyAlignment="1" applyProtection="1">
      <alignment horizontal="center"/>
      <protection locked="0"/>
    </xf>
    <xf numFmtId="0" fontId="0" fillId="0" borderId="87" xfId="0" applyFont="1" applyFill="1" applyBorder="1" applyAlignment="1">
      <alignment horizontal="center" vertical="center"/>
    </xf>
    <xf numFmtId="0" fontId="0" fillId="0" borderId="111" xfId="0" applyFont="1" applyFill="1" applyBorder="1" applyAlignment="1" applyProtection="1">
      <alignment horizontal="center"/>
      <protection locked="0"/>
    </xf>
    <xf numFmtId="331" fontId="8" fillId="0" borderId="62" xfId="4339" applyNumberFormat="1" applyFont="1" applyFill="1" applyBorder="1" applyAlignment="1">
      <alignment horizontal="right"/>
    </xf>
    <xf numFmtId="0" fontId="15" fillId="60" borderId="118" xfId="0" applyFont="1" applyFill="1" applyBorder="1" applyAlignment="1" applyProtection="1">
      <alignment horizontal="center"/>
      <protection locked="0"/>
    </xf>
    <xf numFmtId="164" fontId="0" fillId="0" borderId="121" xfId="4" applyNumberFormat="1" applyFont="1" applyFill="1" applyBorder="1"/>
    <xf numFmtId="164" fontId="0" fillId="0" borderId="115" xfId="4" applyNumberFormat="1" applyFont="1" applyFill="1" applyBorder="1"/>
    <xf numFmtId="331" fontId="0" fillId="0" borderId="55" xfId="4339" applyNumberFormat="1" applyFont="1" applyFill="1" applyBorder="1"/>
    <xf numFmtId="164" fontId="0" fillId="0" borderId="75" xfId="0" applyNumberFormat="1" applyFont="1" applyFill="1" applyBorder="1"/>
    <xf numFmtId="0" fontId="15" fillId="60" borderId="117" xfId="0" applyFont="1" applyFill="1" applyBorder="1" applyAlignment="1" applyProtection="1">
      <alignment horizontal="center"/>
      <protection locked="0"/>
    </xf>
    <xf numFmtId="0" fontId="15" fillId="60" borderId="120" xfId="0" applyFont="1" applyFill="1" applyBorder="1" applyAlignment="1" applyProtection="1">
      <alignment horizontal="center"/>
      <protection locked="0"/>
    </xf>
    <xf numFmtId="164" fontId="0" fillId="0" borderId="121" xfId="4" applyNumberFormat="1" applyFont="1" applyFill="1" applyBorder="1" applyAlignment="1">
      <alignment horizontal="right"/>
    </xf>
    <xf numFmtId="164" fontId="0" fillId="0" borderId="115" xfId="4" applyNumberFormat="1" applyFont="1" applyFill="1" applyBorder="1" applyAlignment="1">
      <alignment horizontal="right"/>
    </xf>
    <xf numFmtId="331" fontId="0" fillId="0" borderId="119" xfId="0" applyNumberFormat="1" applyFont="1" applyFill="1" applyBorder="1" applyAlignment="1">
      <alignment horizontal="right"/>
    </xf>
    <xf numFmtId="331" fontId="0" fillId="0" borderId="121" xfId="0" applyNumberFormat="1" applyFont="1" applyFill="1" applyBorder="1" applyAlignment="1">
      <alignment horizontal="right"/>
    </xf>
    <xf numFmtId="331" fontId="0" fillId="0" borderId="62" xfId="0" applyNumberFormat="1" applyFont="1" applyFill="1" applyBorder="1" applyAlignment="1">
      <alignment horizontal="left" vertical="center"/>
    </xf>
    <xf numFmtId="37" fontId="8" fillId="0" borderId="93" xfId="4" applyNumberFormat="1" applyFont="1" applyFill="1" applyBorder="1"/>
    <xf numFmtId="37" fontId="8" fillId="0" borderId="102" xfId="4" applyNumberFormat="1" applyFont="1" applyFill="1" applyBorder="1"/>
    <xf numFmtId="331" fontId="8" fillId="0" borderId="67" xfId="4339" applyNumberFormat="1" applyFont="1" applyFill="1" applyBorder="1"/>
    <xf numFmtId="331" fontId="8" fillId="0" borderId="99" xfId="4339" applyNumberFormat="1" applyFont="1" applyFill="1" applyBorder="1"/>
    <xf numFmtId="331" fontId="8" fillId="0" borderId="93" xfId="4339" applyNumberFormat="1" applyFont="1" applyFill="1" applyBorder="1"/>
    <xf numFmtId="331" fontId="8" fillId="0" borderId="102" xfId="4339" applyNumberFormat="1" applyFont="1" applyFill="1" applyBorder="1"/>
    <xf numFmtId="331" fontId="8" fillId="0" borderId="94" xfId="4339" applyNumberFormat="1" applyFont="1" applyFill="1" applyBorder="1"/>
    <xf numFmtId="331" fontId="8" fillId="0" borderId="21" xfId="4339" applyNumberFormat="1" applyFont="1" applyFill="1" applyBorder="1"/>
    <xf numFmtId="3" fontId="0" fillId="0" borderId="21" xfId="0" applyNumberFormat="1" applyFont="1" applyFill="1" applyBorder="1" applyAlignment="1">
      <alignment horizontal="right"/>
    </xf>
    <xf numFmtId="3" fontId="0" fillId="0" borderId="92" xfId="0" applyNumberFormat="1" applyFont="1" applyFill="1" applyBorder="1" applyAlignment="1">
      <alignment horizontal="right"/>
    </xf>
    <xf numFmtId="3" fontId="0" fillId="0" borderId="66" xfId="0" applyNumberFormat="1" applyFont="1" applyFill="1" applyBorder="1" applyAlignment="1">
      <alignment horizontal="right"/>
    </xf>
    <xf numFmtId="0" fontId="0" fillId="57" borderId="124" xfId="0" applyFont="1" applyFill="1" applyBorder="1" applyAlignment="1">
      <alignment horizontal="center" vertical="center"/>
    </xf>
    <xf numFmtId="0" fontId="0" fillId="57" borderId="115" xfId="0" applyFont="1" applyFill="1" applyBorder="1" applyAlignment="1">
      <alignment horizontal="center" vertical="center"/>
    </xf>
    <xf numFmtId="9" fontId="0" fillId="0" borderId="115" xfId="3458" applyFont="1" applyFill="1" applyBorder="1" applyAlignment="1"/>
    <xf numFmtId="0" fontId="0" fillId="57" borderId="126" xfId="0" applyFont="1" applyFill="1" applyBorder="1" applyAlignment="1">
      <alignment horizontal="center" vertical="center"/>
    </xf>
    <xf numFmtId="331" fontId="0" fillId="0" borderId="115" xfId="4339" applyNumberFormat="1" applyFont="1" applyFill="1" applyBorder="1" applyAlignment="1"/>
    <xf numFmtId="164" fontId="0" fillId="12" borderId="115" xfId="4" applyNumberFormat="1" applyFont="1" applyFill="1" applyBorder="1" applyAlignment="1">
      <alignment horizontal="right"/>
    </xf>
    <xf numFmtId="37" fontId="0" fillId="12" borderId="98" xfId="0" applyNumberFormat="1" applyFont="1" applyFill="1" applyBorder="1"/>
    <xf numFmtId="37" fontId="0" fillId="12" borderId="116" xfId="0" applyNumberFormat="1" applyFont="1" applyFill="1" applyBorder="1"/>
    <xf numFmtId="37" fontId="0" fillId="12" borderId="115" xfId="0" applyNumberFormat="1" applyFont="1" applyFill="1" applyBorder="1" applyAlignment="1">
      <alignment horizontal="right"/>
    </xf>
    <xf numFmtId="330" fontId="0" fillId="0" borderId="62" xfId="0" applyNumberFormat="1" applyFont="1" applyFill="1" applyBorder="1" applyAlignment="1"/>
    <xf numFmtId="331" fontId="0" fillId="0" borderId="55" xfId="4339" applyNumberFormat="1" applyFont="1" applyFill="1" applyBorder="1" applyAlignment="1">
      <alignment vertical="center"/>
    </xf>
    <xf numFmtId="330" fontId="0" fillId="0" borderId="55" xfId="0" applyNumberFormat="1" applyFont="1" applyFill="1" applyBorder="1"/>
    <xf numFmtId="330" fontId="0" fillId="0" borderId="62" xfId="0" applyNumberFormat="1" applyFont="1" applyFill="1" applyBorder="1" applyAlignment="1">
      <alignment horizontal="right"/>
    </xf>
    <xf numFmtId="37" fontId="0" fillId="0" borderId="67" xfId="0" applyNumberFormat="1" applyFont="1" applyFill="1" applyBorder="1"/>
    <xf numFmtId="37" fontId="0" fillId="0" borderId="55" xfId="0" applyNumberFormat="1" applyFont="1" applyFill="1" applyBorder="1"/>
    <xf numFmtId="37" fontId="0" fillId="0" borderId="38" xfId="0" applyNumberFormat="1" applyFont="1" applyFill="1" applyBorder="1"/>
    <xf numFmtId="330" fontId="0" fillId="0" borderId="38" xfId="0" applyNumberFormat="1" applyFont="1" applyFill="1" applyBorder="1"/>
    <xf numFmtId="331" fontId="0" fillId="0" borderId="21" xfId="0" applyNumberFormat="1" applyFont="1" applyFill="1" applyBorder="1"/>
    <xf numFmtId="9" fontId="0" fillId="0" borderId="0" xfId="0" applyNumberFormat="1" applyFont="1" applyFill="1" applyBorder="1"/>
    <xf numFmtId="331" fontId="8" fillId="0" borderId="62" xfId="4339" applyNumberFormat="1" applyFont="1" applyFill="1" applyBorder="1" applyAlignment="1">
      <alignment horizontal="center" vertical="center"/>
    </xf>
    <xf numFmtId="37" fontId="0" fillId="0" borderId="64" xfId="0" applyNumberFormat="1" applyFont="1" applyFill="1" applyBorder="1"/>
    <xf numFmtId="332" fontId="0" fillId="0" borderId="62" xfId="4" applyNumberFormat="1" applyFont="1" applyFill="1" applyBorder="1"/>
    <xf numFmtId="332" fontId="0" fillId="0" borderId="62" xfId="0" applyNumberFormat="1" applyFont="1" applyFill="1" applyBorder="1"/>
    <xf numFmtId="37" fontId="0" fillId="0" borderId="62" xfId="0" applyNumberFormat="1" applyFont="1" applyFill="1" applyBorder="1"/>
    <xf numFmtId="3" fontId="0" fillId="0" borderId="55" xfId="0" applyNumberFormat="1" applyFont="1" applyFill="1" applyBorder="1" applyAlignment="1"/>
    <xf numFmtId="3" fontId="0" fillId="0" borderId="62" xfId="0" applyNumberFormat="1" applyFont="1" applyFill="1" applyBorder="1" applyAlignment="1"/>
    <xf numFmtId="37" fontId="0" fillId="12" borderId="121" xfId="0" applyNumberFormat="1" applyFont="1" applyFill="1" applyBorder="1"/>
    <xf numFmtId="37" fontId="0" fillId="0" borderId="115" xfId="0" applyNumberFormat="1" applyFont="1" applyBorder="1" applyAlignment="1">
      <alignment horizontal="right"/>
    </xf>
    <xf numFmtId="331" fontId="0" fillId="0" borderId="38" xfId="0" applyNumberFormat="1" applyFont="1" applyBorder="1"/>
    <xf numFmtId="331" fontId="0" fillId="12" borderId="75" xfId="0" applyNumberFormat="1" applyFont="1" applyFill="1" applyBorder="1"/>
    <xf numFmtId="331" fontId="0" fillId="0" borderId="56" xfId="0" applyNumberFormat="1" applyFont="1" applyBorder="1"/>
    <xf numFmtId="37" fontId="0" fillId="0" borderId="94" xfId="0" applyNumberFormat="1" applyFont="1" applyBorder="1" applyAlignment="1">
      <alignment horizontal="right"/>
    </xf>
    <xf numFmtId="330" fontId="0" fillId="0" borderId="66" xfId="0" applyNumberFormat="1" applyFont="1" applyFill="1" applyBorder="1" applyAlignment="1">
      <alignment horizontal="right"/>
    </xf>
    <xf numFmtId="330" fontId="0" fillId="0" borderId="56" xfId="0" applyNumberFormat="1" applyFont="1" applyFill="1" applyBorder="1"/>
    <xf numFmtId="330" fontId="0" fillId="0" borderId="94" xfId="0" applyNumberFormat="1" applyFont="1" applyFill="1" applyBorder="1" applyAlignment="1">
      <alignment horizontal="right"/>
    </xf>
    <xf numFmtId="331" fontId="0" fillId="0" borderId="123" xfId="4339" applyNumberFormat="1" applyFont="1" applyFill="1" applyBorder="1" applyAlignment="1">
      <alignment vertical="center"/>
    </xf>
    <xf numFmtId="331" fontId="0" fillId="0" borderId="116" xfId="4339" applyNumberFormat="1" applyFont="1" applyFill="1" applyBorder="1" applyAlignment="1">
      <alignment vertical="center"/>
    </xf>
    <xf numFmtId="331" fontId="0" fillId="0" borderId="54" xfId="0" applyNumberFormat="1" applyFont="1" applyBorder="1"/>
    <xf numFmtId="3" fontId="0" fillId="0" borderId="116" xfId="0" applyNumberFormat="1" applyFont="1" applyBorder="1" applyAlignment="1"/>
    <xf numFmtId="3" fontId="0" fillId="0" borderId="115" xfId="0" applyNumberFormat="1" applyFont="1" applyBorder="1" applyAlignment="1"/>
    <xf numFmtId="330" fontId="0" fillId="0" borderId="115" xfId="0" applyNumberFormat="1" applyFont="1" applyFill="1" applyBorder="1" applyAlignment="1"/>
    <xf numFmtId="332" fontId="8" fillId="0" borderId="115" xfId="0" applyNumberFormat="1" applyFont="1" applyFill="1" applyBorder="1" applyAlignment="1">
      <alignment horizontal="center" vertical="center"/>
    </xf>
    <xf numFmtId="332" fontId="0" fillId="0" borderId="115" xfId="4" applyNumberFormat="1" applyFont="1" applyFill="1" applyBorder="1"/>
    <xf numFmtId="331" fontId="8" fillId="0" borderId="115" xfId="4339" applyNumberFormat="1" applyFont="1" applyFill="1" applyBorder="1" applyAlignment="1">
      <alignment horizontal="center"/>
    </xf>
    <xf numFmtId="331" fontId="8" fillId="0" borderId="115" xfId="4339" applyNumberFormat="1" applyFont="1" applyFill="1" applyBorder="1" applyAlignment="1">
      <alignment horizontal="center" vertical="center"/>
    </xf>
    <xf numFmtId="331" fontId="0" fillId="0" borderId="115" xfId="4339" applyNumberFormat="1" applyFont="1" applyFill="1" applyBorder="1"/>
    <xf numFmtId="331" fontId="8" fillId="0" borderId="66" xfId="4339" applyNumberFormat="1" applyFont="1" applyFill="1" applyBorder="1" applyAlignment="1">
      <alignment horizontal="center"/>
    </xf>
    <xf numFmtId="331" fontId="8" fillId="0" borderId="65" xfId="4339" applyNumberFormat="1" applyFont="1" applyFill="1" applyBorder="1" applyAlignment="1">
      <alignment horizontal="right" vertical="center"/>
    </xf>
    <xf numFmtId="37" fontId="0" fillId="12" borderId="65" xfId="0" applyNumberFormat="1" applyFont="1" applyFill="1" applyBorder="1"/>
    <xf numFmtId="332" fontId="0" fillId="0" borderId="115" xfId="0" applyNumberFormat="1" applyFont="1" applyFill="1" applyBorder="1"/>
    <xf numFmtId="330" fontId="0" fillId="0" borderId="115" xfId="4" applyNumberFormat="1" applyFont="1" applyFill="1" applyBorder="1"/>
    <xf numFmtId="330" fontId="0" fillId="12" borderId="128" xfId="4" applyNumberFormat="1" applyFont="1" applyFill="1" applyBorder="1"/>
    <xf numFmtId="330" fontId="0" fillId="12" borderId="116" xfId="4" applyNumberFormat="1" applyFont="1" applyFill="1" applyBorder="1"/>
    <xf numFmtId="330" fontId="0" fillId="12" borderId="129" xfId="4" applyNumberFormat="1" applyFont="1" applyFill="1" applyBorder="1"/>
    <xf numFmtId="164" fontId="252" fillId="0" borderId="50" xfId="1" applyNumberFormat="1" applyFont="1" applyFill="1" applyBorder="1"/>
    <xf numFmtId="3" fontId="0" fillId="0" borderId="0" xfId="0" applyNumberFormat="1"/>
    <xf numFmtId="5" fontId="252" fillId="62" borderId="115" xfId="1" applyNumberFormat="1" applyFont="1" applyFill="1" applyBorder="1"/>
    <xf numFmtId="5" fontId="252" fillId="62" borderId="1" xfId="1" applyNumberFormat="1" applyFont="1" applyFill="1" applyBorder="1"/>
    <xf numFmtId="164" fontId="252" fillId="62" borderId="1" xfId="1" applyNumberFormat="1" applyFont="1" applyFill="1" applyBorder="1"/>
    <xf numFmtId="5" fontId="254" fillId="0" borderId="115" xfId="1" applyNumberFormat="1" applyFont="1" applyFill="1" applyBorder="1"/>
    <xf numFmtId="9" fontId="252" fillId="0" borderId="114" xfId="2" applyFont="1" applyBorder="1"/>
    <xf numFmtId="9" fontId="252" fillId="62" borderId="0" xfId="2" applyFont="1" applyFill="1" applyBorder="1"/>
    <xf numFmtId="0" fontId="0" fillId="62" borderId="114" xfId="0" applyFill="1" applyBorder="1"/>
    <xf numFmtId="0" fontId="0" fillId="0" borderId="0" xfId="0" quotePrefix="1" applyAlignment="1">
      <alignment horizontal="right"/>
    </xf>
    <xf numFmtId="331" fontId="0" fillId="0" borderId="98" xfId="0" applyNumberFormat="1" applyFont="1" applyFill="1" applyBorder="1" applyAlignment="1">
      <alignment horizontal="right" vertical="center"/>
    </xf>
    <xf numFmtId="331" fontId="0" fillId="0" borderId="67" xfId="0" applyNumberFormat="1" applyFont="1" applyFill="1" applyBorder="1" applyAlignment="1">
      <alignment horizontal="right" vertical="center"/>
    </xf>
    <xf numFmtId="331" fontId="0" fillId="0" borderId="99" xfId="0" applyNumberFormat="1" applyFont="1" applyFill="1" applyBorder="1" applyAlignment="1">
      <alignment horizontal="right" vertical="center"/>
    </xf>
    <xf numFmtId="164" fontId="0" fillId="0" borderId="98" xfId="4" applyNumberFormat="1" applyFont="1" applyFill="1" applyBorder="1" applyAlignment="1">
      <alignment horizontal="right" vertical="center"/>
    </xf>
    <xf numFmtId="164" fontId="8" fillId="0" borderId="67" xfId="4" applyNumberFormat="1" applyFont="1" applyFill="1" applyBorder="1" applyAlignment="1">
      <alignment horizontal="right" vertical="center"/>
    </xf>
    <xf numFmtId="164" fontId="8" fillId="0" borderId="99" xfId="4" applyNumberFormat="1" applyFont="1" applyFill="1" applyBorder="1" applyAlignment="1">
      <alignment horizontal="right" vertical="center"/>
    </xf>
    <xf numFmtId="0" fontId="0" fillId="0" borderId="94" xfId="0" applyFont="1" applyFill="1" applyBorder="1" applyAlignment="1">
      <alignment horizontal="center" vertical="center" wrapText="1"/>
    </xf>
    <xf numFmtId="0" fontId="0" fillId="0" borderId="77" xfId="0" applyFont="1" applyBorder="1" applyAlignment="1"/>
    <xf numFmtId="0" fontId="0" fillId="0" borderId="78" xfId="0" applyFont="1" applyBorder="1" applyAlignment="1"/>
    <xf numFmtId="5" fontId="245" fillId="0" borderId="66" xfId="1" applyNumberFormat="1" applyFont="1" applyFill="1" applyBorder="1"/>
    <xf numFmtId="5" fontId="245" fillId="0" borderId="115" xfId="1" applyNumberFormat="1" applyFont="1" applyFill="1" applyBorder="1"/>
    <xf numFmtId="190" fontId="252" fillId="0" borderId="114" xfId="2" applyNumberFormat="1" applyFont="1" applyBorder="1"/>
    <xf numFmtId="0" fontId="245" fillId="54" borderId="62" xfId="0" applyFont="1" applyFill="1" applyBorder="1" applyAlignment="1">
      <alignment horizontal="center"/>
    </xf>
    <xf numFmtId="0" fontId="245" fillId="54" borderId="115" xfId="0" applyFont="1" applyFill="1" applyBorder="1" applyAlignment="1">
      <alignment horizontal="center"/>
    </xf>
    <xf numFmtId="0" fontId="0" fillId="0" borderId="115" xfId="0" applyBorder="1" applyAlignment="1">
      <alignment horizontal="left"/>
    </xf>
    <xf numFmtId="0" fontId="245" fillId="0" borderId="115" xfId="0" applyFont="1" applyFill="1" applyBorder="1" applyAlignment="1">
      <alignment horizontal="left"/>
    </xf>
    <xf numFmtId="9" fontId="0" fillId="0" borderId="0" xfId="2" applyFont="1" applyBorder="1" applyAlignment="1">
      <alignment horizontal="center"/>
    </xf>
    <xf numFmtId="0" fontId="0" fillId="0" borderId="63" xfId="0" applyBorder="1"/>
    <xf numFmtId="0" fontId="0" fillId="0" borderId="87" xfId="0" applyBorder="1"/>
    <xf numFmtId="190" fontId="0" fillId="0" borderId="4" xfId="2" applyNumberFormat="1" applyFont="1" applyBorder="1" applyAlignment="1">
      <alignment horizontal="center"/>
    </xf>
    <xf numFmtId="190" fontId="0" fillId="0" borderId="114" xfId="2" applyNumberFormat="1" applyFont="1" applyBorder="1"/>
    <xf numFmtId="5" fontId="252" fillId="62" borderId="0" xfId="2" applyNumberFormat="1" applyFont="1" applyFill="1" applyBorder="1"/>
    <xf numFmtId="0" fontId="254" fillId="0" borderId="0" xfId="0" applyFont="1" applyFill="1" applyBorder="1" applyAlignment="1">
      <alignment horizontal="center"/>
    </xf>
    <xf numFmtId="0" fontId="252" fillId="0" borderId="0" xfId="0" quotePrefix="1" applyFont="1"/>
    <xf numFmtId="5" fontId="252" fillId="62" borderId="66" xfId="1" applyNumberFormat="1" applyFont="1" applyFill="1" applyBorder="1"/>
    <xf numFmtId="164" fontId="252" fillId="62" borderId="65" xfId="1" applyNumberFormat="1" applyFont="1" applyFill="1" applyBorder="1"/>
    <xf numFmtId="5" fontId="252" fillId="62" borderId="126" xfId="1" applyNumberFormat="1" applyFont="1" applyFill="1" applyBorder="1"/>
    <xf numFmtId="5" fontId="252" fillId="62" borderId="130" xfId="1" applyNumberFormat="1" applyFont="1" applyFill="1" applyBorder="1" applyAlignment="1">
      <alignment horizontal="left" indent="1"/>
    </xf>
    <xf numFmtId="164" fontId="252" fillId="62" borderId="65" xfId="1" applyNumberFormat="1" applyFont="1" applyFill="1" applyBorder="1" applyAlignment="1">
      <alignment horizontal="left" indent="1"/>
    </xf>
    <xf numFmtId="5" fontId="252" fillId="62" borderId="126" xfId="1" applyNumberFormat="1" applyFont="1" applyFill="1" applyBorder="1" applyAlignment="1">
      <alignment horizontal="left" indent="1"/>
    </xf>
    <xf numFmtId="5" fontId="252" fillId="62" borderId="115" xfId="1" applyNumberFormat="1" applyFont="1" applyFill="1" applyBorder="1" applyAlignment="1">
      <alignment horizontal="left" indent="1"/>
    </xf>
    <xf numFmtId="5" fontId="252" fillId="62" borderId="0" xfId="2" applyNumberFormat="1" applyFont="1" applyFill="1" applyBorder="1" applyAlignment="1">
      <alignment horizontal="left" indent="1"/>
    </xf>
    <xf numFmtId="331" fontId="0" fillId="0" borderId="122" xfId="4339" applyNumberFormat="1" applyFont="1" applyFill="1" applyBorder="1" applyAlignment="1"/>
    <xf numFmtId="331" fontId="0" fillId="0" borderId="128" xfId="4339" applyNumberFormat="1" applyFont="1" applyFill="1" applyBorder="1" applyAlignment="1"/>
    <xf numFmtId="331" fontId="0" fillId="0" borderId="116" xfId="4339" applyNumberFormat="1" applyFont="1" applyFill="1" applyBorder="1" applyAlignment="1"/>
    <xf numFmtId="331" fontId="0" fillId="0" borderId="131" xfId="4339" applyNumberFormat="1" applyFont="1" applyFill="1" applyBorder="1" applyAlignment="1"/>
    <xf numFmtId="331" fontId="0" fillId="0" borderId="121" xfId="4339" applyNumberFormat="1" applyFont="1" applyFill="1" applyBorder="1" applyAlignment="1"/>
    <xf numFmtId="164" fontId="0" fillId="12" borderId="66" xfId="4" applyNumberFormat="1" applyFont="1" applyFill="1" applyBorder="1" applyAlignment="1">
      <alignment horizontal="right"/>
    </xf>
    <xf numFmtId="331" fontId="0" fillId="0" borderId="127" xfId="4339" applyNumberFormat="1" applyFont="1" applyFill="1" applyBorder="1" applyAlignment="1"/>
    <xf numFmtId="331" fontId="0" fillId="0" borderId="21" xfId="4339" applyNumberFormat="1" applyFont="1" applyFill="1" applyBorder="1" applyAlignment="1"/>
    <xf numFmtId="0" fontId="0" fillId="0" borderId="62" xfId="0" applyFont="1" applyBorder="1" applyAlignment="1">
      <alignment wrapText="1"/>
    </xf>
    <xf numFmtId="9" fontId="0" fillId="0" borderId="0" xfId="2" applyFont="1" applyFill="1"/>
    <xf numFmtId="5" fontId="2" fillId="0" borderId="66" xfId="1" applyNumberFormat="1" applyFont="1" applyFill="1" applyBorder="1"/>
    <xf numFmtId="0" fontId="269" fillId="0" borderId="0" xfId="0" applyFont="1"/>
    <xf numFmtId="164" fontId="252" fillId="53" borderId="1" xfId="1" applyNumberFormat="1" applyFont="1" applyFill="1" applyBorder="1"/>
    <xf numFmtId="190" fontId="254" fillId="0" borderId="0" xfId="2" applyNumberFormat="1" applyFont="1" applyFill="1" applyBorder="1" applyAlignment="1">
      <alignment horizontal="center"/>
    </xf>
    <xf numFmtId="5" fontId="252" fillId="62" borderId="62" xfId="1" applyNumberFormat="1" applyFont="1" applyFill="1" applyBorder="1"/>
    <xf numFmtId="9" fontId="0" fillId="0" borderId="64" xfId="3458" applyFont="1" applyFill="1" applyBorder="1" applyAlignment="1"/>
    <xf numFmtId="164" fontId="0" fillId="12" borderId="64" xfId="4" applyNumberFormat="1" applyFont="1" applyFill="1" applyBorder="1" applyAlignment="1">
      <alignment horizontal="right"/>
    </xf>
    <xf numFmtId="0" fontId="0" fillId="57" borderId="133" xfId="0" applyFont="1" applyFill="1" applyBorder="1" applyAlignment="1">
      <alignment horizontal="center" vertical="center"/>
    </xf>
    <xf numFmtId="331" fontId="0" fillId="0" borderId="63"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55" xfId="4339" applyNumberFormat="1" applyFont="1" applyFill="1" applyBorder="1" applyAlignment="1"/>
    <xf numFmtId="331" fontId="0" fillId="0" borderId="64" xfId="4339" applyNumberFormat="1" applyFont="1" applyFill="1" applyBorder="1" applyAlignment="1"/>
    <xf numFmtId="0" fontId="0" fillId="54" borderId="51" xfId="0" applyFont="1" applyFill="1" applyBorder="1" applyAlignment="1">
      <alignment horizontal="center"/>
    </xf>
    <xf numFmtId="0" fontId="0" fillId="54" borderId="1" xfId="0" applyFont="1" applyFill="1" applyBorder="1" applyAlignment="1">
      <alignment horizontal="center"/>
    </xf>
    <xf numFmtId="0" fontId="0" fillId="54" borderId="50" xfId="0" applyFont="1" applyFill="1" applyBorder="1" applyAlignment="1">
      <alignment horizontal="center"/>
    </xf>
    <xf numFmtId="0" fontId="252" fillId="0" borderId="50" xfId="0" applyFont="1" applyFill="1" applyBorder="1" applyAlignment="1">
      <alignment horizontal="left"/>
    </xf>
    <xf numFmtId="9" fontId="0" fillId="53" borderId="0" xfId="2" applyFont="1" applyFill="1"/>
    <xf numFmtId="0" fontId="0" fillId="54" borderId="66" xfId="0" applyFont="1" applyFill="1" applyBorder="1" applyAlignment="1">
      <alignment horizontal="center"/>
    </xf>
    <xf numFmtId="0" fontId="0" fillId="54" borderId="115" xfId="0" applyFont="1" applyFill="1" applyBorder="1" applyAlignment="1">
      <alignment horizontal="center"/>
    </xf>
    <xf numFmtId="0" fontId="256" fillId="0" borderId="64" xfId="4338" applyFont="1" applyBorder="1" applyAlignment="1">
      <alignment horizontal="left"/>
    </xf>
    <xf numFmtId="0" fontId="8" fillId="0" borderId="64" xfId="4338" applyFont="1" applyBorder="1" applyAlignment="1">
      <alignment horizontal="left"/>
    </xf>
    <xf numFmtId="164" fontId="252" fillId="0" borderId="51" xfId="1" applyNumberFormat="1" applyFont="1" applyFill="1" applyBorder="1"/>
    <xf numFmtId="9" fontId="252" fillId="62" borderId="114" xfId="2" applyFont="1" applyFill="1" applyBorder="1"/>
    <xf numFmtId="331" fontId="244" fillId="0" borderId="62" xfId="4339" applyNumberFormat="1" applyFont="1" applyFill="1" applyBorder="1"/>
    <xf numFmtId="331" fontId="244" fillId="0" borderId="92" xfId="4339" applyNumberFormat="1" applyFont="1" applyFill="1" applyBorder="1"/>
    <xf numFmtId="331" fontId="244" fillId="0" borderId="95" xfId="4339" applyNumberFormat="1" applyFont="1" applyFill="1" applyBorder="1"/>
    <xf numFmtId="331" fontId="244" fillId="0" borderId="62" xfId="0" applyNumberFormat="1" applyFont="1" applyFill="1" applyBorder="1" applyAlignment="1">
      <alignment horizontal="right"/>
    </xf>
    <xf numFmtId="10" fontId="252" fillId="0" borderId="0" xfId="2" applyNumberFormat="1" applyFont="1"/>
    <xf numFmtId="5" fontId="244" fillId="0" borderId="0" xfId="0" applyNumberFormat="1" applyFont="1"/>
    <xf numFmtId="331" fontId="8" fillId="0" borderId="88" xfId="4339" applyNumberFormat="1" applyFont="1" applyFill="1" applyBorder="1"/>
    <xf numFmtId="331" fontId="8" fillId="0" borderId="95" xfId="4339" applyNumberFormat="1" applyFont="1" applyFill="1" applyBorder="1"/>
    <xf numFmtId="164" fontId="8" fillId="0" borderId="66" xfId="4" applyNumberFormat="1" applyFont="1" applyFill="1" applyBorder="1" applyAlignment="1">
      <alignment horizontal="right" vertical="center"/>
    </xf>
    <xf numFmtId="37" fontId="272" fillId="0" borderId="62" xfId="4" applyNumberFormat="1" applyFont="1" applyFill="1" applyBorder="1"/>
    <xf numFmtId="37" fontId="272" fillId="0" borderId="94" xfId="4" applyNumberFormat="1" applyFont="1" applyFill="1" applyBorder="1"/>
    <xf numFmtId="331" fontId="272" fillId="0" borderId="67" xfId="4339" applyNumberFormat="1" applyFont="1" applyFill="1" applyBorder="1"/>
    <xf numFmtId="190" fontId="0" fillId="0" borderId="0" xfId="0" applyNumberFormat="1" applyFont="1" applyFill="1" applyBorder="1" applyAlignment="1">
      <alignment horizontal="center"/>
    </xf>
    <xf numFmtId="190" fontId="245" fillId="0" borderId="134" xfId="2" applyNumberFormat="1" applyFont="1" applyFill="1" applyBorder="1"/>
    <xf numFmtId="5" fontId="252" fillId="0" borderId="67" xfId="1" applyNumberFormat="1" applyFont="1" applyFill="1" applyBorder="1"/>
    <xf numFmtId="5" fontId="252" fillId="0" borderId="54" xfId="1" applyNumberFormat="1" applyFont="1" applyFill="1" applyBorder="1"/>
    <xf numFmtId="5" fontId="252" fillId="53" borderId="64" xfId="1" applyNumberFormat="1" applyFont="1" applyFill="1" applyBorder="1"/>
    <xf numFmtId="5" fontId="252" fillId="53" borderId="66" xfId="1" applyNumberFormat="1" applyFont="1" applyFill="1" applyBorder="1"/>
    <xf numFmtId="0" fontId="15" fillId="59" borderId="130" xfId="0" applyFont="1" applyFill="1" applyBorder="1" applyAlignment="1" applyProtection="1">
      <alignment horizontal="center"/>
      <protection locked="0"/>
    </xf>
    <xf numFmtId="0" fontId="15" fillId="59" borderId="64" xfId="0" applyFont="1" applyFill="1" applyBorder="1" applyAlignment="1" applyProtection="1">
      <alignment horizontal="center"/>
      <protection locked="0"/>
    </xf>
    <xf numFmtId="0" fontId="12" fillId="55" borderId="64" xfId="0" applyFont="1" applyFill="1" applyBorder="1" applyAlignment="1">
      <alignment horizontal="center"/>
    </xf>
    <xf numFmtId="0" fontId="12" fillId="55" borderId="130" xfId="0" applyFont="1" applyFill="1" applyBorder="1" applyAlignment="1">
      <alignment horizontal="center"/>
    </xf>
    <xf numFmtId="0" fontId="15" fillId="58" borderId="81" xfId="0" applyFont="1" applyFill="1" applyBorder="1" applyAlignment="1">
      <alignment horizontal="center" wrapText="1"/>
    </xf>
    <xf numFmtId="0" fontId="15" fillId="55" borderId="73" xfId="0" applyFont="1" applyFill="1" applyBorder="1" applyAlignment="1">
      <alignment horizontal="center"/>
    </xf>
    <xf numFmtId="0" fontId="15" fillId="55" borderId="74" xfId="0" applyFont="1" applyFill="1" applyBorder="1" applyAlignment="1">
      <alignment horizontal="center"/>
    </xf>
    <xf numFmtId="0" fontId="15" fillId="55" borderId="75" xfId="0" applyFont="1" applyFill="1" applyBorder="1" applyAlignment="1">
      <alignment horizontal="center"/>
    </xf>
    <xf numFmtId="0" fontId="15" fillId="58" borderId="105" xfId="0" applyFont="1" applyFill="1" applyBorder="1" applyAlignment="1">
      <alignment horizontal="center"/>
    </xf>
    <xf numFmtId="164" fontId="262" fillId="0" borderId="0" xfId="4340" applyNumberFormat="1" applyFont="1"/>
    <xf numFmtId="164" fontId="262" fillId="0" borderId="0" xfId="1" applyNumberFormat="1" applyFont="1" applyFill="1"/>
    <xf numFmtId="5" fontId="262" fillId="0" borderId="0" xfId="0" applyNumberFormat="1" applyFont="1"/>
    <xf numFmtId="44" fontId="262" fillId="0" borderId="0" xfId="1" applyNumberFormat="1" applyFont="1" applyFill="1"/>
    <xf numFmtId="0" fontId="262" fillId="0" borderId="0" xfId="0" applyFont="1"/>
    <xf numFmtId="330" fontId="262" fillId="0" borderId="0" xfId="1" applyNumberFormat="1" applyFont="1" applyFill="1"/>
    <xf numFmtId="330" fontId="0" fillId="0" borderId="87" xfId="0" applyNumberFormat="1" applyBorder="1"/>
    <xf numFmtId="330" fontId="262" fillId="0" borderId="0" xfId="1" applyNumberFormat="1" applyFont="1"/>
    <xf numFmtId="164" fontId="262" fillId="0" borderId="0" xfId="1" applyNumberFormat="1" applyFont="1"/>
    <xf numFmtId="190" fontId="262" fillId="0" borderId="0" xfId="2" applyNumberFormat="1" applyFont="1"/>
    <xf numFmtId="0" fontId="12" fillId="55" borderId="65" xfId="0" applyFont="1" applyFill="1" applyBorder="1" applyAlignment="1"/>
    <xf numFmtId="0" fontId="15" fillId="59" borderId="65" xfId="0" applyFont="1" applyFill="1" applyBorder="1" applyAlignment="1" applyProtection="1">
      <protection locked="0"/>
    </xf>
    <xf numFmtId="0" fontId="15" fillId="59" borderId="126" xfId="0" applyFont="1" applyFill="1" applyBorder="1" applyAlignment="1" applyProtection="1">
      <protection locked="0"/>
    </xf>
    <xf numFmtId="0" fontId="12" fillId="58" borderId="67" xfId="0" applyFont="1" applyFill="1" applyBorder="1" applyAlignment="1" applyProtection="1">
      <alignment readingOrder="1"/>
      <protection locked="0"/>
    </xf>
    <xf numFmtId="330" fontId="8" fillId="0" borderId="135" xfId="4" applyNumberFormat="1" applyFont="1" applyFill="1" applyBorder="1" applyAlignment="1">
      <alignment horizontal="center"/>
    </xf>
    <xf numFmtId="332" fontId="8" fillId="0" borderId="93" xfId="0" applyNumberFormat="1" applyFont="1" applyFill="1" applyBorder="1" applyAlignment="1">
      <alignment horizontal="center"/>
    </xf>
    <xf numFmtId="330" fontId="8" fillId="0" borderId="93" xfId="4" applyNumberFormat="1" applyFont="1" applyFill="1" applyBorder="1" applyAlignment="1">
      <alignment horizontal="center"/>
    </xf>
    <xf numFmtId="332" fontId="8" fillId="0" borderId="119" xfId="0" applyNumberFormat="1" applyFont="1" applyFill="1" applyBorder="1" applyAlignment="1">
      <alignment horizontal="center"/>
    </xf>
    <xf numFmtId="330" fontId="8" fillId="0" borderId="127" xfId="4" applyNumberFormat="1" applyFont="1" applyFill="1" applyBorder="1" applyAlignment="1">
      <alignment horizontal="center" vertical="center"/>
    </xf>
    <xf numFmtId="330" fontId="0" fillId="0" borderId="127" xfId="4" applyNumberFormat="1" applyFont="1" applyFill="1" applyBorder="1"/>
    <xf numFmtId="330" fontId="8" fillId="0" borderId="136" xfId="4" applyNumberFormat="1" applyFont="1" applyFill="1" applyBorder="1" applyAlignment="1">
      <alignment horizontal="center" vertical="center"/>
    </xf>
    <xf numFmtId="332" fontId="8" fillId="0" borderId="74" xfId="0" applyNumberFormat="1" applyFont="1" applyFill="1" applyBorder="1" applyAlignment="1">
      <alignment horizontal="center" vertical="center"/>
    </xf>
    <xf numFmtId="330" fontId="8" fillId="0" borderId="74" xfId="4" applyNumberFormat="1" applyFont="1" applyFill="1" applyBorder="1" applyAlignment="1">
      <alignment horizontal="center" vertical="center"/>
    </xf>
    <xf numFmtId="332" fontId="8" fillId="0" borderId="123" xfId="0" applyNumberFormat="1" applyFont="1" applyFill="1" applyBorder="1" applyAlignment="1">
      <alignment horizontal="center" vertical="center"/>
    </xf>
    <xf numFmtId="330" fontId="8" fillId="0" borderId="128" xfId="4" applyNumberFormat="1" applyFont="1" applyFill="1" applyBorder="1" applyAlignment="1">
      <alignment horizontal="center" vertical="center"/>
    </xf>
    <xf numFmtId="332" fontId="8" fillId="0" borderId="55" xfId="0" applyNumberFormat="1" applyFont="1" applyFill="1" applyBorder="1" applyAlignment="1">
      <alignment horizontal="center" vertical="center"/>
    </xf>
    <xf numFmtId="330" fontId="8" fillId="0" borderId="55" xfId="4" applyNumberFormat="1" applyFont="1" applyFill="1" applyBorder="1" applyAlignment="1">
      <alignment horizontal="center" vertical="center"/>
    </xf>
    <xf numFmtId="332" fontId="8" fillId="0" borderId="116" xfId="0" applyNumberFormat="1" applyFont="1" applyFill="1" applyBorder="1" applyAlignment="1">
      <alignment horizontal="center" vertical="center"/>
    </xf>
    <xf numFmtId="330" fontId="8" fillId="0" borderId="131" xfId="4" applyNumberFormat="1" applyFont="1" applyFill="1" applyBorder="1" applyAlignment="1">
      <alignment horizontal="center" vertical="center"/>
    </xf>
    <xf numFmtId="332" fontId="8" fillId="0" borderId="21" xfId="0" applyNumberFormat="1" applyFont="1" applyFill="1" applyBorder="1" applyAlignment="1">
      <alignment horizontal="center" vertical="center"/>
    </xf>
    <xf numFmtId="330" fontId="8" fillId="0" borderId="21" xfId="4" applyNumberFormat="1" applyFont="1" applyFill="1" applyBorder="1" applyAlignment="1">
      <alignment horizontal="center" vertical="center"/>
    </xf>
    <xf numFmtId="332" fontId="8" fillId="0" borderId="121" xfId="0" applyNumberFormat="1" applyFont="1" applyFill="1" applyBorder="1" applyAlignment="1">
      <alignment horizontal="center" vertical="center"/>
    </xf>
    <xf numFmtId="0" fontId="0" fillId="57" borderId="137" xfId="0" applyFont="1" applyFill="1" applyBorder="1" applyAlignment="1">
      <alignment horizontal="center" vertical="center"/>
    </xf>
    <xf numFmtId="0" fontId="0" fillId="57" borderId="138" xfId="0" applyFont="1" applyFill="1" applyBorder="1" applyAlignment="1">
      <alignment horizontal="center" vertical="center"/>
    </xf>
    <xf numFmtId="0" fontId="0" fillId="57" borderId="21" xfId="0" applyFont="1" applyFill="1" applyBorder="1" applyAlignment="1">
      <alignment horizontal="center" vertical="center"/>
    </xf>
    <xf numFmtId="0" fontId="0" fillId="57" borderId="121" xfId="0" applyFont="1" applyFill="1" applyBorder="1" applyAlignment="1">
      <alignment horizontal="center" vertical="center"/>
    </xf>
    <xf numFmtId="0" fontId="0" fillId="55" borderId="67" xfId="0" applyFont="1" applyFill="1" applyBorder="1" applyAlignment="1" applyProtection="1">
      <alignment horizontal="center" wrapText="1" readingOrder="1"/>
      <protection locked="0"/>
    </xf>
    <xf numFmtId="0" fontId="15" fillId="55" borderId="21" xfId="0" applyFont="1" applyFill="1" applyBorder="1" applyAlignment="1" applyProtection="1">
      <alignment horizontal="left" wrapText="1" readingOrder="1"/>
      <protection locked="0"/>
    </xf>
    <xf numFmtId="331" fontId="8" fillId="65" borderId="71" xfId="0" applyNumberFormat="1" applyFont="1" applyFill="1" applyBorder="1" applyAlignment="1">
      <alignment horizontal="right"/>
    </xf>
    <xf numFmtId="331" fontId="8" fillId="65" borderId="71" xfId="4339" applyNumberFormat="1" applyFont="1" applyFill="1" applyBorder="1"/>
    <xf numFmtId="331" fontId="8" fillId="65" borderId="78" xfId="4339" applyNumberFormat="1" applyFont="1" applyFill="1" applyBorder="1"/>
    <xf numFmtId="164" fontId="0" fillId="65" borderId="110" xfId="4" applyNumberFormat="1" applyFont="1" applyFill="1" applyBorder="1"/>
    <xf numFmtId="164" fontId="0" fillId="65" borderId="120" xfId="4" applyNumberFormat="1" applyFont="1" applyFill="1" applyBorder="1"/>
    <xf numFmtId="0" fontId="0" fillId="12" borderId="21" xfId="0" applyFont="1" applyFill="1" applyBorder="1" applyAlignment="1" applyProtection="1">
      <alignment readingOrder="1"/>
      <protection locked="0"/>
    </xf>
    <xf numFmtId="330" fontId="0" fillId="12" borderId="38" xfId="4" applyNumberFormat="1" applyFont="1" applyFill="1" applyBorder="1"/>
    <xf numFmtId="190" fontId="252" fillId="0" borderId="0" xfId="2" applyNumberFormat="1" applyFont="1" applyFill="1" applyBorder="1" applyAlignment="1">
      <alignment horizontal="center"/>
    </xf>
    <xf numFmtId="5" fontId="252" fillId="0" borderId="0" xfId="0" applyNumberFormat="1" applyFont="1" applyAlignment="1">
      <alignment horizontal="center"/>
    </xf>
    <xf numFmtId="190" fontId="8" fillId="0" borderId="0" xfId="2" applyNumberFormat="1" applyFont="1"/>
    <xf numFmtId="331" fontId="8" fillId="0" borderId="55" xfId="4339" applyNumberFormat="1" applyFont="1" applyFill="1" applyBorder="1"/>
    <xf numFmtId="331" fontId="8" fillId="0" borderId="72" xfId="4339" applyNumberFormat="1" applyFont="1" applyFill="1" applyBorder="1"/>
    <xf numFmtId="0" fontId="255" fillId="55" borderId="64" xfId="0" applyFont="1" applyFill="1" applyBorder="1" applyAlignment="1" applyProtection="1">
      <alignment readingOrder="1"/>
      <protection locked="0"/>
    </xf>
    <xf numFmtId="0" fontId="255" fillId="55" borderId="66" xfId="0" applyFont="1" applyFill="1" applyBorder="1" applyAlignment="1" applyProtection="1">
      <alignment readingOrder="1"/>
      <protection locked="0"/>
    </xf>
    <xf numFmtId="0" fontId="255" fillId="0" borderId="54" xfId="0" applyFont="1" applyBorder="1"/>
    <xf numFmtId="0" fontId="255" fillId="55" borderId="4" xfId="0" applyFont="1" applyFill="1" applyBorder="1" applyAlignment="1">
      <alignment horizontal="center" vertical="center"/>
    </xf>
    <xf numFmtId="0" fontId="255" fillId="12" borderId="53" xfId="0" applyFont="1" applyFill="1" applyBorder="1" applyAlignment="1" applyProtection="1">
      <alignment horizontal="left" readingOrder="1"/>
      <protection locked="0"/>
    </xf>
    <xf numFmtId="0" fontId="255" fillId="12" borderId="2" xfId="0" applyFont="1" applyFill="1" applyBorder="1" applyAlignment="1" applyProtection="1">
      <alignment horizontal="left" readingOrder="1"/>
      <protection locked="0"/>
    </xf>
    <xf numFmtId="42" fontId="255" fillId="12" borderId="58" xfId="0" applyNumberFormat="1" applyFont="1" applyFill="1" applyBorder="1"/>
    <xf numFmtId="0" fontId="255" fillId="12" borderId="30" xfId="0" applyFont="1" applyFill="1" applyBorder="1" applyAlignment="1" applyProtection="1">
      <alignment horizontal="left" readingOrder="1"/>
      <protection locked="0"/>
    </xf>
    <xf numFmtId="0" fontId="255" fillId="12" borderId="0" xfId="0" applyFont="1" applyFill="1" applyBorder="1" applyAlignment="1" applyProtection="1">
      <alignment horizontal="left" readingOrder="1"/>
      <protection locked="0"/>
    </xf>
    <xf numFmtId="0" fontId="255" fillId="12" borderId="3" xfId="0" applyFont="1" applyFill="1" applyBorder="1" applyAlignment="1" applyProtection="1">
      <alignment horizontal="left" readingOrder="1"/>
      <protection locked="0"/>
    </xf>
    <xf numFmtId="0" fontId="255" fillId="12" borderId="4" xfId="0" applyFont="1" applyFill="1" applyBorder="1" applyAlignment="1" applyProtection="1">
      <alignment horizontal="left" readingOrder="1"/>
      <protection locked="0"/>
    </xf>
    <xf numFmtId="0" fontId="255" fillId="12" borderId="64" xfId="0" applyFont="1" applyFill="1" applyBorder="1" applyAlignment="1" applyProtection="1">
      <alignment readingOrder="1"/>
      <protection locked="0"/>
    </xf>
    <xf numFmtId="0" fontId="255" fillId="12" borderId="65" xfId="0" applyFont="1" applyFill="1" applyBorder="1" applyAlignment="1" applyProtection="1">
      <alignment readingOrder="1"/>
      <protection locked="0"/>
    </xf>
    <xf numFmtId="164" fontId="255" fillId="12" borderId="57" xfId="4" applyNumberFormat="1" applyFont="1" applyFill="1" applyBorder="1" applyAlignment="1">
      <alignment horizontal="right"/>
    </xf>
    <xf numFmtId="3" fontId="0" fillId="0" borderId="0" xfId="0" applyNumberFormat="1" applyFont="1"/>
    <xf numFmtId="44" fontId="0" fillId="0" borderId="0" xfId="1" applyFont="1"/>
    <xf numFmtId="44" fontId="0" fillId="0" borderId="0" xfId="1" applyNumberFormat="1" applyFont="1"/>
    <xf numFmtId="0" fontId="0" fillId="0" borderId="89" xfId="0" applyFont="1" applyFill="1" applyBorder="1" applyAlignment="1" applyProtection="1">
      <alignment horizontal="center"/>
      <protection locked="0"/>
    </xf>
    <xf numFmtId="331" fontId="258" fillId="0" borderId="67" xfId="4339" applyNumberFormat="1" applyFont="1" applyFill="1" applyBorder="1"/>
    <xf numFmtId="331" fontId="258" fillId="0" borderId="109" xfId="4339" applyNumberFormat="1" applyFont="1" applyFill="1" applyBorder="1"/>
    <xf numFmtId="0" fontId="4" fillId="0" borderId="0" xfId="11" applyFont="1" applyAlignment="1">
      <alignment horizontal="right"/>
    </xf>
    <xf numFmtId="190" fontId="2" fillId="0" borderId="0" xfId="2" applyNumberFormat="1" applyFont="1" applyAlignment="1">
      <alignment horizontal="right"/>
    </xf>
    <xf numFmtId="164" fontId="245" fillId="0" borderId="0" xfId="1" applyNumberFormat="1" applyFont="1"/>
    <xf numFmtId="9" fontId="0" fillId="53" borderId="114" xfId="2" applyFont="1" applyFill="1" applyBorder="1"/>
    <xf numFmtId="331" fontId="258" fillId="0" borderId="54" xfId="0" applyNumberFormat="1" applyFont="1" applyFill="1" applyBorder="1" applyAlignment="1">
      <alignment horizontal="right"/>
    </xf>
    <xf numFmtId="331" fontId="258" fillId="0" borderId="21" xfId="0" applyNumberFormat="1" applyFont="1" applyFill="1" applyBorder="1" applyAlignment="1">
      <alignment horizontal="right"/>
    </xf>
    <xf numFmtId="331" fontId="258" fillId="0" borderId="66" xfId="0" applyNumberFormat="1" applyFont="1" applyFill="1" applyBorder="1" applyAlignment="1">
      <alignment horizontal="left"/>
    </xf>
    <xf numFmtId="331" fontId="258" fillId="0" borderId="62" xfId="0" applyNumberFormat="1" applyFont="1" applyFill="1" applyBorder="1" applyAlignment="1">
      <alignment horizontal="right"/>
    </xf>
    <xf numFmtId="331" fontId="258" fillId="0" borderId="66" xfId="0" applyNumberFormat="1" applyFont="1" applyFill="1" applyBorder="1" applyAlignment="1">
      <alignment horizontal="right"/>
    </xf>
    <xf numFmtId="331" fontId="258" fillId="0" borderId="66" xfId="0" applyNumberFormat="1" applyFont="1" applyFill="1" applyBorder="1" applyAlignment="1">
      <alignment horizontal="right" vertical="center"/>
    </xf>
    <xf numFmtId="331" fontId="258" fillId="0" borderId="62" xfId="0" applyNumberFormat="1" applyFont="1" applyFill="1" applyBorder="1" applyAlignment="1">
      <alignment horizontal="right" vertical="center"/>
    </xf>
    <xf numFmtId="331" fontId="258" fillId="0" borderId="98" xfId="0" applyNumberFormat="1" applyFont="1" applyFill="1" applyBorder="1" applyAlignment="1">
      <alignment horizontal="right" vertical="center"/>
    </xf>
    <xf numFmtId="331" fontId="258" fillId="0" borderId="89" xfId="0" applyNumberFormat="1" applyFont="1" applyFill="1" applyBorder="1" applyAlignment="1">
      <alignment horizontal="right" vertical="center"/>
    </xf>
    <xf numFmtId="164" fontId="258" fillId="0" borderId="66" xfId="4" applyNumberFormat="1" applyFont="1" applyFill="1" applyBorder="1" applyAlignment="1">
      <alignment horizontal="right"/>
    </xf>
    <xf numFmtId="164" fontId="258" fillId="0" borderId="62" xfId="4" applyNumberFormat="1" applyFont="1" applyFill="1" applyBorder="1" applyAlignment="1">
      <alignment horizontal="right"/>
    </xf>
    <xf numFmtId="164" fontId="258" fillId="0" borderId="66" xfId="4" applyNumberFormat="1" applyFont="1" applyFill="1" applyBorder="1" applyAlignment="1">
      <alignment horizontal="right" vertical="center"/>
    </xf>
    <xf numFmtId="164" fontId="258" fillId="0" borderId="62" xfId="4" applyNumberFormat="1" applyFont="1" applyFill="1" applyBorder="1" applyAlignment="1">
      <alignment horizontal="right" vertical="center"/>
    </xf>
    <xf numFmtId="164" fontId="258" fillId="0" borderId="89" xfId="4" applyNumberFormat="1" applyFont="1" applyFill="1" applyBorder="1" applyAlignment="1">
      <alignment horizontal="right" vertical="center"/>
    </xf>
    <xf numFmtId="0" fontId="0" fillId="0" borderId="62" xfId="0" applyFont="1" applyBorder="1" applyAlignment="1" applyProtection="1">
      <alignment horizontal="center"/>
      <protection locked="0"/>
    </xf>
    <xf numFmtId="164" fontId="258" fillId="0" borderId="21" xfId="4" applyNumberFormat="1" applyFont="1" applyFill="1" applyBorder="1" applyAlignment="1">
      <alignment horizontal="right"/>
    </xf>
    <xf numFmtId="164" fontId="258" fillId="0" borderId="62" xfId="4" applyNumberFormat="1" applyFont="1" applyFill="1" applyBorder="1" applyAlignment="1">
      <alignment horizontal="center" vertical="center"/>
    </xf>
    <xf numFmtId="331" fontId="0" fillId="0" borderId="98" xfId="4339" applyNumberFormat="1" applyFont="1" applyFill="1" applyBorder="1"/>
    <xf numFmtId="331" fontId="8" fillId="0" borderId="98" xfId="4339" applyNumberFormat="1" applyFont="1" applyFill="1" applyBorder="1"/>
    <xf numFmtId="164" fontId="0" fillId="61" borderId="98" xfId="4" applyNumberFormat="1" applyFont="1" applyFill="1" applyBorder="1"/>
    <xf numFmtId="164" fontId="0" fillId="61" borderId="67" xfId="4" applyNumberFormat="1" applyFont="1" applyFill="1" applyBorder="1"/>
    <xf numFmtId="164" fontId="0" fillId="61" borderId="99" xfId="4" applyNumberFormat="1" applyFont="1" applyFill="1" applyBorder="1"/>
    <xf numFmtId="0" fontId="258" fillId="0" borderId="71" xfId="0" applyFont="1" applyBorder="1" applyAlignment="1">
      <alignment horizontal="center" vertical="center"/>
    </xf>
    <xf numFmtId="44" fontId="0" fillId="0" borderId="0" xfId="0" applyNumberFormat="1" applyFont="1"/>
    <xf numFmtId="333" fontId="0" fillId="0" borderId="62" xfId="0" applyNumberFormat="1" applyFont="1" applyFill="1" applyBorder="1"/>
    <xf numFmtId="333" fontId="0" fillId="0" borderId="115" xfId="0" applyNumberFormat="1" applyFont="1" applyFill="1" applyBorder="1"/>
    <xf numFmtId="44" fontId="0" fillId="0" borderId="0" xfId="0" applyNumberFormat="1" applyFont="1" applyFill="1" applyBorder="1"/>
    <xf numFmtId="0" fontId="252" fillId="0" borderId="63" xfId="0" applyFont="1" applyBorder="1" applyAlignment="1">
      <alignment horizontal="center"/>
    </xf>
    <xf numFmtId="9" fontId="2" fillId="0" borderId="0" xfId="2" applyFont="1" applyFill="1" applyBorder="1" applyAlignment="1">
      <alignment horizontal="center"/>
    </xf>
    <xf numFmtId="164" fontId="2" fillId="0" borderId="0" xfId="0" applyNumberFormat="1" applyFont="1"/>
    <xf numFmtId="44" fontId="258" fillId="0" borderId="0" xfId="1" applyNumberFormat="1" applyFont="1" applyFill="1"/>
    <xf numFmtId="0" fontId="258" fillId="0" borderId="0" xfId="0" applyFont="1"/>
    <xf numFmtId="331" fontId="0" fillId="0" borderId="116" xfId="0" applyNumberFormat="1" applyFont="1" applyBorder="1"/>
    <xf numFmtId="330" fontId="0" fillId="0" borderId="74" xfId="0" applyNumberFormat="1" applyFont="1" applyFill="1" applyBorder="1"/>
    <xf numFmtId="331" fontId="0" fillId="0" borderId="74" xfId="4339" applyNumberFormat="1" applyFont="1" applyFill="1" applyBorder="1" applyAlignment="1">
      <alignment vertical="center"/>
    </xf>
    <xf numFmtId="331" fontId="0" fillId="12" borderId="123" xfId="0" applyNumberFormat="1" applyFont="1" applyFill="1" applyBorder="1"/>
    <xf numFmtId="331" fontId="0" fillId="0" borderId="139" xfId="4339" applyNumberFormat="1" applyFont="1" applyFill="1" applyBorder="1" applyAlignment="1">
      <alignment vertical="center"/>
    </xf>
    <xf numFmtId="3" fontId="0" fillId="0" borderId="123" xfId="0" applyNumberFormat="1" applyFont="1" applyBorder="1" applyAlignment="1"/>
    <xf numFmtId="332" fontId="8" fillId="0" borderId="93" xfId="0" applyNumberFormat="1" applyFont="1" applyFill="1" applyBorder="1" applyAlignment="1">
      <alignment horizontal="center" vertical="center"/>
    </xf>
    <xf numFmtId="332" fontId="8" fillId="0" borderId="119" xfId="0" applyNumberFormat="1" applyFont="1" applyFill="1" applyBorder="1" applyAlignment="1">
      <alignment horizontal="center" vertical="center"/>
    </xf>
    <xf numFmtId="5" fontId="0" fillId="0" borderId="0" xfId="0" applyNumberFormat="1" applyFont="1"/>
    <xf numFmtId="0" fontId="244" fillId="0" borderId="0" xfId="0" applyFont="1" applyBorder="1"/>
    <xf numFmtId="5" fontId="254" fillId="0" borderId="50" xfId="1" applyNumberFormat="1" applyFont="1" applyFill="1" applyBorder="1"/>
    <xf numFmtId="164" fontId="254" fillId="0" borderId="115" xfId="1" applyNumberFormat="1" applyFont="1" applyFill="1" applyBorder="1"/>
    <xf numFmtId="0" fontId="8" fillId="0" borderId="62" xfId="0" applyFont="1" applyFill="1" applyBorder="1" applyAlignment="1" applyProtection="1">
      <alignment horizontal="center" vertical="center"/>
      <protection locked="0"/>
    </xf>
    <xf numFmtId="0" fontId="258" fillId="0" borderId="21" xfId="0" applyFont="1" applyBorder="1" applyAlignment="1" applyProtection="1">
      <alignment horizontal="center"/>
      <protection locked="0"/>
    </xf>
    <xf numFmtId="5" fontId="268" fillId="0" borderId="1" xfId="1" applyNumberFormat="1" applyFont="1" applyFill="1" applyBorder="1"/>
    <xf numFmtId="5" fontId="268" fillId="0" borderId="50" xfId="1" applyNumberFormat="1" applyFont="1" applyFill="1" applyBorder="1"/>
    <xf numFmtId="331" fontId="0" fillId="0" borderId="66" xfId="0" applyNumberFormat="1" applyFont="1" applyFill="1" applyBorder="1" applyAlignment="1">
      <alignment horizontal="left" vertical="center"/>
    </xf>
    <xf numFmtId="331" fontId="0" fillId="0" borderId="89" xfId="0" applyNumberFormat="1" applyFont="1" applyFill="1" applyBorder="1" applyAlignment="1">
      <alignment horizontal="center" vertical="center"/>
    </xf>
    <xf numFmtId="0" fontId="8" fillId="0" borderId="62" xfId="0" applyFont="1" applyBorder="1" applyAlignment="1" applyProtection="1">
      <alignment vertical="center"/>
      <protection locked="0"/>
    </xf>
    <xf numFmtId="0" fontId="258" fillId="0" borderId="62" xfId="0" applyFont="1" applyBorder="1" applyAlignment="1" applyProtection="1">
      <alignment horizontal="center"/>
      <protection locked="0"/>
    </xf>
    <xf numFmtId="0" fontId="0" fillId="0" borderId="62" xfId="0" applyBorder="1" applyAlignment="1"/>
    <xf numFmtId="0" fontId="8" fillId="0" borderId="62"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8" fillId="0" borderId="62" xfId="0" applyFont="1" applyFill="1" applyBorder="1" applyAlignment="1" applyProtection="1">
      <alignment horizontal="center"/>
      <protection locked="0"/>
    </xf>
    <xf numFmtId="0" fontId="8" fillId="0" borderId="62" xfId="0" applyFont="1" applyFill="1" applyBorder="1" applyAlignment="1" applyProtection="1">
      <alignment horizontal="left" vertical="center"/>
      <protection locked="0"/>
    </xf>
    <xf numFmtId="0" fontId="8" fillId="0" borderId="62" xfId="0" applyFont="1" applyBorder="1" applyAlignment="1" applyProtection="1">
      <alignment horizontal="center"/>
      <protection locked="0"/>
    </xf>
    <xf numFmtId="0" fontId="8" fillId="0" borderId="62" xfId="0" applyFont="1" applyFill="1" applyBorder="1" applyAlignment="1" applyProtection="1">
      <alignment vertical="center"/>
      <protection locked="0"/>
    </xf>
    <xf numFmtId="0" fontId="0" fillId="0" borderId="62" xfId="0" applyFont="1" applyFill="1" applyBorder="1" applyAlignment="1" applyProtection="1">
      <alignment horizontal="center"/>
      <protection locked="0"/>
    </xf>
    <xf numFmtId="0" fontId="8" fillId="0" borderId="21"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331" fontId="0" fillId="0" borderId="110" xfId="0" applyNumberFormat="1" applyFont="1" applyFill="1" applyBorder="1" applyAlignment="1">
      <alignment horizontal="center" vertical="center"/>
    </xf>
    <xf numFmtId="331" fontId="0" fillId="0" borderId="120" xfId="0" applyNumberFormat="1" applyFont="1" applyFill="1" applyBorder="1" applyAlignment="1">
      <alignment horizontal="right"/>
    </xf>
    <xf numFmtId="331" fontId="0" fillId="0" borderId="117" xfId="0" applyNumberFormat="1" applyFont="1" applyFill="1" applyBorder="1" applyAlignment="1">
      <alignment horizontal="center" vertical="center"/>
    </xf>
    <xf numFmtId="331" fontId="0" fillId="0" borderId="62" xfId="0" applyNumberFormat="1" applyFont="1" applyBorder="1" applyAlignment="1"/>
    <xf numFmtId="331" fontId="258" fillId="0" borderId="62" xfId="0" applyNumberFormat="1" applyFont="1" applyFill="1" applyBorder="1" applyAlignment="1">
      <alignment horizontal="left" vertical="center"/>
    </xf>
    <xf numFmtId="164" fontId="0" fillId="0" borderId="89" xfId="4" applyNumberFormat="1" applyFont="1" applyFill="1" applyBorder="1" applyAlignment="1">
      <alignment horizontal="center" vertical="center"/>
    </xf>
    <xf numFmtId="164" fontId="0" fillId="0" borderId="140" xfId="4" applyNumberFormat="1" applyFont="1" applyFill="1" applyBorder="1" applyAlignment="1">
      <alignment horizontal="center" vertical="center"/>
    </xf>
    <xf numFmtId="164" fontId="258" fillId="0" borderId="89" xfId="4" applyNumberFormat="1" applyFont="1" applyFill="1" applyBorder="1" applyAlignment="1">
      <alignment horizontal="center" vertical="center"/>
    </xf>
    <xf numFmtId="331" fontId="0" fillId="0" borderId="66" xfId="0" applyNumberFormat="1" applyFont="1" applyBorder="1" applyAlignment="1"/>
    <xf numFmtId="331" fontId="0" fillId="0" borderId="66" xfId="0" applyNumberFormat="1" applyFont="1" applyFill="1" applyBorder="1" applyAlignment="1">
      <alignment horizontal="center" vertical="center"/>
    </xf>
    <xf numFmtId="331" fontId="258" fillId="0" borderId="119" xfId="0" applyNumberFormat="1" applyFont="1" applyFill="1" applyBorder="1" applyAlignment="1">
      <alignment horizontal="right"/>
    </xf>
    <xf numFmtId="331" fontId="258" fillId="0" borderId="121" xfId="0" applyNumberFormat="1" applyFont="1" applyFill="1" applyBorder="1" applyAlignment="1">
      <alignment horizontal="right"/>
    </xf>
    <xf numFmtId="0" fontId="15" fillId="0" borderId="0" xfId="0" applyFont="1" applyFill="1" applyBorder="1" applyAlignment="1" applyProtection="1">
      <protection locked="0"/>
    </xf>
    <xf numFmtId="0" fontId="15" fillId="60" borderId="141" xfId="0" applyFont="1" applyFill="1" applyBorder="1" applyAlignment="1" applyProtection="1">
      <alignment horizontal="center"/>
      <protection locked="0"/>
    </xf>
    <xf numFmtId="0" fontId="15" fillId="60" borderId="142" xfId="0" applyFont="1" applyFill="1" applyBorder="1" applyAlignment="1" applyProtection="1">
      <alignment horizontal="center"/>
      <protection locked="0"/>
    </xf>
    <xf numFmtId="0" fontId="15" fillId="60" borderId="143" xfId="0" applyFont="1" applyFill="1" applyBorder="1" applyAlignment="1" applyProtection="1">
      <alignment horizontal="center"/>
      <protection locked="0"/>
    </xf>
    <xf numFmtId="0" fontId="78" fillId="0" borderId="69" xfId="0" applyFont="1" applyFill="1" applyBorder="1" applyAlignment="1" applyProtection="1">
      <alignment horizontal="center"/>
      <protection locked="0"/>
    </xf>
    <xf numFmtId="0" fontId="15" fillId="64" borderId="144" xfId="0" applyFont="1" applyFill="1" applyBorder="1" applyAlignment="1" applyProtection="1">
      <alignment horizontal="center"/>
      <protection locked="0"/>
    </xf>
    <xf numFmtId="0" fontId="4" fillId="0" borderId="21" xfId="0" applyFont="1" applyBorder="1" applyAlignment="1">
      <alignment horizontal="center" vertical="center"/>
    </xf>
    <xf numFmtId="0" fontId="4" fillId="0" borderId="62" xfId="0" applyFont="1" applyBorder="1" applyAlignment="1">
      <alignment horizontal="center" vertical="center"/>
    </xf>
    <xf numFmtId="0" fontId="0" fillId="0" borderId="80" xfId="0" applyFont="1" applyBorder="1" applyAlignment="1">
      <alignment horizontal="center"/>
    </xf>
    <xf numFmtId="0" fontId="0" fillId="0" borderId="79" xfId="0" applyFont="1" applyBorder="1" applyAlignment="1"/>
    <xf numFmtId="0" fontId="0" fillId="0" borderId="62" xfId="0" applyFont="1" applyFill="1" applyBorder="1" applyAlignment="1" applyProtection="1">
      <alignment horizontal="center" vertical="center"/>
      <protection locked="0"/>
    </xf>
    <xf numFmtId="0" fontId="15" fillId="58" borderId="74" xfId="0" applyFont="1" applyFill="1" applyBorder="1" applyAlignment="1">
      <alignment horizontal="center"/>
    </xf>
    <xf numFmtId="0" fontId="0" fillId="0" borderId="67" xfId="0"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0" borderId="38"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15" fillId="58" borderId="75" xfId="0" applyFont="1" applyFill="1" applyBorder="1" applyAlignment="1">
      <alignment horizontal="center" wrapText="1"/>
    </xf>
    <xf numFmtId="0" fontId="0" fillId="0" borderId="74"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110" xfId="0" applyFont="1" applyFill="1" applyBorder="1" applyAlignment="1" applyProtection="1">
      <alignment horizontal="center" vertical="center"/>
      <protection locked="0"/>
    </xf>
    <xf numFmtId="0" fontId="15" fillId="58" borderId="73" xfId="0" applyFont="1" applyFill="1" applyBorder="1" applyAlignment="1">
      <alignment horizontal="center"/>
    </xf>
    <xf numFmtId="0" fontId="0" fillId="0" borderId="93"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331" fontId="244" fillId="0" borderId="0" xfId="0" applyNumberFormat="1" applyFont="1"/>
    <xf numFmtId="0" fontId="250" fillId="0" borderId="0" xfId="0" applyFont="1" applyAlignment="1" applyProtection="1">
      <alignment readingOrder="1"/>
      <protection locked="0"/>
    </xf>
    <xf numFmtId="0" fontId="250" fillId="0" borderId="0" xfId="0" applyFont="1" applyFill="1" applyBorder="1" applyAlignment="1" applyProtection="1">
      <alignment readingOrder="1"/>
      <protection locked="0"/>
    </xf>
    <xf numFmtId="0" fontId="12" fillId="55" borderId="66" xfId="0" applyFont="1" applyFill="1" applyBorder="1" applyAlignment="1"/>
    <xf numFmtId="0" fontId="15" fillId="60" borderId="145" xfId="0" applyFont="1" applyFill="1" applyBorder="1" applyAlignment="1" applyProtection="1">
      <alignment horizontal="center"/>
      <protection locked="0"/>
    </xf>
    <xf numFmtId="332" fontId="8" fillId="0" borderId="127" xfId="0" applyNumberFormat="1" applyFont="1" applyFill="1" applyBorder="1" applyAlignment="1">
      <alignment horizontal="center" vertical="center"/>
    </xf>
    <xf numFmtId="332" fontId="0" fillId="0" borderId="127" xfId="4" applyNumberFormat="1" applyFont="1" applyFill="1" applyBorder="1"/>
    <xf numFmtId="332" fontId="0" fillId="0" borderId="127" xfId="0" applyNumberFormat="1" applyFont="1" applyFill="1" applyBorder="1"/>
    <xf numFmtId="333" fontId="0" fillId="0" borderId="127" xfId="0" applyNumberFormat="1" applyFont="1" applyFill="1" applyBorder="1"/>
    <xf numFmtId="0" fontId="78" fillId="0" borderId="0" xfId="0" applyFont="1" applyAlignment="1">
      <alignment horizontal="center"/>
    </xf>
    <xf numFmtId="0" fontId="78" fillId="0" borderId="107" xfId="0" applyFont="1" applyFill="1" applyBorder="1" applyAlignment="1" applyProtection="1">
      <alignment horizontal="center"/>
      <protection locked="0"/>
    </xf>
    <xf numFmtId="0" fontId="15" fillId="60" borderId="146" xfId="0" applyFont="1" applyFill="1" applyBorder="1" applyAlignment="1" applyProtection="1">
      <alignment horizontal="center"/>
      <protection locked="0"/>
    </xf>
    <xf numFmtId="164" fontId="0" fillId="65" borderId="132" xfId="4" applyNumberFormat="1" applyFont="1" applyFill="1" applyBorder="1"/>
    <xf numFmtId="164" fontId="0" fillId="0" borderId="131" xfId="4" applyNumberFormat="1" applyFont="1" applyFill="1" applyBorder="1"/>
    <xf numFmtId="164" fontId="0" fillId="0" borderId="127" xfId="4" applyNumberFormat="1" applyFont="1" applyFill="1" applyBorder="1"/>
    <xf numFmtId="164" fontId="0" fillId="0" borderId="145" xfId="4" applyNumberFormat="1" applyFont="1" applyFill="1" applyBorder="1"/>
    <xf numFmtId="331" fontId="8" fillId="0" borderId="146" xfId="0" applyNumberFormat="1" applyFont="1" applyBorder="1" applyAlignment="1">
      <alignment horizontal="right"/>
    </xf>
    <xf numFmtId="0" fontId="0" fillId="0" borderId="3" xfId="0" applyFont="1" applyFill="1" applyBorder="1" applyAlignment="1" applyProtection="1">
      <alignment horizontal="center" vertical="center"/>
      <protection locked="0"/>
    </xf>
    <xf numFmtId="0" fontId="0" fillId="0" borderId="100" xfId="0" applyFont="1" applyFill="1" applyBorder="1" applyAlignment="1" applyProtection="1">
      <alignment horizontal="center"/>
      <protection locked="0"/>
    </xf>
    <xf numFmtId="0" fontId="0" fillId="0" borderId="100" xfId="0" applyFont="1" applyFill="1" applyBorder="1" applyAlignment="1" applyProtection="1">
      <alignment horizontal="center" vertical="center"/>
      <protection locked="0"/>
    </xf>
    <xf numFmtId="0" fontId="0" fillId="0" borderId="111" xfId="0" applyFont="1" applyFill="1" applyBorder="1" applyAlignment="1" applyProtection="1">
      <alignment horizontal="center" vertical="center"/>
      <protection locked="0"/>
    </xf>
    <xf numFmtId="331" fontId="0" fillId="65" borderId="146" xfId="4339" applyNumberFormat="1" applyFont="1" applyFill="1" applyBorder="1"/>
    <xf numFmtId="331" fontId="0" fillId="0" borderId="131" xfId="4339" applyNumberFormat="1" applyFont="1" applyFill="1" applyBorder="1"/>
    <xf numFmtId="331" fontId="0" fillId="0" borderId="127" xfId="4339" applyNumberFormat="1" applyFont="1" applyFill="1" applyBorder="1"/>
    <xf numFmtId="331" fontId="0" fillId="0" borderId="145" xfId="4339" applyNumberFormat="1" applyFont="1" applyFill="1" applyBorder="1"/>
    <xf numFmtId="331" fontId="8" fillId="0" borderId="127" xfId="4339" applyNumberFormat="1" applyFont="1" applyFill="1" applyBorder="1"/>
    <xf numFmtId="331" fontId="8" fillId="0" borderId="127" xfId="0" applyNumberFormat="1" applyFont="1" applyFill="1" applyBorder="1" applyAlignment="1">
      <alignment horizontal="right"/>
    </xf>
    <xf numFmtId="331" fontId="8" fillId="0" borderId="145" xfId="0" applyNumberFormat="1" applyFont="1" applyFill="1" applyBorder="1" applyAlignment="1">
      <alignment horizontal="right"/>
    </xf>
    <xf numFmtId="331" fontId="0" fillId="0" borderId="147" xfId="4339" applyNumberFormat="1" applyFont="1" applyFill="1" applyBorder="1"/>
    <xf numFmtId="0" fontId="0" fillId="0" borderId="128" xfId="0" applyFont="1" applyBorder="1"/>
    <xf numFmtId="331" fontId="0" fillId="0" borderId="146" xfId="4339" applyNumberFormat="1" applyFont="1" applyBorder="1"/>
    <xf numFmtId="0" fontId="243" fillId="0" borderId="0" xfId="0" applyFont="1"/>
    <xf numFmtId="0" fontId="258" fillId="65" borderId="70" xfId="0" applyFont="1" applyFill="1" applyBorder="1" applyAlignment="1">
      <alignment horizontal="center" wrapText="1"/>
    </xf>
    <xf numFmtId="0" fontId="0" fillId="0" borderId="21"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left"/>
      <protection locked="0"/>
    </xf>
    <xf numFmtId="0" fontId="0" fillId="0" borderId="76" xfId="0" applyFont="1" applyBorder="1" applyAlignment="1">
      <alignment horizontal="left" indent="1"/>
    </xf>
    <xf numFmtId="164" fontId="0" fillId="0" borderId="142" xfId="4" applyNumberFormat="1" applyFont="1" applyFill="1" applyBorder="1"/>
    <xf numFmtId="331" fontId="8" fillId="0" borderId="142" xfId="0" applyNumberFormat="1" applyFont="1" applyFill="1" applyBorder="1" applyAlignment="1">
      <alignment horizontal="right"/>
    </xf>
    <xf numFmtId="331" fontId="0" fillId="0" borderId="142" xfId="4339" applyNumberFormat="1" applyFont="1" applyFill="1" applyBorder="1"/>
    <xf numFmtId="331" fontId="8" fillId="0" borderId="142" xfId="4339" applyNumberFormat="1" applyFont="1" applyFill="1" applyBorder="1"/>
    <xf numFmtId="0" fontId="15" fillId="0" borderId="106" xfId="0" applyFont="1" applyFill="1" applyBorder="1" applyAlignment="1" applyProtection="1">
      <protection locked="0"/>
    </xf>
    <xf numFmtId="0" fontId="0" fillId="0" borderId="103" xfId="0" applyBorder="1" applyAlignment="1">
      <alignment horizontal="center" wrapText="1"/>
    </xf>
    <xf numFmtId="0" fontId="0" fillId="0" borderId="95" xfId="0" applyBorder="1" applyAlignment="1">
      <alignment horizontal="center" wrapText="1"/>
    </xf>
    <xf numFmtId="0" fontId="0" fillId="0" borderId="64" xfId="0" applyFont="1" applyFill="1" applyBorder="1" applyAlignment="1">
      <alignment horizontal="center" vertical="center"/>
    </xf>
    <xf numFmtId="0" fontId="0" fillId="0" borderId="64" xfId="0" quotePrefix="1" applyFont="1" applyFill="1" applyBorder="1" applyAlignment="1">
      <alignment horizontal="center" vertical="center"/>
    </xf>
    <xf numFmtId="0" fontId="0" fillId="0" borderId="84" xfId="0" applyFont="1" applyFill="1" applyBorder="1" applyAlignment="1">
      <alignment horizontal="center" vertical="center" wrapText="1"/>
    </xf>
    <xf numFmtId="0" fontId="78" fillId="0" borderId="0" xfId="0" applyFont="1" applyFill="1"/>
    <xf numFmtId="0" fontId="0" fillId="0" borderId="5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 fontId="0" fillId="0" borderId="79" xfId="0" applyNumberFormat="1" applyFont="1" applyBorder="1" applyAlignment="1">
      <alignment horizontal="right" vertical="center"/>
    </xf>
    <xf numFmtId="0" fontId="15" fillId="58" borderId="96" xfId="0" applyFont="1" applyFill="1" applyBorder="1" applyAlignment="1">
      <alignment horizontal="center" vertical="center" wrapText="1"/>
    </xf>
    <xf numFmtId="0" fontId="15" fillId="58" borderId="93" xfId="0" applyFont="1" applyFill="1" applyBorder="1" applyAlignment="1">
      <alignment horizontal="center" vertical="center" wrapText="1"/>
    </xf>
    <xf numFmtId="0" fontId="15" fillId="58" borderId="102" xfId="0" applyFont="1" applyFill="1" applyBorder="1" applyAlignment="1">
      <alignment horizontal="center" vertical="center" wrapText="1"/>
    </xf>
    <xf numFmtId="0" fontId="0" fillId="0" borderId="71" xfId="0" applyBorder="1" applyAlignment="1">
      <alignment horizontal="center"/>
    </xf>
    <xf numFmtId="0" fontId="0" fillId="0" borderId="58" xfId="0" applyBorder="1" applyAlignment="1">
      <alignment horizontal="left" vertical="center" indent="1"/>
    </xf>
    <xf numFmtId="0" fontId="0" fillId="0" borderId="117" xfId="0" applyBorder="1" applyAlignment="1">
      <alignment horizontal="left" vertical="center" indent="1"/>
    </xf>
    <xf numFmtId="0" fontId="258" fillId="0" borderId="73" xfId="0" applyFont="1" applyBorder="1" applyAlignment="1">
      <alignment horizontal="left" vertical="center" indent="1"/>
    </xf>
    <xf numFmtId="0" fontId="258" fillId="0" borderId="58" xfId="0" applyFont="1" applyBorder="1" applyAlignment="1">
      <alignment horizontal="left" vertical="center" indent="1"/>
    </xf>
    <xf numFmtId="331" fontId="0" fillId="0" borderId="38" xfId="4339" applyNumberFormat="1" applyFont="1" applyFill="1" applyBorder="1"/>
    <xf numFmtId="331" fontId="8" fillId="0" borderId="38" xfId="4339" applyNumberFormat="1" applyFont="1" applyFill="1" applyBorder="1"/>
    <xf numFmtId="331" fontId="8"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54" xfId="0" applyNumberFormat="1" applyFont="1" applyBorder="1"/>
    <xf numFmtId="164" fontId="0" fillId="0" borderId="88" xfId="0" applyNumberFormat="1" applyFont="1" applyFill="1" applyBorder="1"/>
    <xf numFmtId="331" fontId="8" fillId="0" borderId="144" xfId="4339" applyNumberFormat="1" applyFont="1" applyFill="1" applyBorder="1"/>
    <xf numFmtId="164" fontId="0" fillId="61" borderId="142" xfId="4" applyNumberFormat="1" applyFont="1" applyFill="1" applyBorder="1"/>
    <xf numFmtId="164" fontId="0" fillId="61" borderId="144" xfId="4" applyNumberFormat="1" applyFont="1" applyFill="1" applyBorder="1"/>
    <xf numFmtId="0" fontId="0" fillId="0" borderId="70" xfId="0" applyBorder="1" applyAlignment="1">
      <alignment horizontal="left" indent="1"/>
    </xf>
    <xf numFmtId="0" fontId="258" fillId="0" borderId="97" xfId="0" applyFont="1" applyBorder="1" applyAlignment="1">
      <alignment horizontal="left" vertical="center" indent="1"/>
    </xf>
    <xf numFmtId="331" fontId="0" fillId="0" borderId="108" xfId="4339" applyNumberFormat="1" applyFont="1" applyFill="1" applyBorder="1"/>
    <xf numFmtId="331" fontId="0" fillId="0" borderId="110" xfId="4339" applyNumberFormat="1" applyFont="1" applyFill="1" applyBorder="1"/>
    <xf numFmtId="331" fontId="8" fillId="0" borderId="108" xfId="4339" applyNumberFormat="1" applyFont="1" applyFill="1" applyBorder="1"/>
    <xf numFmtId="331" fontId="8" fillId="0" borderId="85" xfId="4339" applyNumberFormat="1" applyFont="1" applyFill="1" applyBorder="1"/>
    <xf numFmtId="164" fontId="0" fillId="61" borderId="108" xfId="4" applyNumberFormat="1" applyFont="1" applyFill="1" applyBorder="1"/>
    <xf numFmtId="164" fontId="0" fillId="61" borderId="110" xfId="4" applyNumberFormat="1" applyFont="1" applyFill="1" applyBorder="1"/>
    <xf numFmtId="164" fontId="0" fillId="61" borderId="85" xfId="4" applyNumberFormat="1" applyFont="1" applyFill="1" applyBorder="1"/>
    <xf numFmtId="331" fontId="8" fillId="0" borderId="79" xfId="4339" applyNumberFormat="1" applyFont="1" applyFill="1" applyBorder="1"/>
    <xf numFmtId="164" fontId="0" fillId="0" borderId="79" xfId="0" applyNumberFormat="1" applyFont="1" applyBorder="1"/>
    <xf numFmtId="164" fontId="0" fillId="0" borderId="78" xfId="0" applyNumberFormat="1" applyFont="1" applyFill="1" applyBorder="1"/>
    <xf numFmtId="164" fontId="0" fillId="0" borderId="108" xfId="0" applyNumberFormat="1" applyFont="1" applyFill="1" applyBorder="1"/>
    <xf numFmtId="164" fontId="0" fillId="0" borderId="108" xfId="0" applyNumberFormat="1" applyFont="1" applyBorder="1"/>
    <xf numFmtId="164" fontId="0" fillId="0" borderId="68" xfId="0" applyNumberFormat="1" applyFont="1" applyFill="1" applyBorder="1"/>
    <xf numFmtId="164" fontId="244" fillId="61" borderId="62" xfId="4" applyNumberFormat="1" applyFont="1" applyFill="1" applyBorder="1"/>
    <xf numFmtId="164" fontId="244" fillId="61" borderId="94" xfId="4" applyNumberFormat="1" applyFont="1" applyFill="1" applyBorder="1"/>
    <xf numFmtId="164" fontId="244" fillId="61" borderId="21" xfId="4" applyNumberFormat="1" applyFont="1" applyFill="1" applyBorder="1"/>
    <xf numFmtId="164" fontId="244" fillId="61" borderId="61" xfId="4" applyNumberFormat="1" applyFont="1" applyFill="1" applyBorder="1"/>
    <xf numFmtId="164" fontId="244" fillId="61" borderId="142" xfId="4" applyNumberFormat="1" applyFont="1" applyFill="1" applyBorder="1"/>
    <xf numFmtId="164" fontId="244" fillId="61" borderId="144" xfId="4" applyNumberFormat="1" applyFont="1" applyFill="1" applyBorder="1"/>
    <xf numFmtId="164" fontId="244" fillId="61" borderId="67" xfId="4" applyNumberFormat="1" applyFont="1" applyFill="1" applyBorder="1"/>
    <xf numFmtId="164" fontId="244" fillId="61" borderId="99" xfId="4" applyNumberFormat="1" applyFont="1" applyFill="1" applyBorder="1"/>
    <xf numFmtId="164" fontId="258" fillId="0" borderId="98" xfId="0" applyNumberFormat="1" applyFont="1" applyFill="1" applyBorder="1"/>
    <xf numFmtId="164" fontId="258" fillId="0" borderId="83" xfId="0" applyNumberFormat="1" applyFont="1" applyFill="1" applyBorder="1"/>
    <xf numFmtId="164" fontId="258" fillId="0" borderId="66" xfId="0" applyNumberFormat="1" applyFont="1" applyFill="1" applyBorder="1"/>
    <xf numFmtId="164" fontId="258" fillId="0" borderId="89" xfId="0" applyNumberFormat="1" applyFont="1" applyFill="1" applyBorder="1"/>
    <xf numFmtId="164" fontId="258" fillId="0" borderId="54" xfId="0" applyNumberFormat="1" applyFont="1" applyFill="1" applyBorder="1"/>
    <xf numFmtId="164" fontId="258" fillId="0" borderId="79" xfId="0" applyNumberFormat="1" applyFont="1" applyFill="1" applyBorder="1"/>
    <xf numFmtId="164" fontId="258" fillId="0" borderId="88" xfId="0" applyNumberFormat="1" applyFont="1" applyFill="1" applyBorder="1"/>
    <xf numFmtId="37" fontId="244" fillId="0" borderId="93" xfId="4" applyNumberFormat="1" applyFont="1" applyFill="1" applyBorder="1"/>
    <xf numFmtId="37" fontId="244" fillId="0" borderId="102" xfId="4" applyNumberFormat="1" applyFont="1" applyFill="1" applyBorder="1"/>
    <xf numFmtId="37" fontId="244" fillId="0" borderId="62" xfId="4" applyNumberFormat="1" applyFont="1" applyFill="1" applyBorder="1"/>
    <xf numFmtId="37" fontId="244" fillId="0" borderId="94" xfId="4" applyNumberFormat="1" applyFont="1" applyFill="1" applyBorder="1"/>
    <xf numFmtId="331" fontId="244" fillId="0" borderId="67" xfId="4339" applyNumberFormat="1" applyFont="1" applyFill="1" applyBorder="1"/>
    <xf numFmtId="331" fontId="244" fillId="0" borderId="99" xfId="4339" applyNumberFormat="1" applyFont="1" applyFill="1" applyBorder="1"/>
    <xf numFmtId="331" fontId="244" fillId="0" borderId="93" xfId="4339" applyNumberFormat="1" applyFont="1" applyFill="1" applyBorder="1"/>
    <xf numFmtId="331" fontId="244" fillId="0" borderId="102" xfId="4339" applyNumberFormat="1" applyFont="1" applyFill="1" applyBorder="1"/>
    <xf numFmtId="331" fontId="244" fillId="0" borderId="94" xfId="4339" applyNumberFormat="1" applyFont="1" applyFill="1" applyBorder="1"/>
    <xf numFmtId="331" fontId="244" fillId="0" borderId="21" xfId="4339" applyNumberFormat="1" applyFont="1" applyFill="1" applyBorder="1"/>
    <xf numFmtId="331" fontId="244" fillId="0" borderId="142" xfId="4339" applyNumberFormat="1" applyFont="1" applyFill="1" applyBorder="1"/>
    <xf numFmtId="331" fontId="244" fillId="0" borderId="144" xfId="4339" applyNumberFormat="1" applyFont="1" applyFill="1" applyBorder="1"/>
    <xf numFmtId="331" fontId="244" fillId="0" borderId="98" xfId="4339" applyNumberFormat="1" applyFont="1" applyFill="1" applyBorder="1"/>
    <xf numFmtId="331" fontId="244" fillId="0" borderId="89" xfId="4339" applyNumberFormat="1" applyFont="1" applyFill="1" applyBorder="1"/>
    <xf numFmtId="164" fontId="244" fillId="61" borderId="93" xfId="4" applyNumberFormat="1" applyFont="1" applyFill="1" applyBorder="1"/>
    <xf numFmtId="0" fontId="13" fillId="0" borderId="0" xfId="0" applyFont="1" applyFill="1"/>
    <xf numFmtId="0" fontId="13" fillId="0" borderId="0" xfId="0" applyFont="1" applyFill="1" applyAlignment="1">
      <alignment horizontal="center"/>
    </xf>
    <xf numFmtId="0" fontId="78" fillId="0" borderId="106" xfId="0" applyFont="1" applyFill="1" applyBorder="1" applyAlignment="1" applyProtection="1">
      <protection locked="0"/>
    </xf>
    <xf numFmtId="0" fontId="8" fillId="0" borderId="86" xfId="0" applyFont="1" applyFill="1" applyBorder="1" applyAlignment="1">
      <alignment horizontal="left" wrapText="1" indent="1"/>
    </xf>
    <xf numFmtId="0" fontId="8" fillId="0" borderId="104" xfId="0" applyFont="1" applyFill="1" applyBorder="1" applyAlignment="1">
      <alignment horizontal="left" indent="1"/>
    </xf>
    <xf numFmtId="0" fontId="0" fillId="0" borderId="0" xfId="0" applyFont="1" applyBorder="1" applyAlignment="1"/>
    <xf numFmtId="0" fontId="0" fillId="0" borderId="0" xfId="0" applyFont="1" applyBorder="1" applyAlignment="1">
      <alignment horizontal="left" indent="1"/>
    </xf>
    <xf numFmtId="331" fontId="0" fillId="0" borderId="0" xfId="0" applyNumberFormat="1" applyFont="1" applyFill="1" applyBorder="1" applyAlignment="1">
      <alignment horizontal="center" vertical="center"/>
    </xf>
    <xf numFmtId="331" fontId="0" fillId="0" borderId="0" xfId="0" applyNumberFormat="1" applyFont="1" applyFill="1" applyBorder="1" applyAlignment="1">
      <alignment horizontal="right"/>
    </xf>
    <xf numFmtId="0" fontId="258" fillId="0" borderId="80" xfId="0" applyFont="1" applyFill="1" applyBorder="1" applyAlignment="1">
      <alignment horizontal="center" vertical="center"/>
    </xf>
    <xf numFmtId="0" fontId="0" fillId="0" borderId="121" xfId="0" applyFont="1" applyFill="1" applyBorder="1" applyAlignment="1" applyProtection="1">
      <alignment horizontal="center"/>
      <protection locked="0"/>
    </xf>
    <xf numFmtId="0" fontId="273" fillId="55" borderId="49" xfId="0" applyFont="1" applyFill="1" applyBorder="1" applyAlignment="1">
      <alignment horizontal="center" vertical="center" wrapText="1" readingOrder="1"/>
    </xf>
    <xf numFmtId="0" fontId="273" fillId="55" borderId="1" xfId="0" applyFont="1" applyFill="1" applyBorder="1" applyAlignment="1">
      <alignment horizontal="center" vertical="center" wrapText="1" readingOrder="1"/>
    </xf>
    <xf numFmtId="0" fontId="273" fillId="56" borderId="49" xfId="0" applyFont="1" applyFill="1" applyBorder="1" applyAlignment="1">
      <alignment horizontal="center" vertical="center" wrapText="1" readingOrder="1"/>
    </xf>
    <xf numFmtId="0" fontId="273" fillId="56" borderId="1" xfId="0" applyFont="1" applyFill="1" applyBorder="1" applyAlignment="1">
      <alignment horizontal="center" vertical="center" wrapText="1" readingOrder="1"/>
    </xf>
    <xf numFmtId="190" fontId="274" fillId="54" borderId="1" xfId="0" applyNumberFormat="1" applyFont="1" applyFill="1" applyBorder="1" applyAlignment="1">
      <alignment horizontal="center" wrapText="1" readingOrder="1"/>
    </xf>
    <xf numFmtId="190" fontId="274" fillId="54" borderId="1" xfId="0" applyNumberFormat="1" applyFont="1" applyFill="1" applyBorder="1" applyAlignment="1">
      <alignment horizontal="center"/>
    </xf>
    <xf numFmtId="190" fontId="274" fillId="54" borderId="1" xfId="2" applyNumberFormat="1" applyFont="1" applyFill="1" applyBorder="1" applyAlignment="1">
      <alignment horizontal="center"/>
    </xf>
    <xf numFmtId="9" fontId="274" fillId="54" borderId="1" xfId="0" applyNumberFormat="1" applyFont="1" applyFill="1" applyBorder="1" applyAlignment="1">
      <alignment horizontal="center" wrapText="1" readingOrder="1"/>
    </xf>
    <xf numFmtId="9" fontId="274" fillId="54" borderId="1" xfId="2" applyFont="1" applyFill="1" applyBorder="1" applyAlignment="1">
      <alignment horizontal="center"/>
    </xf>
    <xf numFmtId="9" fontId="274" fillId="54" borderId="1" xfId="0" applyNumberFormat="1" applyFont="1" applyFill="1" applyBorder="1" applyAlignment="1">
      <alignment horizontal="center"/>
    </xf>
    <xf numFmtId="9" fontId="274" fillId="54" borderId="1" xfId="2" applyFont="1" applyFill="1" applyBorder="1" applyAlignment="1">
      <alignment horizontal="center" wrapText="1" readingOrder="1"/>
    </xf>
    <xf numFmtId="9" fontId="275" fillId="54" borderId="1" xfId="0" applyNumberFormat="1" applyFont="1" applyFill="1" applyBorder="1" applyAlignment="1">
      <alignment horizontal="center" wrapText="1" readingOrder="1"/>
    </xf>
    <xf numFmtId="164" fontId="2" fillId="0" borderId="115" xfId="1" applyNumberFormat="1" applyFont="1" applyFill="1" applyBorder="1"/>
    <xf numFmtId="5" fontId="2" fillId="0" borderId="115" xfId="1" applyNumberFormat="1" applyFont="1" applyFill="1" applyBorder="1"/>
    <xf numFmtId="7" fontId="0" fillId="0" borderId="0" xfId="0" applyNumberFormat="1"/>
    <xf numFmtId="9" fontId="254" fillId="0" borderId="115" xfId="2" applyFont="1" applyFill="1" applyBorder="1"/>
    <xf numFmtId="5" fontId="254" fillId="53" borderId="50" xfId="1" applyNumberFormat="1" applyFont="1" applyFill="1" applyBorder="1"/>
    <xf numFmtId="5" fontId="2" fillId="0" borderId="50" xfId="1" applyNumberFormat="1" applyFont="1" applyFill="1" applyBorder="1"/>
    <xf numFmtId="331" fontId="258" fillId="65" borderId="71" xfId="4339" applyNumberFormat="1" applyFont="1" applyFill="1" applyBorder="1"/>
    <xf numFmtId="331" fontId="258" fillId="65" borderId="77" xfId="4339" applyNumberFormat="1" applyFont="1" applyFill="1" applyBorder="1"/>
    <xf numFmtId="331" fontId="258" fillId="0" borderId="62" xfId="4339" applyNumberFormat="1" applyFont="1" applyFill="1" applyBorder="1"/>
    <xf numFmtId="331" fontId="258" fillId="0" borderId="142" xfId="4339" applyNumberFormat="1" applyFont="1" applyFill="1" applyBorder="1"/>
    <xf numFmtId="331" fontId="258" fillId="0" borderId="21" xfId="4339" applyNumberFormat="1" applyFont="1" applyFill="1" applyBorder="1"/>
    <xf numFmtId="164" fontId="258" fillId="65" borderId="110" xfId="4" applyNumberFormat="1" applyFont="1" applyFill="1" applyBorder="1"/>
    <xf numFmtId="331" fontId="258" fillId="0" borderId="55" xfId="4339" applyNumberFormat="1" applyFont="1" applyFill="1" applyBorder="1"/>
    <xf numFmtId="331" fontId="258" fillId="0" borderId="72" xfId="4339" applyNumberFormat="1" applyFont="1" applyFill="1" applyBorder="1"/>
    <xf numFmtId="0" fontId="2" fillId="54" borderId="62" xfId="0" applyFont="1" applyFill="1" applyBorder="1" applyAlignment="1">
      <alignment horizontal="center"/>
    </xf>
    <xf numFmtId="9" fontId="0" fillId="0" borderId="62" xfId="2" applyFont="1" applyBorder="1"/>
    <xf numFmtId="0" fontId="0" fillId="54" borderId="62" xfId="0" applyFill="1" applyBorder="1" applyAlignment="1">
      <alignment horizontal="center"/>
    </xf>
    <xf numFmtId="0" fontId="253" fillId="0" borderId="62" xfId="0" applyFont="1" applyFill="1" applyBorder="1" applyAlignment="1">
      <alignment horizontal="left"/>
    </xf>
    <xf numFmtId="190" fontId="15" fillId="0" borderId="62" xfId="2" applyNumberFormat="1" applyFont="1" applyBorder="1"/>
    <xf numFmtId="331" fontId="258" fillId="0" borderId="108" xfId="4339" applyNumberFormat="1" applyFont="1" applyFill="1" applyBorder="1"/>
    <xf numFmtId="331" fontId="258" fillId="0" borderId="110" xfId="4339" applyNumberFormat="1" applyFont="1" applyFill="1" applyBorder="1"/>
    <xf numFmtId="331" fontId="258" fillId="0" borderId="85" xfId="4339" applyNumberFormat="1" applyFont="1" applyFill="1" applyBorder="1"/>
    <xf numFmtId="331" fontId="258" fillId="0" borderId="79" xfId="4339" applyNumberFormat="1" applyFont="1" applyFill="1" applyBorder="1"/>
    <xf numFmtId="331" fontId="258" fillId="0" borderId="71" xfId="4339" applyNumberFormat="1" applyFont="1" applyFill="1" applyBorder="1"/>
    <xf numFmtId="164" fontId="258" fillId="61" borderId="108" xfId="4" applyNumberFormat="1" applyFont="1" applyFill="1" applyBorder="1"/>
    <xf numFmtId="164" fontId="258" fillId="61" borderId="110" xfId="4" applyNumberFormat="1" applyFont="1" applyFill="1" applyBorder="1"/>
    <xf numFmtId="164" fontId="258" fillId="61" borderId="85" xfId="4" applyNumberFormat="1" applyFont="1" applyFill="1" applyBorder="1"/>
    <xf numFmtId="164" fontId="258" fillId="61" borderId="79" xfId="4" applyNumberFormat="1" applyFont="1" applyFill="1" applyBorder="1"/>
    <xf numFmtId="164" fontId="258" fillId="61" borderId="71" xfId="4" applyNumberFormat="1" applyFont="1" applyFill="1" applyBorder="1"/>
    <xf numFmtId="164" fontId="258" fillId="61" borderId="72" xfId="4" applyNumberFormat="1" applyFont="1" applyFill="1" applyBorder="1"/>
    <xf numFmtId="331" fontId="258" fillId="0" borderId="99" xfId="4339" applyNumberFormat="1" applyFont="1" applyFill="1" applyBorder="1"/>
    <xf numFmtId="331" fontId="258" fillId="0" borderId="102" xfId="4339" applyNumberFormat="1" applyFont="1" applyFill="1" applyBorder="1"/>
    <xf numFmtId="331" fontId="258" fillId="0" borderId="94" xfId="4339" applyNumberFormat="1" applyFont="1" applyFill="1" applyBorder="1"/>
    <xf numFmtId="331" fontId="258" fillId="0" borderId="93" xfId="4339" applyNumberFormat="1" applyFont="1" applyFill="1" applyBorder="1"/>
    <xf numFmtId="331" fontId="258" fillId="0" borderId="144" xfId="4339" applyNumberFormat="1" applyFont="1" applyFill="1" applyBorder="1"/>
    <xf numFmtId="331" fontId="258" fillId="0" borderId="38" xfId="4339" applyNumberFormat="1" applyFont="1" applyFill="1" applyBorder="1"/>
    <xf numFmtId="331" fontId="258" fillId="0" borderId="56" xfId="4339" applyNumberFormat="1" applyFont="1" applyFill="1" applyBorder="1"/>
    <xf numFmtId="331" fontId="258" fillId="0" borderId="98" xfId="4339" applyNumberFormat="1" applyFont="1" applyFill="1" applyBorder="1"/>
    <xf numFmtId="164" fontId="258" fillId="61" borderId="21" xfId="4" applyNumberFormat="1" applyFont="1" applyFill="1" applyBorder="1"/>
    <xf numFmtId="164" fontId="258" fillId="61" borderId="61" xfId="4" applyNumberFormat="1" applyFont="1" applyFill="1" applyBorder="1"/>
    <xf numFmtId="164" fontId="258" fillId="61" borderId="62" xfId="4" applyNumberFormat="1" applyFont="1" applyFill="1" applyBorder="1"/>
    <xf numFmtId="164" fontId="258" fillId="61" borderId="94" xfId="4" applyNumberFormat="1" applyFont="1" applyFill="1" applyBorder="1"/>
    <xf numFmtId="164" fontId="258" fillId="61" borderId="142" xfId="4" applyNumberFormat="1" applyFont="1" applyFill="1" applyBorder="1"/>
    <xf numFmtId="164" fontId="258" fillId="61" borderId="144" xfId="4" applyNumberFormat="1" applyFont="1" applyFill="1" applyBorder="1"/>
    <xf numFmtId="164" fontId="258" fillId="61" borderId="55" xfId="4" applyNumberFormat="1" applyFont="1" applyFill="1" applyBorder="1"/>
    <xf numFmtId="164" fontId="258" fillId="61" borderId="56" xfId="4" applyNumberFormat="1" applyFont="1" applyFill="1" applyBorder="1"/>
    <xf numFmtId="164" fontId="258" fillId="61" borderId="67" xfId="4" applyNumberFormat="1" applyFont="1" applyFill="1" applyBorder="1"/>
    <xf numFmtId="164" fontId="258" fillId="61" borderId="99" xfId="4" applyNumberFormat="1" applyFont="1" applyFill="1" applyBorder="1"/>
    <xf numFmtId="0" fontId="0" fillId="0" borderId="62" xfId="0" applyFont="1" applyFill="1" applyBorder="1" applyAlignment="1" applyProtection="1">
      <alignment vertical="center"/>
      <protection locked="0"/>
    </xf>
    <xf numFmtId="164" fontId="258" fillId="0" borderId="64" xfId="4" applyNumberFormat="1" applyFont="1" applyFill="1" applyBorder="1" applyAlignment="1">
      <alignment horizontal="right"/>
    </xf>
    <xf numFmtId="164" fontId="258" fillId="0" borderId="62" xfId="4" applyNumberFormat="1" applyFont="1" applyBorder="1" applyAlignment="1"/>
    <xf numFmtId="331" fontId="258" fillId="0" borderId="94" xfId="0" applyNumberFormat="1" applyFont="1" applyFill="1" applyBorder="1" applyAlignment="1">
      <alignment horizontal="right"/>
    </xf>
    <xf numFmtId="331" fontId="258" fillId="0" borderId="94" xfId="0" applyNumberFormat="1" applyFont="1" applyFill="1" applyBorder="1" applyAlignment="1">
      <alignment horizontal="right" vertical="center"/>
    </xf>
    <xf numFmtId="331" fontId="258" fillId="0" borderId="67" xfId="0" applyNumberFormat="1" applyFont="1" applyFill="1" applyBorder="1" applyAlignment="1">
      <alignment horizontal="right" vertical="center"/>
    </xf>
    <xf numFmtId="331" fontId="258" fillId="0" borderId="99" xfId="0" applyNumberFormat="1" applyFont="1" applyFill="1" applyBorder="1" applyAlignment="1">
      <alignment horizontal="right" vertical="center"/>
    </xf>
    <xf numFmtId="164" fontId="258" fillId="0" borderId="94" xfId="4" applyNumberFormat="1" applyFont="1" applyFill="1" applyBorder="1" applyAlignment="1">
      <alignment horizontal="right"/>
    </xf>
    <xf numFmtId="164" fontId="258" fillId="0" borderId="94" xfId="4" applyNumberFormat="1" applyFont="1" applyFill="1" applyBorder="1" applyAlignment="1">
      <alignment horizontal="right" vertical="center"/>
    </xf>
    <xf numFmtId="164" fontId="258" fillId="0" borderId="67" xfId="4" applyNumberFormat="1" applyFont="1" applyFill="1" applyBorder="1" applyAlignment="1">
      <alignment horizontal="right" vertical="center"/>
    </xf>
    <xf numFmtId="164" fontId="258" fillId="0" borderId="99" xfId="4" applyNumberFormat="1" applyFont="1" applyFill="1" applyBorder="1" applyAlignment="1">
      <alignment horizontal="right" vertical="center"/>
    </xf>
    <xf numFmtId="3" fontId="258" fillId="0" borderId="101" xfId="0" applyNumberFormat="1" applyFont="1" applyBorder="1" applyAlignment="1"/>
    <xf numFmtId="3" fontId="258" fillId="0" borderId="54" xfId="0" applyNumberFormat="1" applyFont="1" applyBorder="1" applyAlignment="1"/>
    <xf numFmtId="331" fontId="258" fillId="0" borderId="89" xfId="0" applyNumberFormat="1" applyFont="1" applyFill="1" applyBorder="1" applyAlignment="1" applyProtection="1">
      <alignment horizontal="center"/>
      <protection locked="0"/>
    </xf>
    <xf numFmtId="164" fontId="258" fillId="0" borderId="100" xfId="4" applyNumberFormat="1" applyFont="1" applyBorder="1" applyAlignment="1"/>
    <xf numFmtId="164" fontId="258" fillId="0" borderId="3" xfId="4" applyNumberFormat="1" applyFont="1" applyBorder="1" applyAlignment="1"/>
    <xf numFmtId="164" fontId="258" fillId="0" borderId="64" xfId="4" applyNumberFormat="1" applyFont="1" applyBorder="1" applyAlignment="1"/>
    <xf numFmtId="164" fontId="258" fillId="0" borderId="38" xfId="4" applyNumberFormat="1" applyFont="1" applyFill="1" applyBorder="1" applyAlignment="1"/>
    <xf numFmtId="164" fontId="258" fillId="0" borderId="66" xfId="4" applyNumberFormat="1" applyFont="1" applyFill="1" applyBorder="1" applyAlignment="1"/>
    <xf numFmtId="5" fontId="252" fillId="61" borderId="115" xfId="1" applyNumberFormat="1" applyFont="1" applyFill="1" applyBorder="1"/>
    <xf numFmtId="0" fontId="0" fillId="0" borderId="21" xfId="0" applyFont="1" applyBorder="1" applyAlignment="1" applyProtection="1">
      <alignment readingOrder="1"/>
      <protection locked="0"/>
    </xf>
    <xf numFmtId="0" fontId="0" fillId="0" borderId="5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wrapText="1"/>
    </xf>
    <xf numFmtId="0" fontId="261" fillId="0" borderId="0" xfId="0" applyFont="1"/>
    <xf numFmtId="5" fontId="252" fillId="0" borderId="1" xfId="1" quotePrefix="1" applyNumberFormat="1" applyFont="1" applyFill="1" applyBorder="1"/>
    <xf numFmtId="164" fontId="252" fillId="0" borderId="115" xfId="1" applyNumberFormat="1" applyFont="1" applyFill="1" applyBorder="1"/>
    <xf numFmtId="5" fontId="252" fillId="0" borderId="1" xfId="0" applyNumberFormat="1" applyFont="1" applyFill="1" applyBorder="1"/>
    <xf numFmtId="164" fontId="8" fillId="0" borderId="0" xfId="0" applyNumberFormat="1" applyFont="1" applyAlignment="1">
      <alignment horizontal="right"/>
    </xf>
    <xf numFmtId="164" fontId="8" fillId="0" borderId="0" xfId="0" applyNumberFormat="1" applyFont="1"/>
    <xf numFmtId="164" fontId="244" fillId="0" borderId="0" xfId="4343" applyNumberFormat="1" applyFont="1"/>
    <xf numFmtId="164" fontId="252" fillId="0" borderId="0" xfId="0" applyNumberFormat="1" applyFont="1" applyAlignment="1">
      <alignment horizontal="center"/>
    </xf>
    <xf numFmtId="0" fontId="2" fillId="0" borderId="0" xfId="0" applyFont="1" applyFill="1" applyBorder="1" applyAlignment="1">
      <alignment horizontal="left"/>
    </xf>
    <xf numFmtId="0" fontId="254" fillId="0" borderId="0" xfId="0" applyFont="1"/>
    <xf numFmtId="5" fontId="2" fillId="53" borderId="1" xfId="1" applyNumberFormat="1" applyFont="1" applyFill="1" applyBorder="1" applyAlignment="1">
      <alignment horizontal="center"/>
    </xf>
    <xf numFmtId="5" fontId="2" fillId="53" borderId="50" xfId="1" applyNumberFormat="1" applyFont="1" applyFill="1" applyBorder="1"/>
    <xf numFmtId="5" fontId="2" fillId="53" borderId="1" xfId="1" applyNumberFormat="1" applyFont="1" applyFill="1" applyBorder="1"/>
    <xf numFmtId="9" fontId="2" fillId="53" borderId="1" xfId="2" applyFont="1" applyFill="1" applyBorder="1"/>
    <xf numFmtId="5" fontId="2" fillId="0" borderId="62" xfId="1" applyNumberFormat="1" applyFont="1" applyFill="1" applyBorder="1"/>
    <xf numFmtId="5" fontId="2" fillId="0" borderId="50" xfId="0" applyNumberFormat="1" applyFont="1" applyFill="1" applyBorder="1"/>
    <xf numFmtId="164" fontId="252" fillId="0" borderId="0" xfId="0" applyNumberFormat="1" applyFont="1"/>
    <xf numFmtId="5" fontId="2" fillId="53" borderId="149" xfId="1" applyNumberFormat="1" applyFont="1" applyFill="1" applyBorder="1"/>
    <xf numFmtId="5" fontId="2" fillId="53" borderId="0" xfId="1" applyNumberFormat="1" applyFont="1" applyFill="1" applyBorder="1" applyAlignment="1">
      <alignment horizontal="center"/>
    </xf>
    <xf numFmtId="9" fontId="2" fillId="62" borderId="0" xfId="2" applyFont="1" applyFill="1" applyBorder="1" applyAlignment="1">
      <alignment horizontal="center"/>
    </xf>
    <xf numFmtId="5" fontId="2" fillId="62" borderId="0" xfId="0" applyNumberFormat="1" applyFont="1" applyFill="1"/>
    <xf numFmtId="0" fontId="284" fillId="54" borderId="0" xfId="0" applyFont="1" applyFill="1" applyAlignment="1">
      <alignment horizontal="left" vertical="center"/>
    </xf>
    <xf numFmtId="0" fontId="284" fillId="54" borderId="0" xfId="0" applyFont="1" applyFill="1"/>
    <xf numFmtId="9" fontId="252" fillId="53" borderId="0" xfId="2" applyFont="1" applyFill="1" applyBorder="1"/>
    <xf numFmtId="0" fontId="14" fillId="0" borderId="0" xfId="0" applyFont="1" applyFill="1" applyAlignment="1" applyProtection="1">
      <alignment readingOrder="1"/>
      <protection locked="0"/>
    </xf>
    <xf numFmtId="331" fontId="0" fillId="0" borderId="0" xfId="0" applyNumberFormat="1" applyFont="1"/>
    <xf numFmtId="0" fontId="0" fillId="0" borderId="38"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protection locked="0"/>
    </xf>
    <xf numFmtId="0" fontId="0" fillId="0" borderId="62" xfId="0" applyFont="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331" fontId="8" fillId="0" borderId="109" xfId="4339" applyNumberFormat="1" applyFont="1" applyFill="1" applyBorder="1"/>
    <xf numFmtId="0" fontId="15" fillId="58" borderId="93" xfId="0" applyFont="1" applyFill="1" applyBorder="1" applyAlignment="1">
      <alignment horizontal="center" wrapText="1"/>
    </xf>
    <xf numFmtId="164" fontId="0" fillId="0" borderId="142" xfId="0" applyNumberFormat="1" applyFont="1" applyBorder="1"/>
    <xf numFmtId="331" fontId="0" fillId="61" borderId="142" xfId="4339" applyNumberFormat="1" applyFont="1" applyFill="1" applyBorder="1"/>
    <xf numFmtId="37" fontId="0" fillId="0" borderId="110" xfId="0" applyNumberFormat="1" applyFont="1" applyBorder="1"/>
    <xf numFmtId="164" fontId="0" fillId="0" borderId="93" xfId="0" applyNumberFormat="1" applyFont="1" applyBorder="1"/>
    <xf numFmtId="164" fontId="0" fillId="0" borderId="67" xfId="0" applyNumberFormat="1" applyFont="1" applyFill="1" applyBorder="1"/>
    <xf numFmtId="164" fontId="0" fillId="0" borderId="74" xfId="0" applyNumberFormat="1" applyFont="1" applyFill="1" applyBorder="1"/>
    <xf numFmtId="164" fontId="0" fillId="0" borderId="142" xfId="0" applyNumberFormat="1" applyFont="1" applyFill="1" applyBorder="1"/>
    <xf numFmtId="164" fontId="0" fillId="0" borderId="55" xfId="0" applyNumberFormat="1" applyFont="1" applyFill="1" applyBorder="1"/>
    <xf numFmtId="164" fontId="0" fillId="0" borderId="110" xfId="0" applyNumberFormat="1" applyFont="1" applyFill="1" applyBorder="1"/>
    <xf numFmtId="164" fontId="0" fillId="0" borderId="71" xfId="0" applyNumberFormat="1" applyFont="1" applyFill="1" applyBorder="1"/>
    <xf numFmtId="164" fontId="8" fillId="0" borderId="0" xfId="4340" applyNumberFormat="1" applyFont="1"/>
    <xf numFmtId="190" fontId="0" fillId="53" borderId="114" xfId="2" applyNumberFormat="1" applyFont="1" applyFill="1" applyBorder="1"/>
    <xf numFmtId="0" fontId="0" fillId="54" borderId="65" xfId="0" applyFill="1" applyBorder="1"/>
    <xf numFmtId="0" fontId="0" fillId="54" borderId="66" xfId="0" applyFill="1" applyBorder="1"/>
    <xf numFmtId="0" fontId="189" fillId="54" borderId="65" xfId="0" applyFont="1" applyFill="1" applyBorder="1"/>
    <xf numFmtId="0" fontId="0" fillId="0" borderId="62" xfId="0" applyBorder="1" applyAlignment="1">
      <alignment horizontal="right"/>
    </xf>
    <xf numFmtId="0" fontId="285" fillId="0" borderId="62" xfId="0" applyFont="1" applyFill="1" applyBorder="1" applyAlignment="1">
      <alignment horizontal="left" vertical="center" wrapText="1" readingOrder="1"/>
    </xf>
    <xf numFmtId="0" fontId="286" fillId="0" borderId="62" xfId="0" applyFont="1" applyFill="1" applyBorder="1" applyAlignment="1">
      <alignment horizontal="left" vertical="center" wrapText="1" readingOrder="1"/>
    </xf>
    <xf numFmtId="5" fontId="0" fillId="0" borderId="62" xfId="0" applyNumberFormat="1" applyBorder="1"/>
    <xf numFmtId="5" fontId="254" fillId="0" borderId="0" xfId="1" applyNumberFormat="1" applyFont="1" applyFill="1" applyBorder="1"/>
    <xf numFmtId="5" fontId="254" fillId="53" borderId="1" xfId="1" applyNumberFormat="1" applyFont="1" applyFill="1" applyBorder="1" applyAlignment="1">
      <alignment horizontal="center"/>
    </xf>
    <xf numFmtId="0" fontId="254" fillId="0" borderId="0" xfId="0" applyFont="1" applyAlignment="1">
      <alignment horizontal="right"/>
    </xf>
    <xf numFmtId="0" fontId="252" fillId="0" borderId="0" xfId="0" applyFont="1" applyBorder="1"/>
    <xf numFmtId="0" fontId="0" fillId="0" borderId="62" xfId="0" applyFill="1" applyBorder="1" applyAlignment="1">
      <alignment horizontal="center"/>
    </xf>
    <xf numFmtId="164" fontId="252" fillId="53" borderId="66" xfId="1" applyNumberFormat="1" applyFont="1" applyFill="1" applyBorder="1"/>
    <xf numFmtId="5" fontId="262" fillId="63" borderId="62" xfId="0" applyNumberFormat="1" applyFont="1" applyFill="1" applyBorder="1"/>
    <xf numFmtId="9" fontId="254" fillId="0" borderId="50" xfId="2" applyFont="1" applyBorder="1"/>
    <xf numFmtId="259" fontId="0" fillId="0" borderId="62" xfId="2" applyNumberFormat="1" applyFont="1" applyBorder="1" applyAlignment="1">
      <alignment horizontal="center"/>
    </xf>
    <xf numFmtId="0" fontId="0" fillId="57" borderId="150" xfId="0" applyFont="1" applyFill="1" applyBorder="1" applyAlignment="1">
      <alignment horizontal="center" vertical="center"/>
    </xf>
    <xf numFmtId="0" fontId="12" fillId="55" borderId="65" xfId="0" applyFont="1" applyFill="1" applyBorder="1" applyAlignment="1">
      <alignment horizontal="left"/>
    </xf>
    <xf numFmtId="0" fontId="12" fillId="55" borderId="64" xfId="0" applyFont="1" applyFill="1" applyBorder="1" applyAlignment="1">
      <alignment horizontal="left"/>
    </xf>
    <xf numFmtId="332" fontId="8" fillId="0" borderId="66" xfId="0" applyNumberFormat="1" applyFont="1" applyFill="1" applyBorder="1" applyAlignment="1">
      <alignment horizontal="center" vertical="center"/>
    </xf>
    <xf numFmtId="332" fontId="0" fillId="0" borderId="66" xfId="4" applyNumberFormat="1" applyFont="1" applyFill="1" applyBorder="1"/>
    <xf numFmtId="332" fontId="0" fillId="0" borderId="66" xfId="0" applyNumberFormat="1" applyFont="1" applyFill="1" applyBorder="1"/>
    <xf numFmtId="333" fontId="0" fillId="0" borderId="66" xfId="0" applyNumberFormat="1" applyFont="1" applyFill="1" applyBorder="1"/>
    <xf numFmtId="330" fontId="0" fillId="0" borderId="66" xfId="4" applyNumberFormat="1" applyFont="1" applyFill="1" applyBorder="1"/>
    <xf numFmtId="330" fontId="8" fillId="0" borderId="66" xfId="4" applyNumberFormat="1" applyFont="1" applyFill="1" applyBorder="1" applyAlignment="1">
      <alignment horizontal="center" vertical="center"/>
    </xf>
    <xf numFmtId="330" fontId="8" fillId="0" borderId="101" xfId="4" applyNumberFormat="1" applyFont="1" applyFill="1" applyBorder="1" applyAlignment="1">
      <alignment horizontal="center"/>
    </xf>
    <xf numFmtId="330" fontId="0" fillId="0" borderId="136" xfId="0" applyNumberFormat="1" applyFont="1" applyFill="1" applyBorder="1"/>
    <xf numFmtId="330" fontId="0" fillId="0" borderId="123" xfId="0" applyNumberFormat="1" applyFont="1" applyFill="1" applyBorder="1"/>
    <xf numFmtId="330" fontId="0" fillId="0" borderId="128" xfId="0" applyNumberFormat="1" applyFont="1" applyFill="1" applyBorder="1"/>
    <xf numFmtId="330" fontId="0" fillId="0" borderId="116" xfId="0" applyNumberFormat="1" applyFont="1" applyFill="1" applyBorder="1"/>
    <xf numFmtId="330" fontId="0" fillId="0" borderId="127" xfId="0" applyNumberFormat="1" applyFont="1" applyFill="1" applyBorder="1" applyAlignment="1">
      <alignment horizontal="right"/>
    </xf>
    <xf numFmtId="330" fontId="0" fillId="0" borderId="115" xfId="0" applyNumberFormat="1" applyFont="1" applyFill="1" applyBorder="1" applyAlignment="1">
      <alignment horizontal="right"/>
    </xf>
    <xf numFmtId="330" fontId="0" fillId="0" borderId="66" xfId="0" applyNumberFormat="1" applyFont="1" applyFill="1" applyBorder="1"/>
    <xf numFmtId="331" fontId="0" fillId="0" borderId="62" xfId="0" applyNumberFormat="1" applyFont="1" applyFill="1" applyBorder="1"/>
    <xf numFmtId="0" fontId="258" fillId="0" borderId="64" xfId="0" applyFont="1" applyBorder="1" applyAlignment="1" applyProtection="1">
      <alignment horizontal="center"/>
      <protection locked="0"/>
    </xf>
    <xf numFmtId="0" fontId="258" fillId="0" borderId="84" xfId="0" applyFont="1" applyBorder="1" applyAlignment="1" applyProtection="1">
      <alignment horizontal="center"/>
      <protection locked="0"/>
    </xf>
    <xf numFmtId="0" fontId="258" fillId="0" borderId="3" xfId="0" applyFont="1" applyBorder="1" applyAlignment="1" applyProtection="1">
      <alignment horizontal="center"/>
      <protection locked="0"/>
    </xf>
    <xf numFmtId="0" fontId="8" fillId="0" borderId="64" xfId="0" applyFont="1" applyFill="1" applyBorder="1" applyAlignment="1" applyProtection="1">
      <alignment horizontal="center"/>
      <protection locked="0"/>
    </xf>
    <xf numFmtId="0" fontId="8" fillId="0" borderId="64" xfId="0" applyFont="1" applyBorder="1" applyAlignment="1" applyProtection="1">
      <alignment horizontal="center"/>
      <protection locked="0"/>
    </xf>
    <xf numFmtId="164" fontId="0" fillId="0" borderId="131" xfId="4" applyNumberFormat="1" applyFont="1" applyFill="1" applyBorder="1" applyAlignment="1">
      <alignment horizontal="right"/>
    </xf>
    <xf numFmtId="164" fontId="0" fillId="0" borderId="127" xfId="4" applyNumberFormat="1" applyFont="1" applyFill="1" applyBorder="1" applyAlignment="1">
      <alignment horizontal="right"/>
    </xf>
    <xf numFmtId="164" fontId="0" fillId="0" borderId="145" xfId="4" applyNumberFormat="1" applyFont="1" applyFill="1" applyBorder="1" applyAlignment="1">
      <alignment horizontal="right"/>
    </xf>
    <xf numFmtId="164" fontId="0" fillId="0" borderId="127" xfId="4" applyNumberFormat="1" applyFont="1" applyBorder="1" applyAlignment="1"/>
    <xf numFmtId="164" fontId="0" fillId="0" borderId="127" xfId="4" applyNumberFormat="1" applyFont="1" applyFill="1" applyBorder="1" applyAlignment="1">
      <alignment horizontal="center" vertical="center"/>
    </xf>
    <xf numFmtId="164" fontId="0" fillId="0" borderId="145" xfId="4" applyNumberFormat="1" applyFont="1" applyFill="1" applyBorder="1" applyAlignment="1">
      <alignment horizontal="center" vertical="center"/>
    </xf>
    <xf numFmtId="331" fontId="0" fillId="0" borderId="131" xfId="0" applyNumberFormat="1" applyFont="1" applyFill="1" applyBorder="1" applyAlignment="1">
      <alignment horizontal="right"/>
    </xf>
    <xf numFmtId="331" fontId="0" fillId="0" borderId="127" xfId="0" applyNumberFormat="1" applyFont="1" applyFill="1" applyBorder="1" applyAlignment="1">
      <alignment horizontal="right"/>
    </xf>
    <xf numFmtId="331" fontId="0" fillId="0" borderId="145" xfId="0" applyNumberFormat="1" applyFont="1" applyFill="1" applyBorder="1" applyAlignment="1">
      <alignment horizontal="right"/>
    </xf>
    <xf numFmtId="331" fontId="0" fillId="0" borderId="127" xfId="0" applyNumberFormat="1" applyFont="1" applyBorder="1" applyAlignment="1"/>
    <xf numFmtId="331" fontId="0" fillId="0" borderId="127" xfId="0" applyNumberFormat="1" applyFont="1" applyFill="1" applyBorder="1" applyAlignment="1">
      <alignment horizontal="center" vertical="center"/>
    </xf>
    <xf numFmtId="331" fontId="0" fillId="0" borderId="127" xfId="0" applyNumberFormat="1" applyFont="1" applyFill="1" applyBorder="1" applyAlignment="1">
      <alignment horizontal="left" vertical="center"/>
    </xf>
    <xf numFmtId="331" fontId="0" fillId="0" borderId="145" xfId="0" applyNumberFormat="1" applyFont="1" applyFill="1" applyBorder="1" applyAlignment="1">
      <alignment horizontal="center" vertical="center"/>
    </xf>
    <xf numFmtId="331" fontId="0" fillId="0" borderId="132" xfId="0" applyNumberFormat="1" applyFont="1" applyFill="1" applyBorder="1" applyAlignment="1">
      <alignment horizontal="center" vertical="center"/>
    </xf>
    <xf numFmtId="0" fontId="0" fillId="0" borderId="21" xfId="0" applyFont="1" applyBorder="1" applyAlignment="1" applyProtection="1">
      <alignment horizontal="center" vertical="center"/>
      <protection locked="0"/>
    </xf>
    <xf numFmtId="0" fontId="8" fillId="0" borderId="21" xfId="0" applyFont="1" applyBorder="1" applyAlignment="1" applyProtection="1">
      <alignment vertical="center"/>
      <protection locked="0"/>
    </xf>
    <xf numFmtId="0" fontId="15" fillId="58" borderId="152" xfId="0" applyFont="1" applyFill="1" applyBorder="1" applyAlignment="1">
      <alignment horizontal="center"/>
    </xf>
    <xf numFmtId="0" fontId="15" fillId="58" borderId="141" xfId="0" applyFont="1" applyFill="1" applyBorder="1" applyAlignment="1">
      <alignment horizontal="center"/>
    </xf>
    <xf numFmtId="0" fontId="15" fillId="58" borderId="142" xfId="0" applyFont="1" applyFill="1" applyBorder="1" applyAlignment="1">
      <alignment horizontal="center"/>
    </xf>
    <xf numFmtId="0" fontId="15" fillId="58" borderId="143" xfId="0" applyFont="1" applyFill="1" applyBorder="1" applyAlignment="1">
      <alignment horizontal="center" wrapText="1"/>
    </xf>
    <xf numFmtId="0" fontId="0" fillId="0" borderId="80" xfId="0" applyFont="1" applyBorder="1" applyAlignment="1">
      <alignment horizontal="left" indent="1"/>
    </xf>
    <xf numFmtId="0" fontId="0" fillId="0" borderId="148" xfId="0" applyFont="1" applyBorder="1" applyAlignment="1"/>
    <xf numFmtId="5" fontId="252" fillId="53" borderId="1" xfId="1" applyNumberFormat="1" applyFont="1" applyFill="1" applyBorder="1"/>
    <xf numFmtId="0" fontId="264" fillId="0" borderId="0" xfId="0" applyFont="1" applyAlignment="1">
      <alignment horizontal="right"/>
    </xf>
    <xf numFmtId="331" fontId="0" fillId="0" borderId="92" xfId="4339" applyNumberFormat="1" applyFont="1" applyFill="1" applyBorder="1"/>
    <xf numFmtId="9" fontId="0" fillId="0" borderId="0" xfId="4342" applyFont="1" applyFill="1"/>
    <xf numFmtId="0" fontId="13" fillId="0" borderId="0" xfId="0" applyFont="1" applyAlignment="1"/>
    <xf numFmtId="0" fontId="289" fillId="0" borderId="0" xfId="0" applyFont="1" applyAlignment="1"/>
    <xf numFmtId="331" fontId="244" fillId="0" borderId="109" xfId="4339" applyNumberFormat="1" applyFont="1" applyFill="1" applyBorder="1"/>
    <xf numFmtId="0" fontId="290" fillId="0" borderId="0" xfId="0" applyFont="1"/>
    <xf numFmtId="0" fontId="287" fillId="0" borderId="0" xfId="0" applyFont="1"/>
    <xf numFmtId="37" fontId="0" fillId="0" borderId="0" xfId="0" applyNumberFormat="1" applyFont="1" applyFill="1" applyBorder="1"/>
    <xf numFmtId="3" fontId="0" fillId="0" borderId="0" xfId="0" applyNumberFormat="1" applyFont="1" applyBorder="1" applyAlignment="1">
      <alignment horizontal="center"/>
    </xf>
    <xf numFmtId="164" fontId="291" fillId="0" borderId="0" xfId="1" applyNumberFormat="1" applyFont="1" applyFill="1" applyBorder="1"/>
    <xf numFmtId="9" fontId="291" fillId="0" borderId="0" xfId="2" applyFont="1" applyFill="1" applyBorder="1"/>
    <xf numFmtId="164" fontId="291" fillId="0" borderId="0" xfId="1" applyNumberFormat="1" applyFont="1" applyFill="1" applyBorder="1" applyAlignment="1">
      <alignment horizontal="right"/>
    </xf>
    <xf numFmtId="164" fontId="291" fillId="0" borderId="0" xfId="1" applyNumberFormat="1" applyFont="1" applyFill="1" applyBorder="1" applyAlignment="1">
      <alignment horizontal="left"/>
    </xf>
    <xf numFmtId="0" fontId="0" fillId="62" borderId="0" xfId="0" applyFill="1" applyBorder="1"/>
    <xf numFmtId="0" fontId="0" fillId="53" borderId="0" xfId="0" applyFill="1" applyBorder="1"/>
    <xf numFmtId="5" fontId="254" fillId="53" borderId="115" xfId="1" applyNumberFormat="1" applyFont="1" applyFill="1" applyBorder="1"/>
    <xf numFmtId="5" fontId="252" fillId="53" borderId="115" xfId="1" applyNumberFormat="1" applyFont="1" applyFill="1" applyBorder="1"/>
    <xf numFmtId="190" fontId="262" fillId="0" borderId="0" xfId="2" quotePrefix="1" applyNumberFormat="1" applyFont="1"/>
    <xf numFmtId="0" fontId="0" fillId="54" borderId="0" xfId="0" applyFont="1" applyFill="1"/>
    <xf numFmtId="331" fontId="0" fillId="0" borderId="0" xfId="4339" applyNumberFormat="1" applyFont="1"/>
    <xf numFmtId="0" fontId="252" fillId="0" borderId="87" xfId="0" applyFont="1" applyBorder="1" applyAlignment="1">
      <alignment horizontal="center"/>
    </xf>
    <xf numFmtId="190" fontId="173" fillId="0" borderId="0" xfId="2" applyNumberFormat="1" applyFont="1"/>
    <xf numFmtId="0" fontId="255" fillId="55" borderId="66" xfId="0" applyFont="1" applyFill="1" applyBorder="1" applyAlignment="1">
      <alignment horizontal="center" vertical="center"/>
    </xf>
    <xf numFmtId="9" fontId="12" fillId="0" borderId="0" xfId="2" applyFont="1" applyAlignment="1">
      <alignment horizontal="center"/>
    </xf>
    <xf numFmtId="0" fontId="12" fillId="0" borderId="0" xfId="0" applyFont="1" applyAlignment="1">
      <alignment horizontal="center"/>
    </xf>
    <xf numFmtId="0" fontId="252" fillId="0" borderId="0" xfId="0" applyFont="1" applyBorder="1" applyAlignment="1">
      <alignment horizontal="center"/>
    </xf>
    <xf numFmtId="10" fontId="244" fillId="0" borderId="0" xfId="2" applyNumberFormat="1" applyFont="1"/>
    <xf numFmtId="10" fontId="252" fillId="0" borderId="0" xfId="2" quotePrefix="1" applyNumberFormat="1" applyFont="1"/>
    <xf numFmtId="190" fontId="252" fillId="0" borderId="0" xfId="2" quotePrefix="1" applyNumberFormat="1" applyFont="1"/>
    <xf numFmtId="9" fontId="252" fillId="0" borderId="0" xfId="2" quotePrefix="1" applyFont="1"/>
    <xf numFmtId="164" fontId="252" fillId="0" borderId="65" xfId="1" applyNumberFormat="1" applyFont="1" applyBorder="1"/>
    <xf numFmtId="5" fontId="254" fillId="0" borderId="0" xfId="0" applyNumberFormat="1" applyFont="1"/>
    <xf numFmtId="190" fontId="254" fillId="0" borderId="0" xfId="2" applyNumberFormat="1" applyFont="1"/>
    <xf numFmtId="9" fontId="254" fillId="0" borderId="0" xfId="2" applyFont="1"/>
    <xf numFmtId="5" fontId="245" fillId="0" borderId="62" xfId="1" applyNumberFormat="1" applyFont="1" applyFill="1" applyBorder="1"/>
    <xf numFmtId="5" fontId="252" fillId="53" borderId="50" xfId="1" applyNumberFormat="1" applyFont="1" applyFill="1" applyBorder="1"/>
    <xf numFmtId="331" fontId="258" fillId="0" borderId="89" xfId="4339" applyNumberFormat="1" applyFont="1" applyFill="1" applyBorder="1"/>
    <xf numFmtId="3" fontId="258" fillId="0" borderId="21" xfId="0" applyNumberFormat="1" applyFont="1" applyBorder="1" applyAlignment="1"/>
    <xf numFmtId="331" fontId="258" fillId="0" borderId="62" xfId="0" applyNumberFormat="1" applyFont="1" applyFill="1" applyBorder="1" applyAlignment="1" applyProtection="1">
      <alignment horizontal="center"/>
      <protection locked="0"/>
    </xf>
    <xf numFmtId="0" fontId="15" fillId="60" borderId="79" xfId="0" applyFont="1" applyFill="1" applyBorder="1" applyAlignment="1" applyProtection="1">
      <alignment horizontal="center"/>
      <protection locked="0"/>
    </xf>
    <xf numFmtId="164" fontId="0" fillId="0" borderId="55" xfId="0" applyNumberFormat="1" applyFont="1" applyBorder="1"/>
    <xf numFmtId="331" fontId="258" fillId="0" borderId="61" xfId="0" applyNumberFormat="1" applyFont="1" applyFill="1" applyBorder="1" applyAlignment="1">
      <alignment horizontal="right"/>
    </xf>
    <xf numFmtId="164" fontId="0" fillId="0" borderId="80" xfId="4" applyNumberFormat="1" applyFont="1" applyFill="1" applyBorder="1" applyAlignment="1">
      <alignment horizontal="right"/>
    </xf>
    <xf numFmtId="164" fontId="0" fillId="0" borderId="67" xfId="4" applyNumberFormat="1" applyFont="1" applyFill="1" applyBorder="1" applyAlignment="1">
      <alignment horizontal="right" vertical="center"/>
    </xf>
    <xf numFmtId="0" fontId="0" fillId="0" borderId="62" xfId="0" applyBorder="1" applyAlignment="1" applyProtection="1">
      <alignment horizontal="center" vertical="center"/>
      <protection locked="0"/>
    </xf>
    <xf numFmtId="0" fontId="292" fillId="0" borderId="62" xfId="0" applyFont="1" applyBorder="1" applyAlignment="1" applyProtection="1">
      <alignment horizontal="center" vertical="center"/>
      <protection locked="0"/>
    </xf>
    <xf numFmtId="331" fontId="8" fillId="0" borderId="67" xfId="0" applyNumberFormat="1" applyFont="1" applyFill="1" applyBorder="1" applyAlignment="1">
      <alignment horizontal="right"/>
    </xf>
    <xf numFmtId="0" fontId="1" fillId="0" borderId="117" xfId="0" applyFont="1" applyFill="1" applyBorder="1" applyAlignment="1">
      <alignment horizontal="center" vertical="center"/>
    </xf>
    <xf numFmtId="164" fontId="0" fillId="65" borderId="111" xfId="4" applyNumberFormat="1" applyFont="1" applyFill="1" applyBorder="1"/>
    <xf numFmtId="164" fontId="0" fillId="0" borderId="64" xfId="4" applyNumberFormat="1" applyFont="1" applyFill="1" applyBorder="1"/>
    <xf numFmtId="164" fontId="0" fillId="0" borderId="84" xfId="4" applyNumberFormat="1" applyFont="1" applyFill="1" applyBorder="1"/>
    <xf numFmtId="164" fontId="0" fillId="0" borderId="3" xfId="4" applyNumberFormat="1" applyFont="1" applyFill="1" applyBorder="1"/>
    <xf numFmtId="331" fontId="8" fillId="0" borderId="65" xfId="4339" applyNumberFormat="1" applyFont="1" applyFill="1" applyBorder="1"/>
    <xf numFmtId="331" fontId="8" fillId="0" borderId="103" xfId="4339" applyNumberFormat="1" applyFont="1" applyFill="1" applyBorder="1"/>
    <xf numFmtId="331" fontId="8" fillId="0" borderId="4" xfId="4339" applyNumberFormat="1" applyFont="1" applyFill="1" applyBorder="1"/>
    <xf numFmtId="331" fontId="244" fillId="0" borderId="64" xfId="0" applyNumberFormat="1" applyFont="1" applyFill="1" applyBorder="1" applyAlignment="1">
      <alignment horizontal="right"/>
    </xf>
    <xf numFmtId="331" fontId="244" fillId="0" borderId="84" xfId="0" applyNumberFormat="1" applyFont="1" applyFill="1" applyBorder="1" applyAlignment="1">
      <alignment horizontal="right"/>
    </xf>
    <xf numFmtId="331" fontId="8" fillId="0" borderId="87" xfId="4339" applyNumberFormat="1" applyFont="1" applyFill="1" applyBorder="1"/>
    <xf numFmtId="331" fontId="258" fillId="0" borderId="87" xfId="4339" applyNumberFormat="1" applyFont="1" applyFill="1" applyBorder="1"/>
    <xf numFmtId="331" fontId="244" fillId="0" borderId="65" xfId="4339" applyNumberFormat="1" applyFont="1" applyFill="1" applyBorder="1"/>
    <xf numFmtId="331" fontId="244" fillId="0" borderId="103" xfId="4339" applyNumberFormat="1" applyFont="1" applyFill="1" applyBorder="1"/>
    <xf numFmtId="331" fontId="244" fillId="0" borderId="87" xfId="4339" applyNumberFormat="1" applyFont="1" applyFill="1" applyBorder="1"/>
    <xf numFmtId="331" fontId="8" fillId="0" borderId="80" xfId="4339" applyNumberFormat="1" applyFont="1" applyFill="1" applyBorder="1"/>
    <xf numFmtId="331" fontId="0" fillId="0" borderId="77" xfId="4339" applyNumberFormat="1" applyFont="1" applyFill="1" applyBorder="1"/>
    <xf numFmtId="0" fontId="15" fillId="60" borderId="84" xfId="0" applyFont="1" applyFill="1" applyBorder="1" applyAlignment="1" applyProtection="1">
      <alignment horizontal="center"/>
      <protection locked="0"/>
    </xf>
    <xf numFmtId="331" fontId="8" fillId="65" borderId="77" xfId="4339" applyNumberFormat="1" applyFont="1" applyFill="1" applyBorder="1"/>
    <xf numFmtId="331" fontId="258" fillId="65" borderId="70" xfId="4339" applyNumberFormat="1" applyFont="1" applyFill="1" applyBorder="1"/>
    <xf numFmtId="331" fontId="258" fillId="65" borderId="72" xfId="4339" applyNumberFormat="1" applyFont="1" applyFill="1" applyBorder="1"/>
    <xf numFmtId="331" fontId="258" fillId="0" borderId="96" xfId="4339" applyNumberFormat="1" applyFont="1" applyFill="1" applyBorder="1"/>
    <xf numFmtId="331" fontId="258" fillId="0" borderId="91" xfId="4339" applyNumberFormat="1" applyFont="1" applyFill="1" applyBorder="1"/>
    <xf numFmtId="331" fontId="258" fillId="0" borderId="141" xfId="4339" applyNumberFormat="1" applyFont="1" applyFill="1" applyBorder="1"/>
    <xf numFmtId="331" fontId="258" fillId="0" borderId="67" xfId="0" applyNumberFormat="1" applyFont="1" applyFill="1" applyBorder="1" applyAlignment="1">
      <alignment horizontal="right"/>
    </xf>
    <xf numFmtId="331" fontId="0" fillId="0" borderId="141" xfId="4339" applyNumberFormat="1" applyFont="1" applyFill="1" applyBorder="1"/>
    <xf numFmtId="331" fontId="0" fillId="0" borderId="70" xfId="4339" applyNumberFormat="1" applyFont="1" applyBorder="1"/>
    <xf numFmtId="331" fontId="0" fillId="0" borderId="72" xfId="4339" applyNumberFormat="1" applyFont="1" applyFill="1" applyBorder="1"/>
    <xf numFmtId="331" fontId="258" fillId="0" borderId="97" xfId="4339" applyNumberFormat="1" applyFont="1" applyFill="1" applyBorder="1"/>
    <xf numFmtId="331" fontId="258" fillId="0" borderId="60" xfId="4339" applyNumberFormat="1" applyFont="1" applyFill="1" applyBorder="1"/>
    <xf numFmtId="331" fontId="258" fillId="0" borderId="61" xfId="4339" applyNumberFormat="1" applyFont="1" applyFill="1" applyBorder="1"/>
    <xf numFmtId="331" fontId="258" fillId="0" borderId="60" xfId="0" applyNumberFormat="1" applyFont="1" applyFill="1" applyBorder="1" applyAlignment="1">
      <alignment horizontal="right"/>
    </xf>
    <xf numFmtId="331" fontId="258" fillId="0" borderId="91" xfId="0" applyNumberFormat="1" applyFont="1" applyFill="1" applyBorder="1" applyAlignment="1">
      <alignment horizontal="right"/>
    </xf>
    <xf numFmtId="331" fontId="258" fillId="0" borderId="97" xfId="0" applyNumberFormat="1" applyFont="1" applyFill="1" applyBorder="1" applyAlignment="1">
      <alignment horizontal="right"/>
    </xf>
    <xf numFmtId="331" fontId="258" fillId="0" borderId="99" xfId="0" applyNumberFormat="1" applyFont="1" applyFill="1" applyBorder="1" applyAlignment="1">
      <alignment horizontal="right"/>
    </xf>
    <xf numFmtId="331" fontId="0" fillId="0" borderId="60" xfId="4339" applyNumberFormat="1" applyFont="1" applyFill="1" applyBorder="1"/>
    <xf numFmtId="331" fontId="244" fillId="0" borderId="61" xfId="4339" applyNumberFormat="1" applyFont="1" applyFill="1" applyBorder="1"/>
    <xf numFmtId="0" fontId="258" fillId="0" borderId="58" xfId="0" applyFont="1" applyBorder="1"/>
    <xf numFmtId="164" fontId="258" fillId="65" borderId="70" xfId="4" applyNumberFormat="1" applyFont="1" applyFill="1" applyBorder="1"/>
    <xf numFmtId="164" fontId="258" fillId="65" borderId="71" xfId="4" applyNumberFormat="1" applyFont="1" applyFill="1" applyBorder="1"/>
    <xf numFmtId="164" fontId="258" fillId="0" borderId="96" xfId="4" applyNumberFormat="1" applyFont="1" applyFill="1" applyBorder="1"/>
    <xf numFmtId="164" fontId="258" fillId="0" borderId="91" xfId="4" applyNumberFormat="1" applyFont="1" applyFill="1" applyBorder="1"/>
    <xf numFmtId="164" fontId="258" fillId="0" borderId="60" xfId="4" applyNumberFormat="1" applyFont="1" applyFill="1" applyBorder="1"/>
    <xf numFmtId="164" fontId="258" fillId="0" borderId="97" xfId="4" applyNumberFormat="1" applyFont="1" applyFill="1" applyBorder="1"/>
    <xf numFmtId="331" fontId="8" fillId="0" borderId="58" xfId="0" applyNumberFormat="1" applyFont="1" applyBorder="1" applyAlignment="1">
      <alignment horizontal="right"/>
    </xf>
    <xf numFmtId="164" fontId="0" fillId="65" borderId="55" xfId="4" applyNumberFormat="1" applyFont="1" applyFill="1" applyBorder="1"/>
    <xf numFmtId="164" fontId="0" fillId="65" borderId="38" xfId="4" applyNumberFormat="1" applyFont="1" applyFill="1" applyBorder="1"/>
    <xf numFmtId="164" fontId="0" fillId="65" borderId="56" xfId="4" applyNumberFormat="1" applyFont="1" applyFill="1" applyBorder="1"/>
    <xf numFmtId="164" fontId="0" fillId="0" borderId="96" xfId="4" applyNumberFormat="1" applyFont="1" applyFill="1" applyBorder="1"/>
    <xf numFmtId="164" fontId="0" fillId="0" borderId="91" xfId="4" applyNumberFormat="1" applyFont="1" applyFill="1" applyBorder="1"/>
    <xf numFmtId="164" fontId="0" fillId="0" borderId="141" xfId="4" applyNumberFormat="1" applyFont="1" applyFill="1" applyBorder="1"/>
    <xf numFmtId="331" fontId="8" fillId="0" borderId="70" xfId="0" applyNumberFormat="1" applyFont="1" applyBorder="1" applyAlignment="1">
      <alignment horizontal="right"/>
    </xf>
    <xf numFmtId="164" fontId="258" fillId="0" borderId="3" xfId="4" applyNumberFormat="1" applyFont="1" applyFill="1" applyBorder="1" applyAlignment="1">
      <alignment horizontal="right"/>
    </xf>
    <xf numFmtId="164" fontId="258" fillId="0" borderId="84" xfId="4" applyNumberFormat="1" applyFont="1" applyFill="1" applyBorder="1" applyAlignment="1">
      <alignment horizontal="right"/>
    </xf>
    <xf numFmtId="0" fontId="15" fillId="60" borderId="67" xfId="0" applyFont="1" applyFill="1" applyBorder="1" applyAlignment="1" applyProtection="1">
      <alignment horizontal="center"/>
      <protection locked="0"/>
    </xf>
    <xf numFmtId="0" fontId="15" fillId="60" borderId="63" xfId="0" applyFont="1" applyFill="1" applyBorder="1" applyAlignment="1" applyProtection="1">
      <alignment horizontal="center"/>
      <protection locked="0"/>
    </xf>
    <xf numFmtId="164" fontId="258" fillId="0" borderId="100" xfId="4" applyNumberFormat="1" applyFont="1" applyFill="1" applyBorder="1" applyAlignment="1">
      <alignment horizontal="right"/>
    </xf>
    <xf numFmtId="164" fontId="258" fillId="0" borderId="93" xfId="4" applyNumberFormat="1" applyFont="1" applyFill="1" applyBorder="1" applyAlignment="1">
      <alignment horizontal="right"/>
    </xf>
    <xf numFmtId="164" fontId="258" fillId="0" borderId="98" xfId="4" applyNumberFormat="1" applyFont="1" applyFill="1" applyBorder="1" applyAlignment="1">
      <alignment horizontal="center" vertical="center"/>
    </xf>
    <xf numFmtId="164" fontId="258" fillId="0" borderId="87" xfId="4" applyNumberFormat="1" applyFont="1" applyFill="1" applyBorder="1" applyAlignment="1">
      <alignment horizontal="center" vertical="center"/>
    </xf>
    <xf numFmtId="164" fontId="258" fillId="0" borderId="67" xfId="4" applyNumberFormat="1" applyFont="1" applyFill="1" applyBorder="1" applyAlignment="1">
      <alignment horizontal="center" vertical="center"/>
    </xf>
    <xf numFmtId="0" fontId="281" fillId="60" borderId="67"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4" xfId="4" applyNumberFormat="1" applyFont="1" applyFill="1" applyBorder="1" applyAlignment="1">
      <alignment horizontal="right"/>
    </xf>
    <xf numFmtId="0" fontId="15" fillId="60" borderId="122" xfId="0" applyFont="1" applyFill="1" applyBorder="1" applyAlignment="1" applyProtection="1">
      <alignment horizontal="center"/>
      <protection locked="0"/>
    </xf>
    <xf numFmtId="164" fontId="0" fillId="0" borderId="96" xfId="4" applyNumberFormat="1" applyFont="1" applyFill="1" applyBorder="1" applyAlignment="1">
      <alignment horizontal="right"/>
    </xf>
    <xf numFmtId="164" fontId="0" fillId="0" borderId="93" xfId="4" applyNumberFormat="1" applyFont="1" applyFill="1" applyBorder="1" applyAlignment="1">
      <alignment horizontal="right"/>
    </xf>
    <xf numFmtId="164" fontId="0" fillId="0" borderId="102" xfId="4" applyNumberFormat="1" applyFont="1" applyFill="1" applyBorder="1" applyAlignment="1">
      <alignment horizontal="right"/>
    </xf>
    <xf numFmtId="164" fontId="0" fillId="0" borderId="60" xfId="4" applyNumberFormat="1" applyFont="1" applyFill="1" applyBorder="1" applyAlignment="1">
      <alignment horizontal="right"/>
    </xf>
    <xf numFmtId="164" fontId="0" fillId="0" borderId="61" xfId="4" applyNumberFormat="1" applyFont="1" applyFill="1" applyBorder="1" applyAlignment="1">
      <alignment horizontal="right"/>
    </xf>
    <xf numFmtId="164" fontId="0" fillId="0" borderId="104" xfId="4" applyNumberFormat="1" applyFont="1" applyFill="1" applyBorder="1" applyAlignment="1">
      <alignment horizontal="right"/>
    </xf>
    <xf numFmtId="164" fontId="0" fillId="0" borderId="94" xfId="4" applyNumberFormat="1" applyFont="1" applyFill="1" applyBorder="1" applyAlignment="1">
      <alignment horizontal="right"/>
    </xf>
    <xf numFmtId="164" fontId="0" fillId="0" borderId="141" xfId="4" applyNumberFormat="1" applyFont="1" applyFill="1" applyBorder="1" applyAlignment="1">
      <alignment horizontal="right"/>
    </xf>
    <xf numFmtId="164" fontId="0" fillId="0" borderId="142" xfId="4" applyNumberFormat="1" applyFont="1" applyFill="1" applyBorder="1" applyAlignment="1">
      <alignment horizontal="right"/>
    </xf>
    <xf numFmtId="164" fontId="0" fillId="0" borderId="144" xfId="4" applyNumberFormat="1" applyFont="1" applyFill="1" applyBorder="1" applyAlignment="1">
      <alignment horizontal="right"/>
    </xf>
    <xf numFmtId="164" fontId="0" fillId="0" borderId="98" xfId="4" applyNumberFormat="1" applyFont="1" applyFill="1" applyBorder="1" applyAlignment="1">
      <alignment horizontal="center" vertical="center"/>
    </xf>
    <xf numFmtId="164" fontId="0" fillId="0" borderId="67" xfId="4" applyNumberFormat="1" applyFont="1" applyFill="1" applyBorder="1" applyAlignment="1">
      <alignment horizontal="center" vertical="center"/>
    </xf>
    <xf numFmtId="164" fontId="0" fillId="0" borderId="113" xfId="4" applyNumberFormat="1" applyFont="1" applyFill="1" applyBorder="1" applyAlignment="1">
      <alignment horizontal="center" vertical="center"/>
    </xf>
    <xf numFmtId="0" fontId="15" fillId="0" borderId="0" xfId="0" applyFont="1" applyFill="1" applyBorder="1" applyAlignment="1" applyProtection="1">
      <alignment horizontal="right"/>
      <protection locked="0"/>
    </xf>
    <xf numFmtId="0" fontId="78" fillId="0" borderId="0" xfId="0" applyFont="1" applyAlignment="1">
      <alignment horizontal="right"/>
    </xf>
    <xf numFmtId="0" fontId="244" fillId="0" borderId="0" xfId="0" quotePrefix="1" applyFont="1"/>
    <xf numFmtId="2" fontId="10" fillId="66" borderId="62" xfId="19" applyNumberFormat="1" applyFont="1" applyFill="1" applyBorder="1"/>
    <xf numFmtId="0" fontId="258" fillId="0" borderId="74" xfId="0" applyFont="1" applyFill="1" applyBorder="1" applyAlignment="1">
      <alignment horizontal="center" vertical="center"/>
    </xf>
    <xf numFmtId="0" fontId="258" fillId="0" borderId="55" xfId="0" applyFont="1" applyFill="1" applyBorder="1" applyAlignment="1">
      <alignment horizontal="center" vertical="center"/>
    </xf>
    <xf numFmtId="164" fontId="258" fillId="0" borderId="142" xfId="4" applyNumberFormat="1" applyFont="1" applyFill="1" applyBorder="1" applyAlignment="1">
      <alignment horizontal="right"/>
    </xf>
    <xf numFmtId="0" fontId="0" fillId="0" borderId="0" xfId="0" applyAlignment="1"/>
    <xf numFmtId="0" fontId="255" fillId="0" borderId="0" xfId="0" applyFont="1" applyAlignment="1"/>
    <xf numFmtId="164" fontId="293" fillId="0" borderId="0" xfId="1" applyNumberFormat="1" applyFont="1" applyFill="1" applyBorder="1" applyAlignment="1">
      <alignment horizontal="left"/>
    </xf>
    <xf numFmtId="0" fontId="252" fillId="54" borderId="127" xfId="0" applyFont="1" applyFill="1" applyBorder="1" applyAlignment="1">
      <alignment horizontal="center"/>
    </xf>
    <xf numFmtId="5" fontId="252" fillId="62" borderId="127" xfId="1" applyNumberFormat="1" applyFont="1" applyFill="1" applyBorder="1"/>
    <xf numFmtId="5" fontId="252" fillId="0" borderId="127" xfId="1" applyNumberFormat="1" applyFont="1" applyFill="1" applyBorder="1"/>
    <xf numFmtId="0" fontId="252" fillId="0" borderId="0" xfId="0" applyFont="1" applyFill="1" applyBorder="1" applyAlignment="1">
      <alignment horizontal="left"/>
    </xf>
    <xf numFmtId="0" fontId="244" fillId="0" borderId="0" xfId="0" applyFont="1" applyFill="1" applyBorder="1" applyAlignment="1">
      <alignment horizontal="right"/>
    </xf>
    <xf numFmtId="0" fontId="15" fillId="54" borderId="65" xfId="0" applyFont="1" applyFill="1" applyBorder="1" applyAlignment="1">
      <alignment horizontal="left" vertical="center"/>
    </xf>
    <xf numFmtId="5" fontId="258" fillId="0" borderId="62" xfId="0" applyNumberFormat="1" applyFont="1" applyBorder="1"/>
    <xf numFmtId="0" fontId="262" fillId="0" borderId="0" xfId="0" applyFont="1" applyAlignment="1">
      <alignment horizontal="center"/>
    </xf>
    <xf numFmtId="164" fontId="0" fillId="0" borderId="54" xfId="4343" applyNumberFormat="1" applyFont="1" applyFill="1" applyBorder="1" applyAlignment="1"/>
    <xf numFmtId="164" fontId="0" fillId="0" borderId="3" xfId="4343" applyNumberFormat="1" applyFont="1" applyFill="1" applyBorder="1" applyAlignment="1"/>
    <xf numFmtId="164" fontId="0" fillId="0" borderId="21" xfId="4343" applyNumberFormat="1" applyFont="1" applyFill="1" applyBorder="1" applyAlignment="1"/>
    <xf numFmtId="164" fontId="0" fillId="0" borderId="121" xfId="4343" applyNumberFormat="1" applyFont="1" applyFill="1" applyBorder="1" applyAlignment="1"/>
    <xf numFmtId="164" fontId="0" fillId="0" borderId="125" xfId="4343" applyNumberFormat="1" applyFont="1" applyFill="1" applyBorder="1" applyAlignment="1"/>
    <xf numFmtId="10" fontId="0" fillId="0" borderId="0" xfId="4342" applyNumberFormat="1" applyFont="1"/>
    <xf numFmtId="164" fontId="0" fillId="0" borderId="128" xfId="4343" applyNumberFormat="1" applyFont="1" applyFill="1" applyBorder="1" applyAlignment="1"/>
    <xf numFmtId="164" fontId="0" fillId="0" borderId="63" xfId="4343" applyNumberFormat="1" applyFont="1" applyFill="1" applyBorder="1" applyAlignment="1"/>
    <xf numFmtId="164" fontId="0" fillId="0" borderId="55" xfId="4343" applyNumberFormat="1" applyFont="1" applyFill="1" applyBorder="1" applyAlignment="1"/>
    <xf numFmtId="164" fontId="0" fillId="12" borderId="116" xfId="4343" applyNumberFormat="1" applyFont="1" applyFill="1" applyBorder="1"/>
    <xf numFmtId="164" fontId="0" fillId="0" borderId="67" xfId="4343" applyNumberFormat="1" applyFont="1" applyFill="1" applyBorder="1" applyAlignment="1"/>
    <xf numFmtId="164" fontId="0" fillId="0" borderId="38" xfId="4343" applyNumberFormat="1" applyFont="1" applyFill="1" applyBorder="1" applyAlignment="1"/>
    <xf numFmtId="164" fontId="0" fillId="0" borderId="30" xfId="4343" applyNumberFormat="1" applyFont="1" applyFill="1" applyBorder="1" applyAlignment="1"/>
    <xf numFmtId="164" fontId="0" fillId="0" borderId="131" xfId="4343" applyNumberFormat="1" applyFont="1" applyFill="1" applyBorder="1" applyAlignment="1"/>
    <xf numFmtId="164" fontId="0" fillId="12" borderId="121" xfId="4343" applyNumberFormat="1" applyFont="1" applyFill="1" applyBorder="1"/>
    <xf numFmtId="331" fontId="0" fillId="0" borderId="115" xfId="0" applyNumberFormat="1" applyFont="1" applyFill="1" applyBorder="1"/>
    <xf numFmtId="330" fontId="8" fillId="0" borderId="83" xfId="4" applyNumberFormat="1" applyFont="1" applyFill="1" applyBorder="1" applyAlignment="1">
      <alignment horizontal="center" vertical="center"/>
    </xf>
    <xf numFmtId="330" fontId="8" fillId="0" borderId="38" xfId="4" applyNumberFormat="1" applyFont="1" applyFill="1" applyBorder="1" applyAlignment="1">
      <alignment horizontal="center" vertical="center"/>
    </xf>
    <xf numFmtId="330" fontId="8" fillId="0" borderId="54" xfId="4" applyNumberFormat="1" applyFont="1" applyFill="1" applyBorder="1" applyAlignment="1">
      <alignment horizontal="center" vertical="center"/>
    </xf>
    <xf numFmtId="330" fontId="0" fillId="0" borderId="66" xfId="0" applyNumberFormat="1" applyFont="1" applyFill="1" applyBorder="1" applyAlignment="1"/>
    <xf numFmtId="0" fontId="15" fillId="0" borderId="0" xfId="0" applyFont="1" applyFill="1" applyAlignment="1">
      <alignment horizontal="center"/>
    </xf>
    <xf numFmtId="0" fontId="15" fillId="0" borderId="0" xfId="0" applyFont="1" applyFill="1" applyBorder="1" applyAlignment="1" applyProtection="1">
      <alignment horizontal="center"/>
      <protection locked="0"/>
    </xf>
    <xf numFmtId="0" fontId="0" fillId="0" borderId="142" xfId="0" applyFont="1" applyBorder="1" applyAlignment="1" applyProtection="1">
      <alignment horizontal="center" vertical="center"/>
      <protection locked="0"/>
    </xf>
    <xf numFmtId="0" fontId="8" fillId="0" borderId="142" xfId="0" applyFont="1" applyBorder="1" applyAlignment="1" applyProtection="1">
      <alignment horizontal="left" vertical="center"/>
      <protection locked="0"/>
    </xf>
    <xf numFmtId="0" fontId="8" fillId="0" borderId="142" xfId="0" applyFont="1" applyBorder="1" applyAlignment="1" applyProtection="1">
      <alignment horizontal="center" vertical="center"/>
      <protection locked="0"/>
    </xf>
    <xf numFmtId="331" fontId="0" fillId="0" borderId="142" xfId="0" applyNumberFormat="1" applyFont="1" applyFill="1" applyBorder="1" applyAlignment="1">
      <alignment horizontal="right"/>
    </xf>
    <xf numFmtId="331" fontId="0" fillId="0" borderId="143" xfId="0" applyNumberFormat="1" applyFont="1" applyFill="1" applyBorder="1" applyAlignment="1">
      <alignment horizontal="right"/>
    </xf>
    <xf numFmtId="331" fontId="0" fillId="0" borderId="141" xfId="0" applyNumberFormat="1" applyFont="1" applyFill="1" applyBorder="1" applyAlignment="1">
      <alignment horizontal="right"/>
    </xf>
    <xf numFmtId="331" fontId="258" fillId="0" borderId="142" xfId="0" applyNumberFormat="1" applyFont="1" applyFill="1" applyBorder="1" applyAlignment="1">
      <alignment horizontal="right"/>
    </xf>
    <xf numFmtId="331" fontId="258" fillId="0" borderId="143" xfId="0" applyNumberFormat="1" applyFont="1" applyFill="1" applyBorder="1" applyAlignment="1">
      <alignment horizontal="right"/>
    </xf>
    <xf numFmtId="9" fontId="0" fillId="0" borderId="0" xfId="4342" applyFont="1" applyFill="1" applyBorder="1"/>
    <xf numFmtId="331" fontId="0" fillId="0" borderId="147" xfId="0" applyNumberFormat="1" applyFont="1" applyFill="1" applyBorder="1" applyAlignment="1">
      <alignment horizontal="center" vertical="center"/>
    </xf>
    <xf numFmtId="331" fontId="0" fillId="0" borderId="67" xfId="0" applyNumberFormat="1" applyFont="1" applyFill="1" applyBorder="1" applyAlignment="1">
      <alignment horizontal="center" vertical="center"/>
    </xf>
    <xf numFmtId="331" fontId="0" fillId="0" borderId="67" xfId="0" applyNumberFormat="1" applyFont="1" applyFill="1" applyBorder="1" applyAlignment="1">
      <alignment horizontal="right"/>
    </xf>
    <xf numFmtId="331" fontId="0" fillId="0" borderId="116" xfId="0" applyNumberFormat="1" applyFont="1" applyFill="1" applyBorder="1" applyAlignment="1">
      <alignment horizontal="right"/>
    </xf>
    <xf numFmtId="331" fontId="0" fillId="0" borderId="98" xfId="0" applyNumberFormat="1" applyFont="1" applyFill="1" applyBorder="1" applyAlignment="1">
      <alignment horizontal="center" vertical="center"/>
    </xf>
    <xf numFmtId="331" fontId="258" fillId="0" borderId="116" xfId="0" applyNumberFormat="1" applyFont="1" applyFill="1" applyBorder="1" applyAlignment="1">
      <alignment horizontal="right"/>
    </xf>
    <xf numFmtId="0" fontId="4" fillId="0" borderId="142" xfId="0" applyFont="1" applyBorder="1" applyAlignment="1">
      <alignment horizontal="center" vertical="center"/>
    </xf>
    <xf numFmtId="331" fontId="0" fillId="0" borderId="142" xfId="0" applyNumberFormat="1" applyFont="1" applyFill="1" applyBorder="1" applyAlignment="1">
      <alignment horizontal="center" vertical="center"/>
    </xf>
    <xf numFmtId="9" fontId="0" fillId="0" borderId="0" xfId="4342" applyFont="1" applyBorder="1"/>
    <xf numFmtId="0" fontId="258" fillId="0" borderId="142" xfId="0" applyFont="1" applyBorder="1" applyAlignment="1" applyProtection="1">
      <alignment horizontal="center"/>
      <protection locked="0"/>
    </xf>
    <xf numFmtId="164" fontId="0" fillId="0" borderId="143" xfId="4" applyNumberFormat="1" applyFont="1" applyFill="1" applyBorder="1" applyAlignment="1">
      <alignment horizontal="right"/>
    </xf>
    <xf numFmtId="164" fontId="0" fillId="0" borderId="147" xfId="4" applyNumberFormat="1" applyFont="1" applyFill="1" applyBorder="1" applyAlignment="1">
      <alignment horizontal="center" vertical="center"/>
    </xf>
    <xf numFmtId="164" fontId="0" fillId="0" borderId="113" xfId="4" applyNumberFormat="1" applyFont="1" applyFill="1" applyBorder="1" applyAlignment="1">
      <alignment horizontal="right"/>
    </xf>
    <xf numFmtId="164" fontId="258" fillId="0" borderId="87" xfId="4" applyNumberFormat="1" applyFont="1" applyFill="1" applyBorder="1" applyAlignment="1">
      <alignment horizontal="right"/>
    </xf>
    <xf numFmtId="164" fontId="0" fillId="12" borderId="132" xfId="4343" applyNumberFormat="1" applyFont="1" applyFill="1" applyBorder="1" applyAlignment="1">
      <alignment horizontal="center" vertical="center"/>
    </xf>
    <xf numFmtId="164" fontId="0" fillId="12" borderId="110" xfId="4343" applyNumberFormat="1" applyFont="1" applyFill="1" applyBorder="1" applyAlignment="1">
      <alignment horizontal="center" vertical="center"/>
    </xf>
    <xf numFmtId="164" fontId="0" fillId="12" borderId="120" xfId="4343" applyNumberFormat="1" applyFont="1" applyFill="1" applyBorder="1" applyAlignment="1">
      <alignment horizontal="center" vertical="center"/>
    </xf>
    <xf numFmtId="164" fontId="0" fillId="12" borderId="111" xfId="4343" applyNumberFormat="1" applyFont="1" applyFill="1" applyBorder="1" applyAlignment="1">
      <alignment horizontal="center" vertical="center"/>
    </xf>
    <xf numFmtId="164" fontId="0" fillId="12" borderId="70" xfId="4343" applyNumberFormat="1" applyFont="1" applyFill="1" applyBorder="1" applyAlignment="1">
      <alignment horizontal="center" vertical="center"/>
    </xf>
    <xf numFmtId="164" fontId="0" fillId="12" borderId="80" xfId="4343" applyNumberFormat="1" applyFont="1" applyFill="1" applyBorder="1" applyAlignment="1">
      <alignment horizontal="center" vertical="center"/>
    </xf>
    <xf numFmtId="164" fontId="0" fillId="12" borderId="71"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7" xfId="4" applyNumberFormat="1" applyFont="1" applyFill="1" applyBorder="1" applyAlignment="1">
      <alignment horizontal="right"/>
    </xf>
    <xf numFmtId="164" fontId="0" fillId="12" borderId="72" xfId="4343" applyNumberFormat="1" applyFont="1" applyFill="1" applyBorder="1" applyAlignment="1">
      <alignment horizontal="center" vertical="center"/>
    </xf>
    <xf numFmtId="164" fontId="0" fillId="0" borderId="0" xfId="4343" applyNumberFormat="1" applyFont="1"/>
    <xf numFmtId="0" fontId="1" fillId="0" borderId="58"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 fillId="0" borderId="58" xfId="0" applyFont="1" applyFill="1" applyBorder="1" applyAlignment="1">
      <alignment horizontal="center" vertical="center"/>
    </xf>
    <xf numFmtId="0" fontId="0" fillId="0" borderId="142" xfId="0" applyFont="1" applyFill="1" applyBorder="1"/>
    <xf numFmtId="0" fontId="1" fillId="0" borderId="58" xfId="0" applyFont="1" applyBorder="1" applyAlignment="1">
      <alignment horizontal="center" vertical="center"/>
    </xf>
    <xf numFmtId="0" fontId="1" fillId="0" borderId="117" xfId="0" applyFont="1" applyBorder="1" applyAlignment="1">
      <alignment horizontal="center" vertical="center"/>
    </xf>
    <xf numFmtId="0" fontId="0" fillId="0" borderId="142" xfId="0" applyFont="1" applyBorder="1" applyAlignment="1">
      <alignment horizontal="center"/>
    </xf>
    <xf numFmtId="331" fontId="244" fillId="0" borderId="142" xfId="0" applyNumberFormat="1" applyFont="1" applyFill="1" applyBorder="1" applyAlignment="1">
      <alignment horizontal="right"/>
    </xf>
    <xf numFmtId="0" fontId="1" fillId="0" borderId="73" xfId="0" applyFont="1" applyBorder="1" applyAlignment="1">
      <alignment horizontal="center" vertical="center"/>
    </xf>
    <xf numFmtId="0" fontId="0" fillId="0" borderId="142" xfId="0" applyFont="1" applyFill="1" applyBorder="1" applyAlignment="1" applyProtection="1">
      <alignment horizontal="center" vertical="center"/>
      <protection locked="0"/>
    </xf>
    <xf numFmtId="0" fontId="1" fillId="0" borderId="73"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9" xfId="0" applyFont="1" applyFill="1" applyBorder="1" applyAlignment="1">
      <alignment horizontal="center" vertical="center"/>
    </xf>
    <xf numFmtId="164" fontId="258" fillId="0" borderId="66" xfId="4343" applyNumberFormat="1" applyFont="1" applyFill="1" applyBorder="1"/>
    <xf numFmtId="164" fontId="258" fillId="0" borderId="21" xfId="4343" applyNumberFormat="1" applyFont="1" applyFill="1" applyBorder="1"/>
    <xf numFmtId="164" fontId="258" fillId="0" borderId="61" xfId="4343" applyNumberFormat="1" applyFont="1" applyFill="1" applyBorder="1"/>
    <xf numFmtId="164" fontId="244" fillId="0" borderId="66" xfId="4343" applyNumberFormat="1" applyFont="1" applyFill="1" applyBorder="1"/>
    <xf numFmtId="164" fontId="258" fillId="0" borderId="62" xfId="4343" applyNumberFormat="1" applyFont="1" applyFill="1" applyBorder="1"/>
    <xf numFmtId="164" fontId="258" fillId="0" borderId="94" xfId="4343" applyNumberFormat="1" applyFont="1" applyFill="1" applyBorder="1"/>
    <xf numFmtId="164" fontId="258" fillId="0" borderId="89" xfId="4343" applyNumberFormat="1" applyFont="1" applyFill="1" applyBorder="1"/>
    <xf numFmtId="164" fontId="258" fillId="0" borderId="67" xfId="4343" applyNumberFormat="1" applyFont="1" applyFill="1" applyBorder="1"/>
    <xf numFmtId="164" fontId="258" fillId="0" borderId="99" xfId="4343" applyNumberFormat="1" applyFont="1" applyFill="1" applyBorder="1"/>
    <xf numFmtId="164" fontId="244" fillId="0" borderId="89" xfId="4343" applyNumberFormat="1" applyFont="1" applyFill="1" applyBorder="1"/>
    <xf numFmtId="164" fontId="244" fillId="0" borderId="144" xfId="4343" applyNumberFormat="1" applyFont="1" applyFill="1" applyBorder="1"/>
    <xf numFmtId="164" fontId="258" fillId="0" borderId="93" xfId="4343" applyNumberFormat="1" applyFont="1" applyFill="1" applyBorder="1"/>
    <xf numFmtId="164" fontId="258" fillId="0" borderId="102" xfId="4343" applyNumberFormat="1" applyFont="1" applyFill="1" applyBorder="1"/>
    <xf numFmtId="164" fontId="244" fillId="0" borderId="61" xfId="4343" applyNumberFormat="1" applyFont="1" applyFill="1" applyBorder="1"/>
    <xf numFmtId="164" fontId="0" fillId="0" borderId="127" xfId="4343" applyNumberFormat="1" applyFont="1" applyFill="1" applyBorder="1"/>
    <xf numFmtId="164" fontId="0" fillId="0" borderId="62" xfId="4343" applyNumberFormat="1" applyFont="1" applyFill="1" applyBorder="1"/>
    <xf numFmtId="164" fontId="0" fillId="0" borderId="115" xfId="4343" applyNumberFormat="1" applyFont="1" applyFill="1" applyBorder="1"/>
    <xf numFmtId="164" fontId="0" fillId="0" borderId="64" xfId="4343" applyNumberFormat="1" applyFont="1" applyFill="1" applyBorder="1"/>
    <xf numFmtId="164" fontId="258" fillId="0" borderId="91" xfId="4343" applyNumberFormat="1" applyFont="1" applyFill="1" applyBorder="1"/>
    <xf numFmtId="164" fontId="0" fillId="0" borderId="145" xfId="4343" applyNumberFormat="1" applyFont="1" applyFill="1" applyBorder="1"/>
    <xf numFmtId="164" fontId="0" fillId="0" borderId="142" xfId="4343" applyNumberFormat="1" applyFont="1" applyFill="1" applyBorder="1"/>
    <xf numFmtId="164" fontId="0" fillId="0" borderId="143" xfId="4343" applyNumberFormat="1" applyFont="1" applyFill="1" applyBorder="1"/>
    <xf numFmtId="164" fontId="258" fillId="0" borderId="142" xfId="4343" applyNumberFormat="1" applyFont="1" applyFill="1" applyBorder="1"/>
    <xf numFmtId="164" fontId="0" fillId="0" borderId="84" xfId="4343" applyNumberFormat="1" applyFont="1" applyFill="1" applyBorder="1"/>
    <xf numFmtId="164" fontId="258" fillId="0" borderId="141" xfId="4343" applyNumberFormat="1" applyFont="1" applyFill="1" applyBorder="1"/>
    <xf numFmtId="164" fontId="258" fillId="0" borderId="144" xfId="4343" applyNumberFormat="1" applyFont="1" applyFill="1" applyBorder="1"/>
    <xf numFmtId="164" fontId="8" fillId="0" borderId="131" xfId="4343" applyNumberFormat="1" applyFont="1" applyFill="1" applyBorder="1" applyAlignment="1">
      <alignment horizontal="right"/>
    </xf>
    <xf numFmtId="164" fontId="8"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8" fillId="0" borderId="54" xfId="4343" applyNumberFormat="1" applyFont="1" applyFill="1" applyBorder="1"/>
    <xf numFmtId="164" fontId="258" fillId="0" borderId="60" xfId="4343" applyNumberFormat="1" applyFont="1" applyFill="1" applyBorder="1" applyAlignment="1">
      <alignment horizontal="right"/>
    </xf>
    <xf numFmtId="164" fontId="8" fillId="0" borderId="127" xfId="4343" applyNumberFormat="1" applyFont="1" applyFill="1" applyBorder="1" applyAlignment="1">
      <alignment horizontal="right"/>
    </xf>
    <xf numFmtId="164" fontId="8" fillId="0" borderId="62" xfId="4343" applyNumberFormat="1" applyFont="1" applyFill="1" applyBorder="1" applyAlignment="1">
      <alignment horizontal="right"/>
    </xf>
    <xf numFmtId="164" fontId="258" fillId="0" borderId="91" xfId="4343" applyNumberFormat="1" applyFont="1" applyFill="1" applyBorder="1" applyAlignment="1">
      <alignment horizontal="right"/>
    </xf>
    <xf numFmtId="164" fontId="0" fillId="0" borderId="97" xfId="4343" applyNumberFormat="1" applyFont="1" applyFill="1" applyBorder="1"/>
    <xf numFmtId="164" fontId="244" fillId="0" borderId="67" xfId="4343" applyNumberFormat="1" applyFont="1" applyFill="1" applyBorder="1"/>
    <xf numFmtId="164" fontId="244" fillId="0" borderId="99" xfId="4343" applyNumberFormat="1" applyFont="1" applyFill="1" applyBorder="1"/>
    <xf numFmtId="164" fontId="0" fillId="0" borderId="131" xfId="4343" applyNumberFormat="1" applyFont="1" applyFill="1" applyBorder="1"/>
    <xf numFmtId="164" fontId="0" fillId="0" borderId="121" xfId="4343" applyNumberFormat="1" applyFont="1" applyFill="1" applyBorder="1"/>
    <xf numFmtId="164" fontId="0" fillId="0" borderId="96" xfId="4343" applyNumberFormat="1" applyFont="1" applyFill="1" applyBorder="1"/>
    <xf numFmtId="164" fontId="244" fillId="0" borderId="93" xfId="4343" applyNumberFormat="1" applyFont="1" applyFill="1" applyBorder="1"/>
    <xf numFmtId="164" fontId="244" fillId="0" borderId="102" xfId="4343" applyNumberFormat="1" applyFont="1" applyFill="1" applyBorder="1"/>
    <xf numFmtId="164" fontId="0" fillId="0" borderId="145" xfId="4343" applyNumberFormat="1" applyFont="1" applyBorder="1"/>
    <xf numFmtId="164" fontId="0" fillId="0" borderId="142" xfId="4343" applyNumberFormat="1" applyFont="1" applyBorder="1"/>
    <xf numFmtId="164" fontId="258" fillId="0" borderId="141" xfId="4343" applyNumberFormat="1" applyFont="1" applyBorder="1"/>
    <xf numFmtId="164" fontId="258" fillId="0" borderId="97" xfId="4343" applyNumberFormat="1" applyFont="1" applyBorder="1"/>
    <xf numFmtId="164" fontId="8" fillId="0" borderId="96" xfId="4343" applyNumberFormat="1" applyFont="1" applyFill="1" applyBorder="1" applyAlignment="1">
      <alignment horizontal="right"/>
    </xf>
    <xf numFmtId="164" fontId="0" fillId="0" borderId="91" xfId="4343" applyNumberFormat="1" applyFont="1" applyFill="1" applyBorder="1"/>
    <xf numFmtId="164" fontId="0" fillId="0" borderId="127" xfId="4343" applyNumberFormat="1" applyFont="1" applyBorder="1"/>
    <xf numFmtId="164" fontId="0" fillId="0" borderId="62" xfId="4343" applyNumberFormat="1" applyFont="1" applyBorder="1"/>
    <xf numFmtId="164" fontId="258" fillId="0" borderId="91" xfId="4343" applyNumberFormat="1" applyFont="1" applyBorder="1"/>
    <xf numFmtId="164" fontId="0" fillId="0" borderId="147" xfId="4343" applyNumberFormat="1" applyFont="1" applyBorder="1"/>
    <xf numFmtId="164" fontId="0" fillId="0" borderId="67" xfId="4343" applyNumberFormat="1" applyFont="1" applyBorder="1"/>
    <xf numFmtId="164" fontId="0" fillId="0" borderId="122" xfId="4343" applyNumberFormat="1" applyFont="1" applyFill="1" applyBorder="1"/>
    <xf numFmtId="164" fontId="0" fillId="0" borderId="63" xfId="4343" applyNumberFormat="1" applyFont="1" applyFill="1" applyBorder="1"/>
    <xf numFmtId="164" fontId="0" fillId="0" borderId="147" xfId="4343" applyNumberFormat="1" applyFont="1" applyFill="1" applyBorder="1"/>
    <xf numFmtId="164" fontId="0" fillId="0" borderId="67" xfId="4343" applyNumberFormat="1" applyFont="1" applyFill="1" applyBorder="1"/>
    <xf numFmtId="164" fontId="8" fillId="0" borderId="60" xfId="4343" applyNumberFormat="1" applyFont="1" applyFill="1" applyBorder="1" applyAlignment="1">
      <alignment horizontal="right"/>
    </xf>
    <xf numFmtId="164" fontId="244" fillId="0" borderId="21" xfId="4343" applyNumberFormat="1" applyFont="1" applyFill="1" applyBorder="1"/>
    <xf numFmtId="164" fontId="258" fillId="0" borderId="97" xfId="4343" applyNumberFormat="1" applyFont="1" applyFill="1" applyBorder="1"/>
    <xf numFmtId="164" fontId="244" fillId="0" borderId="62" xfId="4343" applyNumberFormat="1" applyFont="1" applyFill="1" applyBorder="1"/>
    <xf numFmtId="164" fontId="258" fillId="0" borderId="96" xfId="4343" applyNumberFormat="1" applyFont="1" applyFill="1" applyBorder="1" applyAlignment="1">
      <alignment horizontal="right"/>
    </xf>
    <xf numFmtId="164" fontId="8" fillId="0" borderId="98" xfId="4343" applyNumberFormat="1" applyFont="1" applyFill="1" applyBorder="1" applyAlignment="1">
      <alignment horizontal="right"/>
    </xf>
    <xf numFmtId="164" fontId="8" fillId="0" borderId="67" xfId="4343" applyNumberFormat="1" applyFont="1" applyFill="1" applyBorder="1" applyAlignment="1">
      <alignment horizontal="right"/>
    </xf>
    <xf numFmtId="164" fontId="8" fillId="0" borderId="147" xfId="4343" applyNumberFormat="1" applyFont="1" applyFill="1" applyBorder="1" applyAlignment="1">
      <alignment horizontal="right"/>
    </xf>
    <xf numFmtId="164" fontId="0" fillId="0" borderId="141" xfId="4343" applyNumberFormat="1" applyFont="1" applyFill="1" applyBorder="1"/>
    <xf numFmtId="164" fontId="244" fillId="0" borderId="142" xfId="4343" applyNumberFormat="1" applyFont="1" applyFill="1" applyBorder="1"/>
    <xf numFmtId="164" fontId="258" fillId="0" borderId="38" xfId="4343" applyNumberFormat="1" applyFont="1" applyFill="1" applyBorder="1"/>
    <xf numFmtId="164" fontId="258" fillId="0" borderId="55" xfId="4343" applyNumberFormat="1" applyFont="1" applyFill="1" applyBorder="1"/>
    <xf numFmtId="164" fontId="258" fillId="0" borderId="56" xfId="4343" applyNumberFormat="1" applyFont="1" applyFill="1" applyBorder="1"/>
    <xf numFmtId="164" fontId="0" fillId="12" borderId="146" xfId="4343" applyNumberFormat="1" applyFont="1" applyFill="1" applyBorder="1" applyAlignment="1">
      <alignment horizontal="center" vertical="center"/>
    </xf>
    <xf numFmtId="164" fontId="0" fillId="0" borderId="71" xfId="4343" applyNumberFormat="1" applyFont="1" applyFill="1" applyBorder="1"/>
    <xf numFmtId="164" fontId="0" fillId="0" borderId="72" xfId="4343" applyNumberFormat="1" applyFont="1" applyFill="1" applyBorder="1"/>
    <xf numFmtId="164" fontId="0" fillId="0" borderId="79" xfId="4343" applyNumberFormat="1" applyFont="1" applyFill="1" applyBorder="1"/>
    <xf numFmtId="164" fontId="0" fillId="0" borderId="66" xfId="4343" applyNumberFormat="1" applyFont="1" applyFill="1" applyBorder="1"/>
    <xf numFmtId="164" fontId="0" fillId="0" borderId="93" xfId="4343" applyNumberFormat="1" applyFont="1" applyFill="1" applyBorder="1"/>
    <xf numFmtId="164" fontId="0" fillId="0" borderId="101" xfId="4343" applyNumberFormat="1" applyFont="1" applyFill="1" applyBorder="1"/>
    <xf numFmtId="164" fontId="0" fillId="0" borderId="102" xfId="4343" applyNumberFormat="1" applyFont="1" applyFill="1" applyBorder="1"/>
    <xf numFmtId="164" fontId="0" fillId="0" borderId="94" xfId="4343" applyNumberFormat="1" applyFont="1" applyFill="1" applyBorder="1"/>
    <xf numFmtId="164" fontId="0" fillId="0" borderId="89" xfId="4343" applyNumberFormat="1" applyFont="1" applyFill="1" applyBorder="1"/>
    <xf numFmtId="164" fontId="0" fillId="0" borderId="144" xfId="4343" applyNumberFormat="1" applyFont="1" applyFill="1" applyBorder="1"/>
    <xf numFmtId="164" fontId="0" fillId="0" borderId="54" xfId="4343" applyNumberFormat="1" applyFont="1" applyFill="1" applyBorder="1"/>
    <xf numFmtId="164" fontId="0" fillId="0" borderId="61" xfId="4343" applyNumberFormat="1" applyFont="1" applyFill="1" applyBorder="1"/>
    <xf numFmtId="164" fontId="0" fillId="0" borderId="98" xfId="4343" applyNumberFormat="1" applyFont="1" applyFill="1" applyBorder="1"/>
    <xf numFmtId="164" fontId="0" fillId="0" borderId="99" xfId="4343" applyNumberFormat="1" applyFont="1" applyFill="1" applyBorder="1"/>
    <xf numFmtId="164" fontId="8" fillId="0" borderId="91" xfId="4343" applyNumberFormat="1" applyFont="1" applyFill="1" applyBorder="1" applyAlignment="1">
      <alignment horizontal="right"/>
    </xf>
    <xf numFmtId="164" fontId="0" fillId="0" borderId="60" xfId="4343" applyNumberFormat="1" applyFont="1" applyFill="1" applyBorder="1"/>
    <xf numFmtId="164" fontId="0" fillId="0" borderId="97" xfId="4343" applyNumberFormat="1" applyFont="1" applyBorder="1"/>
    <xf numFmtId="164" fontId="0" fillId="0" borderId="141" xfId="4343" applyNumberFormat="1" applyFont="1" applyBorder="1"/>
    <xf numFmtId="164" fontId="8" fillId="0" borderId="127" xfId="4343" applyNumberFormat="1" applyFont="1" applyBorder="1"/>
    <xf numFmtId="164" fontId="8" fillId="0" borderId="62" xfId="4343" applyNumberFormat="1" applyFont="1" applyBorder="1"/>
    <xf numFmtId="164" fontId="8" fillId="0" borderId="62" xfId="4343" applyNumberFormat="1" applyFont="1" applyFill="1" applyBorder="1"/>
    <xf numFmtId="164" fontId="8" fillId="0" borderId="91" xfId="4343" applyNumberFormat="1" applyFont="1" applyBorder="1"/>
    <xf numFmtId="164" fontId="8" fillId="0" borderId="66" xfId="4343" applyNumberFormat="1" applyFont="1" applyFill="1" applyBorder="1"/>
    <xf numFmtId="164" fontId="8" fillId="0" borderId="94" xfId="4343" applyNumberFormat="1" applyFont="1" applyFill="1" applyBorder="1"/>
    <xf numFmtId="164" fontId="8" fillId="0" borderId="147" xfId="4343" applyNumberFormat="1" applyFont="1" applyBorder="1"/>
    <xf numFmtId="164" fontId="8" fillId="0" borderId="67" xfId="4343" applyNumberFormat="1" applyFont="1" applyBorder="1"/>
    <xf numFmtId="164" fontId="8" fillId="0" borderId="66" xfId="4343" applyNumberFormat="1" applyFont="1" applyFill="1" applyBorder="1" applyAlignment="1">
      <alignment horizontal="right"/>
    </xf>
    <xf numFmtId="164" fontId="8" fillId="0" borderId="94" xfId="4343" applyNumberFormat="1" applyFont="1" applyFill="1" applyBorder="1" applyAlignment="1">
      <alignment horizontal="right"/>
    </xf>
    <xf numFmtId="164" fontId="8" fillId="0" borderId="141" xfId="4343" applyNumberFormat="1" applyFont="1" applyFill="1" applyBorder="1" applyAlignment="1">
      <alignment horizontal="right"/>
    </xf>
    <xf numFmtId="164" fontId="8" fillId="0" borderId="142" xfId="4343" applyNumberFormat="1" applyFont="1" applyFill="1" applyBorder="1" applyAlignment="1">
      <alignment horizontal="right"/>
    </xf>
    <xf numFmtId="164" fontId="8" fillId="0" borderId="89" xfId="4343" applyNumberFormat="1" applyFont="1" applyFill="1" applyBorder="1" applyAlignment="1">
      <alignment horizontal="right"/>
    </xf>
    <xf numFmtId="164" fontId="8" fillId="0" borderId="144" xfId="4343" applyNumberFormat="1" applyFont="1" applyFill="1" applyBorder="1" applyAlignment="1">
      <alignment horizontal="right"/>
    </xf>
    <xf numFmtId="164" fontId="0" fillId="0" borderId="38" xfId="4343" applyNumberFormat="1" applyFont="1" applyFill="1" applyBorder="1"/>
    <xf numFmtId="164" fontId="0" fillId="12" borderId="79" xfId="4343" applyNumberFormat="1" applyFont="1" applyFill="1" applyBorder="1" applyAlignment="1">
      <alignment horizontal="center" vertical="center"/>
    </xf>
    <xf numFmtId="331" fontId="0" fillId="0" borderId="142" xfId="0" applyNumberFormat="1" applyFont="1" applyFill="1" applyBorder="1" applyAlignment="1">
      <alignment horizontal="right" vertical="center"/>
    </xf>
    <xf numFmtId="331" fontId="0" fillId="0" borderId="144" xfId="0" applyNumberFormat="1" applyFont="1" applyFill="1" applyBorder="1" applyAlignment="1">
      <alignment horizontal="right" vertical="center"/>
    </xf>
    <xf numFmtId="331" fontId="258" fillId="0" borderId="142" xfId="0" applyNumberFormat="1" applyFont="1" applyFill="1" applyBorder="1" applyAlignment="1">
      <alignment horizontal="right" vertical="center"/>
    </xf>
    <xf numFmtId="331" fontId="258" fillId="0" borderId="144" xfId="0" applyNumberFormat="1" applyFont="1" applyFill="1" applyBorder="1" applyAlignment="1">
      <alignment horizontal="right" vertical="center"/>
    </xf>
    <xf numFmtId="164" fontId="258" fillId="0" borderId="54" xfId="4343" applyNumberFormat="1" applyFont="1" applyFill="1" applyBorder="1" applyAlignment="1">
      <alignment horizontal="right"/>
    </xf>
    <xf numFmtId="164" fontId="258" fillId="0" borderId="61" xfId="4343" applyNumberFormat="1" applyFont="1" applyFill="1" applyBorder="1" applyAlignment="1">
      <alignment horizontal="right"/>
    </xf>
    <xf numFmtId="164" fontId="258" fillId="0" borderId="66" xfId="4343" applyNumberFormat="1" applyFont="1" applyFill="1" applyBorder="1" applyAlignment="1">
      <alignment horizontal="right"/>
    </xf>
    <xf numFmtId="164" fontId="258" fillId="0" borderId="94" xfId="4343" applyNumberFormat="1" applyFont="1" applyFill="1" applyBorder="1" applyAlignment="1">
      <alignment horizontal="right"/>
    </xf>
    <xf numFmtId="164" fontId="258" fillId="0" borderId="66" xfId="4343" applyNumberFormat="1" applyFont="1" applyFill="1" applyBorder="1" applyAlignment="1">
      <alignment horizontal="right" vertical="center"/>
    </xf>
    <xf numFmtId="164" fontId="258" fillId="0" borderId="94" xfId="4343" applyNumberFormat="1" applyFont="1" applyFill="1" applyBorder="1" applyAlignment="1">
      <alignment horizontal="right" vertical="center"/>
    </xf>
    <xf numFmtId="164" fontId="258" fillId="0" borderId="98" xfId="4343" applyNumberFormat="1" applyFont="1" applyFill="1" applyBorder="1" applyAlignment="1">
      <alignment horizontal="right" vertical="center"/>
    </xf>
    <xf numFmtId="164" fontId="258" fillId="0" borderId="99" xfId="4343" applyNumberFormat="1" applyFont="1" applyFill="1" applyBorder="1" applyAlignment="1">
      <alignment horizontal="right" vertical="center"/>
    </xf>
    <xf numFmtId="164" fontId="8" fillId="0" borderId="98" xfId="4" applyNumberFormat="1" applyFont="1" applyFill="1" applyBorder="1" applyAlignment="1">
      <alignment horizontal="right" vertical="center"/>
    </xf>
    <xf numFmtId="164" fontId="8" fillId="0" borderId="87" xfId="4" applyNumberFormat="1" applyFont="1" applyFill="1" applyBorder="1" applyAlignment="1">
      <alignment horizontal="right" vertical="center"/>
    </xf>
    <xf numFmtId="164" fontId="258" fillId="0" borderId="98" xfId="4" applyNumberFormat="1" applyFont="1" applyFill="1" applyBorder="1" applyAlignment="1">
      <alignment horizontal="right" vertical="center"/>
    </xf>
    <xf numFmtId="164" fontId="0" fillId="0" borderId="142" xfId="4" applyNumberFormat="1" applyFont="1" applyFill="1" applyBorder="1" applyAlignment="1">
      <alignment horizontal="right" vertical="center"/>
    </xf>
    <xf numFmtId="164" fontId="8" fillId="0" borderId="142" xfId="4" applyNumberFormat="1" applyFont="1" applyFill="1" applyBorder="1" applyAlignment="1">
      <alignment horizontal="right" vertical="center"/>
    </xf>
    <xf numFmtId="164" fontId="8" fillId="0" borderId="144" xfId="4" applyNumberFormat="1" applyFont="1" applyFill="1" applyBorder="1" applyAlignment="1">
      <alignment horizontal="right" vertical="center"/>
    </xf>
    <xf numFmtId="164" fontId="258" fillId="0" borderId="142" xfId="4" applyNumberFormat="1" applyFont="1" applyFill="1" applyBorder="1" applyAlignment="1">
      <alignment horizontal="right" vertical="center"/>
    </xf>
    <xf numFmtId="164" fontId="258" fillId="0" borderId="144" xfId="4" applyNumberFormat="1" applyFont="1" applyFill="1" applyBorder="1" applyAlignment="1">
      <alignment horizontal="right" vertical="center"/>
    </xf>
    <xf numFmtId="164" fontId="0" fillId="12" borderId="107" xfId="4343" applyNumberFormat="1" applyFont="1" applyFill="1" applyBorder="1" applyAlignment="1">
      <alignment horizontal="center" vertical="center"/>
    </xf>
    <xf numFmtId="164" fontId="0" fillId="12" borderId="68" xfId="4343" applyNumberFormat="1" applyFont="1" applyFill="1" applyBorder="1" applyAlignment="1">
      <alignment horizontal="center" vertical="center"/>
    </xf>
    <xf numFmtId="0" fontId="258" fillId="0" borderId="63" xfId="0" applyFont="1" applyFill="1" applyBorder="1" applyAlignment="1" applyProtection="1">
      <alignment horizontal="center" wrapText="1"/>
      <protection locked="0"/>
    </xf>
    <xf numFmtId="0" fontId="258" fillId="0" borderId="63" xfId="0" applyFont="1" applyFill="1" applyBorder="1" applyAlignment="1" applyProtection="1">
      <alignment horizontal="left" wrapText="1" indent="1"/>
      <protection locked="0"/>
    </xf>
    <xf numFmtId="0" fontId="258" fillId="0" borderId="67" xfId="0" applyFont="1" applyFill="1" applyBorder="1" applyAlignment="1" applyProtection="1">
      <alignment horizontal="center" wrapText="1"/>
      <protection locked="0"/>
    </xf>
    <xf numFmtId="0" fontId="8" fillId="0" borderId="98"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67"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5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8" fillId="0" borderId="30" xfId="0" applyFont="1" applyFill="1" applyBorder="1" applyAlignment="1" applyProtection="1">
      <alignment horizontal="center"/>
      <protection locked="0"/>
    </xf>
    <xf numFmtId="0" fontId="0" fillId="0" borderId="5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protection locked="0"/>
    </xf>
    <xf numFmtId="0" fontId="8" fillId="0" borderId="66" xfId="0" applyFont="1" applyBorder="1" applyAlignment="1" applyProtection="1">
      <alignment horizontal="center"/>
      <protection locked="0"/>
    </xf>
    <xf numFmtId="0" fontId="8" fillId="0" borderId="63"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67" xfId="0" applyFont="1" applyBorder="1"/>
    <xf numFmtId="0" fontId="8" fillId="0" borderId="55" xfId="0" applyFont="1" applyBorder="1" applyAlignment="1" applyProtection="1">
      <alignment horizontal="center"/>
      <protection locked="0"/>
    </xf>
    <xf numFmtId="3" fontId="0" fillId="0" borderId="80" xfId="0" applyNumberFormat="1" applyFont="1" applyBorder="1" applyAlignment="1">
      <alignment horizontal="right" vertical="center"/>
    </xf>
    <xf numFmtId="3" fontId="0" fillId="0" borderId="77" xfId="0" applyNumberFormat="1" applyFont="1" applyBorder="1" applyAlignment="1">
      <alignment horizontal="right" vertical="center"/>
    </xf>
    <xf numFmtId="9" fontId="14" fillId="0" borderId="0" xfId="4342" applyFont="1" applyFill="1"/>
    <xf numFmtId="0" fontId="0" fillId="0" borderId="62" xfId="0" applyFont="1" applyBorder="1"/>
    <xf numFmtId="0" fontId="0" fillId="0" borderId="98" xfId="0" applyFont="1" applyBorder="1" applyAlignment="1" applyProtection="1">
      <alignment horizontal="center"/>
      <protection locked="0"/>
    </xf>
    <xf numFmtId="0" fontId="0" fillId="0" borderId="54" xfId="0" applyFont="1" applyBorder="1" applyAlignment="1" applyProtection="1">
      <alignment horizontal="center"/>
      <protection locked="0"/>
    </xf>
    <xf numFmtId="164" fontId="258" fillId="12" borderId="71" xfId="4343" applyNumberFormat="1" applyFont="1" applyFill="1" applyBorder="1" applyAlignment="1">
      <alignment horizontal="center" vertical="center"/>
    </xf>
    <xf numFmtId="164" fontId="258" fillId="12" borderId="72" xfId="4343" applyNumberFormat="1" applyFont="1" applyFill="1" applyBorder="1" applyAlignment="1">
      <alignment horizontal="center" vertical="center"/>
    </xf>
    <xf numFmtId="164" fontId="258" fillId="12" borderId="70" xfId="4343" applyNumberFormat="1" applyFont="1" applyFill="1" applyBorder="1" applyAlignment="1">
      <alignment horizontal="center" vertical="center"/>
    </xf>
    <xf numFmtId="164" fontId="0" fillId="0" borderId="141" xfId="0" applyNumberFormat="1" applyFont="1" applyBorder="1"/>
    <xf numFmtId="190" fontId="0" fillId="0" borderId="0" xfId="4342" applyNumberFormat="1" applyFont="1"/>
    <xf numFmtId="0" fontId="0" fillId="0" borderId="117" xfId="0" applyFill="1" applyBorder="1" applyAlignment="1">
      <alignment horizontal="left" vertical="center" indent="1"/>
    </xf>
    <xf numFmtId="44" fontId="13" fillId="0" borderId="0" xfId="4343" applyNumberFormat="1" applyFont="1" applyFill="1" applyBorder="1"/>
    <xf numFmtId="9" fontId="13" fillId="0" borderId="0" xfId="4342" applyFont="1"/>
    <xf numFmtId="164" fontId="10" fillId="0" borderId="0" xfId="4342" applyNumberFormat="1" applyFont="1"/>
    <xf numFmtId="331" fontId="11" fillId="0" borderId="141" xfId="4339" applyNumberFormat="1" applyFont="1" applyFill="1" applyBorder="1" applyAlignment="1">
      <alignment horizontal="left" indent="1"/>
    </xf>
    <xf numFmtId="0" fontId="0" fillId="0" borderId="55" xfId="0" applyFont="1" applyFill="1"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8" fillId="0" borderId="62" xfId="0" applyFont="1" applyBorder="1" applyAlignment="1" applyProtection="1">
      <alignment horizontal="left" indent="1"/>
      <protection locked="0"/>
    </xf>
    <xf numFmtId="0" fontId="0" fillId="0" borderId="55" xfId="0" applyFont="1" applyBorder="1" applyAlignment="1" applyProtection="1">
      <alignment horizontal="left" vertical="center" wrapText="1" indent="1"/>
      <protection locked="0"/>
    </xf>
    <xf numFmtId="331" fontId="0" fillId="0" borderId="63"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Font="1" applyBorder="1" applyAlignment="1" applyProtection="1">
      <alignment horizontal="left" indent="1"/>
      <protection locked="0"/>
    </xf>
    <xf numFmtId="0" fontId="0" fillId="0" borderId="63" xfId="0" applyFont="1" applyBorder="1" applyAlignment="1" applyProtection="1">
      <alignment horizontal="left" indent="1"/>
      <protection locked="0"/>
    </xf>
    <xf numFmtId="0" fontId="0" fillId="0" borderId="62" xfId="0" applyFill="1" applyBorder="1" applyAlignment="1">
      <alignment horizontal="center" vertical="center"/>
    </xf>
    <xf numFmtId="0" fontId="0" fillId="0" borderId="21" xfId="0" applyFont="1" applyFill="1" applyBorder="1"/>
    <xf numFmtId="0" fontId="0" fillId="0" borderId="142" xfId="0" applyFont="1" applyFill="1" applyBorder="1" applyAlignment="1">
      <alignment horizontal="center"/>
    </xf>
    <xf numFmtId="0" fontId="0" fillId="0" borderId="3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protection locked="0"/>
    </xf>
    <xf numFmtId="0" fontId="292" fillId="0" borderId="62" xfId="0" applyFont="1" applyFill="1" applyBorder="1" applyAlignment="1" applyProtection="1">
      <alignment horizontal="center" vertical="center"/>
      <protection locked="0"/>
    </xf>
    <xf numFmtId="0" fontId="292" fillId="0" borderId="21" xfId="0" applyFont="1" applyFill="1" applyBorder="1" applyAlignment="1" applyProtection="1">
      <alignment horizontal="center" vertical="center"/>
      <protection locked="0"/>
    </xf>
    <xf numFmtId="0" fontId="290" fillId="0" borderId="0" xfId="0" applyFont="1" applyAlignment="1">
      <alignment horizontal="right"/>
    </xf>
    <xf numFmtId="0" fontId="1" fillId="0" borderId="0" xfId="0" applyFont="1" applyBorder="1" applyAlignment="1">
      <alignment horizontal="right"/>
    </xf>
    <xf numFmtId="9" fontId="1" fillId="0" borderId="0" xfId="4342" applyFont="1" applyBorder="1" applyAlignment="1">
      <alignment horizontal="right"/>
    </xf>
    <xf numFmtId="0" fontId="1" fillId="0" borderId="0" xfId="0" applyFont="1" applyBorder="1"/>
    <xf numFmtId="331" fontId="8" fillId="0" borderId="62" xfId="4339" applyNumberFormat="1" applyFont="1" applyFill="1" applyBorder="1" applyAlignment="1">
      <alignment horizontal="right" vertical="center"/>
    </xf>
    <xf numFmtId="164" fontId="258" fillId="0" borderId="0" xfId="1" applyNumberFormat="1" applyFont="1"/>
    <xf numFmtId="164" fontId="258" fillId="0" borderId="4" xfId="1" applyNumberFormat="1" applyFont="1" applyBorder="1"/>
    <xf numFmtId="9" fontId="258" fillId="0" borderId="0" xfId="0" applyNumberFormat="1" applyFont="1" applyFill="1"/>
    <xf numFmtId="9" fontId="258" fillId="0" borderId="4" xfId="0" applyNumberFormat="1" applyFont="1" applyFill="1" applyBorder="1"/>
    <xf numFmtId="0" fontId="262" fillId="0" borderId="0" xfId="0" applyFont="1" applyFill="1"/>
    <xf numFmtId="9" fontId="252" fillId="0" borderId="0" xfId="2" applyFont="1" applyAlignment="1">
      <alignment horizontal="center"/>
    </xf>
    <xf numFmtId="190" fontId="252" fillId="53" borderId="0" xfId="2" applyNumberFormat="1" applyFont="1" applyFill="1" applyBorder="1" applyAlignment="1">
      <alignment horizontal="center"/>
    </xf>
    <xf numFmtId="164" fontId="252" fillId="53" borderId="0" xfId="0" applyNumberFormat="1" applyFont="1" applyFill="1" applyAlignment="1">
      <alignment horizontal="center"/>
    </xf>
    <xf numFmtId="9" fontId="252" fillId="53" borderId="0" xfId="2" applyFont="1" applyFill="1" applyAlignment="1">
      <alignment horizontal="center"/>
    </xf>
    <xf numFmtId="5" fontId="2" fillId="53" borderId="66" xfId="1" applyNumberFormat="1" applyFont="1" applyFill="1" applyBorder="1"/>
    <xf numFmtId="164" fontId="15" fillId="60" borderId="143" xfId="1" applyNumberFormat="1" applyFont="1" applyFill="1" applyBorder="1" applyAlignment="1" applyProtection="1">
      <alignment horizontal="center"/>
      <protection locked="0"/>
    </xf>
    <xf numFmtId="164" fontId="15" fillId="60" borderId="142" xfId="1" applyNumberFormat="1" applyFont="1" applyFill="1" applyBorder="1" applyAlignment="1" applyProtection="1">
      <alignment horizontal="center"/>
      <protection locked="0"/>
    </xf>
    <xf numFmtId="164" fontId="258" fillId="0" borderId="119" xfId="1" applyNumberFormat="1" applyFont="1" applyFill="1" applyBorder="1" applyAlignment="1">
      <alignment horizontal="right"/>
    </xf>
    <xf numFmtId="164" fontId="258" fillId="0" borderId="21" xfId="1" applyNumberFormat="1" applyFont="1" applyFill="1" applyBorder="1" applyAlignment="1">
      <alignment horizontal="right"/>
    </xf>
    <xf numFmtId="164" fontId="258" fillId="0" borderId="121" xfId="1" applyNumberFormat="1" applyFont="1" applyFill="1" applyBorder="1" applyAlignment="1">
      <alignment horizontal="right"/>
    </xf>
    <xf numFmtId="164" fontId="258" fillId="0" borderId="143" xfId="1" applyNumberFormat="1" applyFont="1" applyFill="1" applyBorder="1" applyAlignment="1">
      <alignment horizontal="right"/>
    </xf>
    <xf numFmtId="164" fontId="258" fillId="0" borderId="142" xfId="1" applyNumberFormat="1" applyFont="1" applyFill="1" applyBorder="1" applyAlignment="1">
      <alignment horizontal="right"/>
    </xf>
    <xf numFmtId="164" fontId="258" fillId="0" borderId="62" xfId="1" applyNumberFormat="1" applyFont="1" applyFill="1" applyBorder="1" applyAlignment="1">
      <alignment horizontal="right"/>
    </xf>
    <xf numFmtId="164" fontId="258" fillId="0" borderId="62" xfId="1" applyNumberFormat="1" applyFont="1" applyFill="1" applyBorder="1" applyAlignment="1">
      <alignment horizontal="left" vertical="center"/>
    </xf>
    <xf numFmtId="164" fontId="258" fillId="0" borderId="116" xfId="1" applyNumberFormat="1" applyFont="1" applyFill="1" applyBorder="1" applyAlignment="1">
      <alignment horizontal="right"/>
    </xf>
    <xf numFmtId="164" fontId="258" fillId="0" borderId="67" xfId="1" applyNumberFormat="1" applyFont="1" applyFill="1" applyBorder="1" applyAlignment="1">
      <alignment horizontal="right"/>
    </xf>
    <xf numFmtId="164" fontId="0" fillId="0" borderId="120" xfId="1" applyNumberFormat="1" applyFont="1" applyFill="1" applyBorder="1" applyAlignment="1">
      <alignment horizontal="right"/>
    </xf>
    <xf numFmtId="164" fontId="0" fillId="0" borderId="110" xfId="1" applyNumberFormat="1" applyFont="1" applyFill="1" applyBorder="1" applyAlignment="1">
      <alignment horizontal="center" vertical="center"/>
    </xf>
    <xf numFmtId="164" fontId="0" fillId="0" borderId="101" xfId="4" applyNumberFormat="1" applyFont="1" applyFill="1" applyBorder="1" applyAlignment="1">
      <alignment horizontal="right"/>
    </xf>
    <xf numFmtId="164" fontId="0" fillId="0" borderId="89" xfId="4" applyNumberFormat="1" applyFont="1" applyFill="1" applyBorder="1" applyAlignment="1">
      <alignment horizontal="right"/>
    </xf>
    <xf numFmtId="164" fontId="0" fillId="0" borderId="119" xfId="4" applyNumberFormat="1" applyFont="1" applyFill="1" applyBorder="1" applyAlignment="1">
      <alignment horizontal="right"/>
    </xf>
    <xf numFmtId="164" fontId="0" fillId="0" borderId="128" xfId="1" applyNumberFormat="1" applyFont="1" applyFill="1" applyBorder="1" applyAlignment="1"/>
    <xf numFmtId="164" fontId="0" fillId="0" borderId="131" xfId="1" applyNumberFormat="1" applyFont="1" applyFill="1" applyBorder="1" applyAlignment="1"/>
    <xf numFmtId="164" fontId="0" fillId="12" borderId="62" xfId="1" applyNumberFormat="1" applyFont="1" applyFill="1" applyBorder="1" applyAlignment="1">
      <alignment horizontal="right"/>
    </xf>
    <xf numFmtId="0" fontId="0" fillId="64" borderId="124" xfId="0" applyFont="1" applyFill="1" applyBorder="1" applyAlignment="1">
      <alignment horizontal="center" vertical="center"/>
    </xf>
    <xf numFmtId="0" fontId="0" fillId="64" borderId="115" xfId="0" applyFont="1" applyFill="1" applyBorder="1" applyAlignment="1">
      <alignment horizontal="center" vertical="center"/>
    </xf>
    <xf numFmtId="0" fontId="0" fillId="64" borderId="126" xfId="0" applyFont="1" applyFill="1" applyBorder="1" applyAlignment="1">
      <alignment horizontal="center" vertical="center"/>
    </xf>
    <xf numFmtId="0" fontId="0" fillId="64" borderId="137" xfId="0" applyFont="1" applyFill="1" applyBorder="1" applyAlignment="1">
      <alignment horizontal="center" vertical="center"/>
    </xf>
    <xf numFmtId="0" fontId="0" fillId="64" borderId="121" xfId="0" applyFont="1" applyFill="1" applyBorder="1" applyAlignment="1">
      <alignment horizontal="center" vertical="center"/>
    </xf>
    <xf numFmtId="0" fontId="0" fillId="64" borderId="62" xfId="0" applyFont="1" applyFill="1" applyBorder="1" applyAlignment="1">
      <alignment horizontal="center" vertical="center"/>
    </xf>
    <xf numFmtId="0" fontId="15" fillId="64" borderId="110" xfId="0" applyFont="1" applyFill="1" applyBorder="1" applyAlignment="1" applyProtection="1">
      <alignment horizontal="center"/>
      <protection locked="0"/>
    </xf>
    <xf numFmtId="0" fontId="15" fillId="64" borderId="120" xfId="0" applyFont="1" applyFill="1" applyBorder="1" applyAlignment="1" applyProtection="1">
      <alignment horizontal="center"/>
      <protection locked="0"/>
    </xf>
    <xf numFmtId="331" fontId="244" fillId="0" borderId="21" xfId="0" applyNumberFormat="1" applyFont="1" applyFill="1" applyBorder="1" applyAlignment="1">
      <alignment horizontal="right"/>
    </xf>
    <xf numFmtId="331" fontId="244" fillId="0" borderId="94" xfId="0" applyNumberFormat="1" applyFont="1" applyFill="1" applyBorder="1" applyAlignment="1">
      <alignment horizontal="right"/>
    </xf>
    <xf numFmtId="164" fontId="244" fillId="0" borderId="21" xfId="4" applyNumberFormat="1" applyFont="1" applyFill="1" applyBorder="1" applyAlignment="1">
      <alignment horizontal="right"/>
    </xf>
    <xf numFmtId="164" fontId="244" fillId="0" borderId="54" xfId="4343" applyNumberFormat="1" applyFont="1" applyFill="1" applyBorder="1" applyAlignment="1">
      <alignment horizontal="right"/>
    </xf>
    <xf numFmtId="164" fontId="244" fillId="0" borderId="94" xfId="4343" applyNumberFormat="1" applyFont="1" applyFill="1" applyBorder="1" applyAlignment="1">
      <alignment horizontal="right"/>
    </xf>
    <xf numFmtId="164" fontId="244" fillId="0" borderId="62" xfId="4" applyNumberFormat="1" applyFont="1" applyFill="1" applyBorder="1" applyAlignment="1">
      <alignment horizontal="right"/>
    </xf>
    <xf numFmtId="3" fontId="258" fillId="0" borderId="62" xfId="0" applyNumberFormat="1" applyFont="1" applyBorder="1" applyAlignment="1"/>
    <xf numFmtId="164" fontId="244" fillId="12" borderId="71" xfId="4343" applyNumberFormat="1" applyFont="1" applyFill="1" applyBorder="1" applyAlignment="1">
      <alignment horizontal="center" vertical="center"/>
    </xf>
    <xf numFmtId="164" fontId="244" fillId="12" borderId="72" xfId="4343" applyNumberFormat="1" applyFont="1" applyFill="1" applyBorder="1" applyAlignment="1">
      <alignment horizontal="center" vertical="center"/>
    </xf>
    <xf numFmtId="0" fontId="15" fillId="64" borderId="71" xfId="0" applyFont="1" applyFill="1" applyBorder="1" applyAlignment="1" applyProtection="1">
      <alignment horizontal="center"/>
      <protection locked="0"/>
    </xf>
    <xf numFmtId="164" fontId="244" fillId="0" borderId="100" xfId="4" applyNumberFormat="1" applyFont="1" applyFill="1" applyBorder="1" applyAlignment="1">
      <alignment horizontal="right"/>
    </xf>
    <xf numFmtId="164" fontId="244" fillId="0" borderId="93" xfId="4" applyNumberFormat="1" applyFont="1" applyFill="1" applyBorder="1" applyAlignment="1">
      <alignment horizontal="right"/>
    </xf>
    <xf numFmtId="164" fontId="244" fillId="0" borderId="3" xfId="4" applyNumberFormat="1" applyFont="1" applyFill="1" applyBorder="1" applyAlignment="1">
      <alignment horizontal="right"/>
    </xf>
    <xf numFmtId="164" fontId="244" fillId="0" borderId="121" xfId="1" applyNumberFormat="1" applyFont="1" applyFill="1" applyBorder="1" applyAlignment="1">
      <alignment horizontal="right"/>
    </xf>
    <xf numFmtId="164" fontId="244" fillId="0" borderId="64" xfId="4" applyNumberFormat="1" applyFont="1" applyFill="1" applyBorder="1" applyAlignment="1">
      <alignment horizontal="right"/>
    </xf>
    <xf numFmtId="164" fontId="258" fillId="0" borderId="91" xfId="0" applyNumberFormat="1" applyFont="1" applyBorder="1"/>
    <xf numFmtId="164" fontId="258" fillId="0" borderId="62" xfId="0" applyNumberFormat="1" applyFont="1" applyBorder="1"/>
    <xf numFmtId="164" fontId="258" fillId="0" borderId="109" xfId="0" applyNumberFormat="1" applyFont="1" applyFill="1" applyBorder="1"/>
    <xf numFmtId="164" fontId="258" fillId="0" borderId="98" xfId="0" applyNumberFormat="1" applyFont="1" applyBorder="1"/>
    <xf numFmtId="164" fontId="258" fillId="0" borderId="83" xfId="0" applyNumberFormat="1" applyFont="1" applyBorder="1"/>
    <xf numFmtId="164" fontId="258" fillId="0" borderId="82" xfId="0" applyNumberFormat="1" applyFont="1" applyFill="1" applyBorder="1"/>
    <xf numFmtId="164" fontId="258" fillId="0" borderId="95" xfId="0" applyNumberFormat="1" applyFont="1" applyFill="1" applyBorder="1"/>
    <xf numFmtId="164" fontId="258" fillId="0" borderId="38" xfId="0" applyNumberFormat="1" applyFont="1" applyFill="1" applyBorder="1"/>
    <xf numFmtId="164" fontId="258" fillId="0" borderId="38" xfId="0" applyNumberFormat="1" applyFont="1" applyBorder="1"/>
    <xf numFmtId="164" fontId="258" fillId="0" borderId="19" xfId="0" applyNumberFormat="1" applyFont="1" applyFill="1" applyBorder="1"/>
    <xf numFmtId="164" fontId="258" fillId="0" borderId="92" xfId="0" applyNumberFormat="1" applyFont="1" applyFill="1" applyBorder="1"/>
    <xf numFmtId="164" fontId="258" fillId="0" borderId="89" xfId="0" applyNumberFormat="1" applyFont="1" applyBorder="1"/>
    <xf numFmtId="164" fontId="258" fillId="0" borderId="54" xfId="0" applyNumberFormat="1" applyFont="1" applyBorder="1"/>
    <xf numFmtId="164" fontId="258" fillId="0" borderId="66" xfId="0" applyNumberFormat="1" applyFont="1" applyBorder="1"/>
    <xf numFmtId="164" fontId="258" fillId="0" borderId="68" xfId="0" applyNumberFormat="1" applyFont="1" applyFill="1" applyBorder="1"/>
    <xf numFmtId="164" fontId="258" fillId="0" borderId="79" xfId="0" applyNumberFormat="1" applyFont="1" applyBorder="1"/>
    <xf numFmtId="164" fontId="258" fillId="0" borderId="78" xfId="0" applyNumberFormat="1" applyFont="1" applyFill="1" applyBorder="1"/>
    <xf numFmtId="164" fontId="258" fillId="65" borderId="55" xfId="4" applyNumberFormat="1" applyFont="1" applyFill="1" applyBorder="1"/>
    <xf numFmtId="164" fontId="258" fillId="65" borderId="38" xfId="4" applyNumberFormat="1" applyFont="1" applyFill="1" applyBorder="1"/>
    <xf numFmtId="164" fontId="258" fillId="65" borderId="56" xfId="4" applyNumberFormat="1" applyFont="1" applyFill="1" applyBorder="1"/>
    <xf numFmtId="164" fontId="258" fillId="0" borderId="101" xfId="4343" applyNumberFormat="1" applyFont="1" applyFill="1" applyBorder="1"/>
    <xf numFmtId="164" fontId="258" fillId="0" borderId="141" xfId="4" applyNumberFormat="1" applyFont="1" applyFill="1" applyBorder="1"/>
    <xf numFmtId="164" fontId="258" fillId="0" borderId="98" xfId="4343" applyNumberFormat="1" applyFont="1" applyFill="1" applyBorder="1"/>
    <xf numFmtId="164" fontId="258" fillId="0" borderId="60" xfId="4343" applyNumberFormat="1" applyFont="1" applyFill="1" applyBorder="1"/>
    <xf numFmtId="164" fontId="258" fillId="0" borderId="62" xfId="4343" applyNumberFormat="1" applyFont="1" applyFill="1" applyBorder="1" applyAlignment="1">
      <alignment horizontal="right"/>
    </xf>
    <xf numFmtId="164" fontId="258" fillId="0" borderId="141" xfId="4343" applyNumberFormat="1" applyFont="1" applyFill="1" applyBorder="1" applyAlignment="1">
      <alignment horizontal="right"/>
    </xf>
    <xf numFmtId="164" fontId="258" fillId="0" borderId="142" xfId="4343" applyNumberFormat="1" applyFont="1" applyFill="1" applyBorder="1" applyAlignment="1">
      <alignment horizontal="right"/>
    </xf>
    <xf numFmtId="164" fontId="258" fillId="0" borderId="89" xfId="4343" applyNumberFormat="1" applyFont="1" applyFill="1" applyBorder="1" applyAlignment="1">
      <alignment horizontal="right"/>
    </xf>
    <xf numFmtId="164" fontId="258" fillId="0" borderId="144" xfId="4343" applyNumberFormat="1" applyFont="1" applyFill="1" applyBorder="1" applyAlignment="1">
      <alignment horizontal="right"/>
    </xf>
    <xf numFmtId="331" fontId="258" fillId="0" borderId="70" xfId="0" applyNumberFormat="1" applyFont="1" applyBorder="1" applyAlignment="1">
      <alignment horizontal="right"/>
    </xf>
    <xf numFmtId="164" fontId="258" fillId="0" borderId="71" xfId="4343" applyNumberFormat="1" applyFont="1" applyFill="1" applyBorder="1"/>
    <xf numFmtId="164" fontId="258" fillId="0" borderId="79" xfId="4343" applyNumberFormat="1" applyFont="1" applyFill="1" applyBorder="1"/>
    <xf numFmtId="164" fontId="258" fillId="0" borderId="72" xfId="4343" applyNumberFormat="1" applyFont="1" applyFill="1" applyBorder="1"/>
    <xf numFmtId="164" fontId="258" fillId="12" borderId="79" xfId="4343" applyNumberFormat="1" applyFont="1" applyFill="1" applyBorder="1" applyAlignment="1">
      <alignment horizontal="center" vertical="center"/>
    </xf>
    <xf numFmtId="0" fontId="292" fillId="0" borderId="142"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0" fillId="0" borderId="67" xfId="0" applyFont="1" applyFill="1" applyBorder="1" applyAlignment="1">
      <alignment horizontal="center" vertical="center" wrapText="1"/>
    </xf>
    <xf numFmtId="0" fontId="0" fillId="0" borderId="122" xfId="0" applyFont="1" applyFill="1" applyBorder="1" applyAlignment="1" applyProtection="1">
      <alignment horizontal="center"/>
      <protection locked="0"/>
    </xf>
    <xf numFmtId="0" fontId="0" fillId="0" borderId="21" xfId="0" applyFill="1" applyBorder="1" applyAlignment="1" applyProtection="1">
      <alignment horizontal="center" vertical="center"/>
      <protection locked="0"/>
    </xf>
    <xf numFmtId="0" fontId="0" fillId="0" borderId="154"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3" xfId="0" applyFont="1" applyFill="1" applyBorder="1" applyAlignment="1" applyProtection="1">
      <alignment horizontal="center"/>
      <protection locked="0"/>
    </xf>
    <xf numFmtId="9" fontId="252" fillId="53" borderId="0" xfId="2" applyFont="1" applyFill="1"/>
    <xf numFmtId="5" fontId="252" fillId="53" borderId="0" xfId="2" applyNumberFormat="1" applyFont="1" applyFill="1" applyBorder="1" applyAlignment="1">
      <alignment horizontal="left" indent="1"/>
    </xf>
    <xf numFmtId="0" fontId="0" fillId="53" borderId="114" xfId="0" applyFill="1" applyBorder="1"/>
    <xf numFmtId="5" fontId="252" fillId="53" borderId="127" xfId="1" applyNumberFormat="1" applyFont="1" applyFill="1" applyBorder="1"/>
    <xf numFmtId="9" fontId="2" fillId="53" borderId="0" xfId="2" applyFont="1" applyFill="1" applyBorder="1" applyAlignment="1">
      <alignment horizontal="center"/>
    </xf>
    <xf numFmtId="5" fontId="2" fillId="53" borderId="0" xfId="0" applyNumberFormat="1" applyFont="1" applyFill="1"/>
    <xf numFmtId="5" fontId="252" fillId="53" borderId="130" xfId="1" applyNumberFormat="1" applyFont="1" applyFill="1" applyBorder="1" applyAlignment="1">
      <alignment horizontal="left" indent="1"/>
    </xf>
    <xf numFmtId="164" fontId="252" fillId="53" borderId="65" xfId="1" applyNumberFormat="1" applyFont="1" applyFill="1" applyBorder="1" applyAlignment="1">
      <alignment horizontal="left" indent="1"/>
    </xf>
    <xf numFmtId="5" fontId="252" fillId="53" borderId="126" xfId="1" applyNumberFormat="1" applyFont="1" applyFill="1" applyBorder="1" applyAlignment="1">
      <alignment horizontal="left" indent="1"/>
    </xf>
    <xf numFmtId="5" fontId="252" fillId="53" borderId="127" xfId="1" applyNumberFormat="1" applyFont="1" applyFill="1" applyBorder="1" applyAlignment="1">
      <alignment horizontal="left" indent="1"/>
    </xf>
    <xf numFmtId="5" fontId="252" fillId="53" borderId="62" xfId="1" applyNumberFormat="1" applyFont="1" applyFill="1" applyBorder="1"/>
    <xf numFmtId="164" fontId="252" fillId="53" borderId="65" xfId="1" applyNumberFormat="1" applyFont="1" applyFill="1" applyBorder="1"/>
    <xf numFmtId="5" fontId="252" fillId="53" borderId="126" xfId="1" applyNumberFormat="1" applyFont="1" applyFill="1" applyBorder="1"/>
    <xf numFmtId="190" fontId="244" fillId="0" borderId="0" xfId="0" applyNumberFormat="1" applyFont="1"/>
    <xf numFmtId="0" fontId="0" fillId="0" borderId="67" xfId="0" applyBorder="1" applyAlignment="1">
      <alignment horizontal="left" vertical="center" indent="1"/>
    </xf>
    <xf numFmtId="0" fontId="258" fillId="0" borderId="67" xfId="0" applyFont="1" applyFill="1" applyBorder="1" applyAlignment="1">
      <alignment horizontal="center" vertical="center"/>
    </xf>
    <xf numFmtId="331" fontId="0" fillId="0" borderId="74" xfId="4339" applyNumberFormat="1" applyFont="1" applyFill="1" applyBorder="1"/>
    <xf numFmtId="331" fontId="8" fillId="0" borderId="83" xfId="4339" applyNumberFormat="1" applyFont="1" applyFill="1" applyBorder="1"/>
    <xf numFmtId="331" fontId="8" fillId="0" borderId="75" xfId="4339" applyNumberFormat="1" applyFont="1" applyFill="1" applyBorder="1"/>
    <xf numFmtId="331" fontId="0" fillId="0" borderId="83" xfId="4339" applyNumberFormat="1" applyFont="1" applyFill="1" applyBorder="1"/>
    <xf numFmtId="331" fontId="244" fillId="0" borderId="83" xfId="4339" applyNumberFormat="1" applyFont="1" applyFill="1" applyBorder="1"/>
    <xf numFmtId="331" fontId="244" fillId="0" borderId="75" xfId="4339" applyNumberFormat="1" applyFont="1" applyFill="1" applyBorder="1"/>
    <xf numFmtId="0" fontId="0" fillId="0" borderId="155" xfId="0" applyBorder="1" applyAlignment="1">
      <alignment horizontal="left" vertical="center" indent="1"/>
    </xf>
    <xf numFmtId="0" fontId="258" fillId="0" borderId="156" xfId="0" applyFont="1" applyFill="1" applyBorder="1" applyAlignment="1">
      <alignment horizontal="center" vertical="center"/>
    </xf>
    <xf numFmtId="0" fontId="258" fillId="0" borderId="157" xfId="0" applyFont="1" applyFill="1" applyBorder="1" applyAlignment="1">
      <alignment horizontal="center" vertical="center"/>
    </xf>
    <xf numFmtId="164" fontId="8" fillId="61" borderId="67" xfId="4" applyNumberFormat="1" applyFont="1" applyFill="1" applyBorder="1"/>
    <xf numFmtId="164" fontId="8" fillId="61" borderId="99" xfId="4" applyNumberFormat="1" applyFont="1" applyFill="1" applyBorder="1"/>
    <xf numFmtId="164" fontId="0" fillId="61" borderId="74" xfId="4" applyNumberFormat="1" applyFont="1" applyFill="1" applyBorder="1"/>
    <xf numFmtId="164" fontId="0" fillId="61" borderId="75" xfId="4" applyNumberFormat="1" applyFont="1" applyFill="1" applyBorder="1"/>
    <xf numFmtId="164" fontId="0" fillId="61" borderId="83" xfId="4" applyNumberFormat="1" applyFont="1" applyFill="1" applyBorder="1"/>
    <xf numFmtId="164" fontId="244" fillId="61" borderId="74" xfId="4" applyNumberFormat="1" applyFont="1" applyFill="1" applyBorder="1"/>
    <xf numFmtId="164" fontId="244" fillId="61" borderId="75" xfId="4" applyNumberFormat="1" applyFont="1" applyFill="1" applyBorder="1"/>
    <xf numFmtId="0" fontId="258" fillId="0" borderId="156" xfId="0" applyFont="1" applyBorder="1" applyAlignment="1">
      <alignment horizontal="center" vertical="center"/>
    </xf>
    <xf numFmtId="164" fontId="258" fillId="0" borderId="67" xfId="0" applyNumberFormat="1" applyFont="1" applyFill="1" applyBorder="1"/>
    <xf numFmtId="164" fontId="0" fillId="0" borderId="156" xfId="0" applyNumberFormat="1" applyFont="1" applyFill="1" applyBorder="1"/>
    <xf numFmtId="164" fontId="258" fillId="0" borderId="108" xfId="0" applyNumberFormat="1" applyFont="1" applyFill="1" applyBorder="1"/>
    <xf numFmtId="164" fontId="0" fillId="0" borderId="93" xfId="0" applyNumberFormat="1" applyFont="1" applyFill="1" applyBorder="1"/>
    <xf numFmtId="164" fontId="0" fillId="0" borderId="101" xfId="0" applyNumberFormat="1" applyFont="1" applyBorder="1"/>
    <xf numFmtId="164" fontId="0" fillId="0" borderId="101" xfId="0" applyNumberFormat="1" applyFont="1" applyFill="1" applyBorder="1"/>
    <xf numFmtId="164" fontId="0" fillId="0" borderId="158" xfId="0" applyNumberFormat="1" applyFont="1" applyFill="1" applyBorder="1"/>
    <xf numFmtId="164" fontId="258" fillId="0" borderId="101" xfId="0" applyNumberFormat="1" applyFont="1" applyFill="1" applyBorder="1"/>
    <xf numFmtId="164" fontId="258" fillId="0" borderId="101" xfId="0" applyNumberFormat="1" applyFont="1" applyBorder="1"/>
    <xf numFmtId="164" fontId="258" fillId="0" borderId="158" xfId="0" applyNumberFormat="1" applyFont="1" applyFill="1" applyBorder="1"/>
    <xf numFmtId="331" fontId="258" fillId="0" borderId="83" xfId="4339" applyNumberFormat="1" applyFont="1" applyFill="1" applyBorder="1"/>
    <xf numFmtId="331" fontId="258" fillId="0" borderId="75" xfId="4339" applyNumberFormat="1" applyFont="1" applyFill="1" applyBorder="1"/>
    <xf numFmtId="164" fontId="258" fillId="61" borderId="74" xfId="4" applyNumberFormat="1" applyFont="1" applyFill="1" applyBorder="1"/>
    <xf numFmtId="164" fontId="258" fillId="61" borderId="75" xfId="4" applyNumberFormat="1" applyFont="1" applyFill="1" applyBorder="1"/>
    <xf numFmtId="331" fontId="258" fillId="0" borderId="70" xfId="4339" applyNumberFormat="1" applyFont="1" applyBorder="1"/>
    <xf numFmtId="3" fontId="0" fillId="0" borderId="96" xfId="0" applyNumberFormat="1" applyFont="1" applyBorder="1" applyAlignment="1">
      <alignment horizontal="left"/>
    </xf>
    <xf numFmtId="331" fontId="258" fillId="0" borderId="21" xfId="0" applyNumberFormat="1" applyFont="1" applyFill="1" applyBorder="1" applyAlignment="1">
      <alignment horizontal="left"/>
    </xf>
    <xf numFmtId="0" fontId="8" fillId="0" borderId="159" xfId="0" applyFont="1" applyFill="1" applyBorder="1" applyAlignment="1">
      <alignment horizontal="center"/>
    </xf>
    <xf numFmtId="331" fontId="11" fillId="0" borderId="160" xfId="4339" applyNumberFormat="1" applyFont="1" applyFill="1" applyBorder="1" applyAlignment="1">
      <alignment horizontal="center"/>
    </xf>
    <xf numFmtId="3" fontId="0" fillId="0" borderId="161" xfId="0" applyNumberFormat="1" applyFont="1" applyFill="1" applyBorder="1" applyAlignment="1">
      <alignment horizontal="right"/>
    </xf>
    <xf numFmtId="3" fontId="0" fillId="0" borderId="161" xfId="0" applyNumberFormat="1" applyFont="1" applyBorder="1" applyAlignment="1">
      <alignment horizontal="right"/>
    </xf>
    <xf numFmtId="0" fontId="0" fillId="0" borderId="100" xfId="0" applyFont="1" applyFill="1" applyBorder="1" applyAlignment="1">
      <alignment horizontal="center"/>
    </xf>
    <xf numFmtId="0" fontId="0" fillId="0" borderId="64" xfId="0" applyFont="1" applyFill="1" applyBorder="1" applyAlignment="1">
      <alignment horizontal="center"/>
    </xf>
    <xf numFmtId="3" fontId="0" fillId="0" borderId="101" xfId="0" applyNumberFormat="1" applyFont="1" applyBorder="1" applyAlignment="1">
      <alignment horizontal="right"/>
    </xf>
    <xf numFmtId="3" fontId="0" fillId="0" borderId="66" xfId="0" applyNumberFormat="1" applyFont="1" applyBorder="1" applyAlignment="1">
      <alignment horizontal="right"/>
    </xf>
    <xf numFmtId="3" fontId="0" fillId="0" borderId="162" xfId="0" applyNumberFormat="1" applyFont="1" applyBorder="1" applyAlignment="1">
      <alignment horizontal="right"/>
    </xf>
    <xf numFmtId="3" fontId="0" fillId="0" borderId="162" xfId="0" applyNumberFormat="1" applyFont="1" applyFill="1" applyBorder="1" applyAlignment="1">
      <alignment horizontal="right"/>
    </xf>
    <xf numFmtId="3" fontId="0" fillId="0" borderId="163" xfId="0" applyNumberFormat="1" applyFont="1" applyFill="1" applyBorder="1" applyAlignment="1">
      <alignment horizontal="right"/>
    </xf>
    <xf numFmtId="3" fontId="0" fillId="0" borderId="65" xfId="0" applyNumberFormat="1" applyFont="1" applyFill="1" applyBorder="1" applyAlignment="1">
      <alignment horizontal="right"/>
    </xf>
    <xf numFmtId="3" fontId="0" fillId="0" borderId="64" xfId="0" applyNumberFormat="1" applyFont="1" applyFill="1" applyBorder="1" applyAlignment="1">
      <alignment horizontal="right"/>
    </xf>
    <xf numFmtId="0" fontId="15" fillId="60" borderId="164" xfId="0" applyFont="1" applyFill="1" applyBorder="1" applyAlignment="1" applyProtection="1">
      <alignment horizontal="center"/>
      <protection locked="0"/>
    </xf>
    <xf numFmtId="331" fontId="0" fillId="0" borderId="97" xfId="4339" applyNumberFormat="1" applyFont="1" applyFill="1" applyBorder="1" applyAlignment="1">
      <alignment horizontal="right"/>
    </xf>
    <xf numFmtId="331" fontId="0" fillId="0" borderId="67" xfId="4339" applyNumberFormat="1" applyFont="1" applyFill="1" applyBorder="1" applyAlignment="1">
      <alignment horizontal="right"/>
    </xf>
    <xf numFmtId="3" fontId="0" fillId="0" borderId="67" xfId="0" applyNumberFormat="1" applyFont="1" applyFill="1" applyBorder="1" applyAlignment="1">
      <alignment horizontal="right"/>
    </xf>
    <xf numFmtId="3" fontId="0" fillId="0" borderId="99" xfId="0" applyNumberFormat="1" applyFont="1" applyFill="1" applyBorder="1" applyAlignment="1">
      <alignment horizontal="right"/>
    </xf>
    <xf numFmtId="331" fontId="0" fillId="0" borderId="98" xfId="4339" applyNumberFormat="1" applyFont="1" applyFill="1" applyBorder="1" applyAlignment="1">
      <alignment horizontal="right"/>
    </xf>
    <xf numFmtId="3" fontId="0" fillId="0" borderId="63" xfId="0" applyNumberFormat="1" applyFont="1" applyFill="1" applyBorder="1" applyAlignment="1">
      <alignment horizontal="right"/>
    </xf>
    <xf numFmtId="3" fontId="0" fillId="0" borderId="165" xfId="0" applyNumberFormat="1" applyFont="1" applyFill="1" applyBorder="1" applyAlignment="1">
      <alignment horizontal="right"/>
    </xf>
    <xf numFmtId="3" fontId="0" fillId="0" borderId="166" xfId="0" applyNumberFormat="1" applyFont="1" applyFill="1" applyBorder="1" applyAlignment="1">
      <alignment horizontal="right"/>
    </xf>
    <xf numFmtId="3" fontId="0" fillId="0" borderId="167" xfId="0" applyNumberFormat="1" applyFont="1" applyFill="1" applyBorder="1" applyAlignment="1">
      <alignment horizontal="right"/>
    </xf>
    <xf numFmtId="3" fontId="0" fillId="0" borderId="168" xfId="0" applyNumberFormat="1" applyFont="1" applyFill="1" applyBorder="1" applyAlignment="1">
      <alignment horizontal="right"/>
    </xf>
    <xf numFmtId="3" fontId="0" fillId="0" borderId="169" xfId="0" applyNumberFormat="1" applyFont="1" applyFill="1" applyBorder="1" applyAlignment="1">
      <alignment horizontal="right"/>
    </xf>
    <xf numFmtId="164" fontId="0" fillId="0" borderId="161" xfId="4" applyNumberFormat="1" applyFont="1" applyFill="1" applyBorder="1" applyAlignment="1"/>
    <xf numFmtId="164" fontId="258" fillId="0" borderId="161" xfId="4" applyNumberFormat="1" applyFont="1" applyFill="1" applyBorder="1" applyAlignment="1"/>
    <xf numFmtId="164" fontId="0" fillId="0" borderId="155" xfId="0" applyNumberFormat="1" applyFont="1" applyFill="1" applyBorder="1" applyAlignment="1">
      <alignment horizontal="right"/>
    </xf>
    <xf numFmtId="164" fontId="0" fillId="0" borderId="161" xfId="4" applyNumberFormat="1" applyFont="1" applyFill="1" applyBorder="1" applyAlignment="1">
      <alignment horizontal="right"/>
    </xf>
    <xf numFmtId="0" fontId="8" fillId="0" borderId="100" xfId="0" applyFont="1" applyFill="1" applyBorder="1" applyAlignment="1">
      <alignment horizontal="center"/>
    </xf>
    <xf numFmtId="0" fontId="8" fillId="0" borderId="64" xfId="0" applyFont="1" applyFill="1" applyBorder="1" applyAlignment="1">
      <alignment horizontal="center"/>
    </xf>
    <xf numFmtId="164" fontId="0" fillId="0" borderId="58" xfId="4" applyNumberFormat="1" applyFont="1" applyFill="1" applyBorder="1" applyAlignment="1"/>
    <xf numFmtId="164" fontId="0" fillId="0" borderId="75" xfId="4" applyNumberFormat="1" applyFont="1" applyFill="1" applyBorder="1" applyAlignment="1"/>
    <xf numFmtId="164" fontId="0" fillId="0" borderId="162" xfId="4" applyNumberFormat="1" applyFont="1" applyFill="1" applyBorder="1" applyAlignment="1"/>
    <xf numFmtId="164" fontId="0" fillId="0" borderId="163" xfId="4" applyNumberFormat="1" applyFont="1" applyFill="1" applyBorder="1" applyAlignment="1"/>
    <xf numFmtId="164" fontId="258" fillId="0" borderId="81" xfId="4" applyNumberFormat="1" applyFont="1" applyFill="1" applyBorder="1" applyAlignment="1"/>
    <xf numFmtId="164" fontId="258" fillId="0" borderId="64" xfId="4" applyNumberFormat="1" applyFont="1" applyFill="1" applyBorder="1" applyAlignment="1"/>
    <xf numFmtId="164" fontId="258" fillId="0" borderId="75" xfId="4" applyNumberFormat="1" applyFont="1" applyFill="1" applyBorder="1" applyAlignment="1"/>
    <xf numFmtId="164" fontId="258" fillId="0" borderId="163" xfId="4" applyNumberFormat="1" applyFont="1" applyFill="1" applyBorder="1" applyAlignment="1"/>
    <xf numFmtId="0" fontId="78" fillId="0" borderId="0" xfId="0" applyFont="1" applyFill="1" applyBorder="1" applyAlignment="1" applyProtection="1">
      <protection locked="0"/>
    </xf>
    <xf numFmtId="0" fontId="15" fillId="64" borderId="72" xfId="0" applyFont="1" applyFill="1" applyBorder="1" applyAlignment="1" applyProtection="1">
      <alignment horizontal="center"/>
      <protection locked="0"/>
    </xf>
    <xf numFmtId="164" fontId="258" fillId="0" borderId="142" xfId="4" applyNumberFormat="1" applyFont="1" applyFill="1" applyBorder="1" applyAlignment="1"/>
    <xf numFmtId="164" fontId="258" fillId="0" borderId="160" xfId="4" applyNumberFormat="1" applyFont="1" applyFill="1" applyBorder="1" applyAlignment="1"/>
    <xf numFmtId="164" fontId="258" fillId="0" borderId="144" xfId="4" applyNumberFormat="1" applyFont="1" applyFill="1" applyBorder="1" applyAlignment="1"/>
    <xf numFmtId="164" fontId="0" fillId="0" borderId="108" xfId="0" applyNumberFormat="1" applyFont="1" applyFill="1" applyBorder="1" applyAlignment="1">
      <alignment horizontal="right"/>
    </xf>
    <xf numFmtId="164" fontId="0" fillId="0" borderId="162" xfId="4" applyNumberFormat="1" applyFont="1" applyFill="1" applyBorder="1" applyAlignment="1">
      <alignment horizontal="right"/>
    </xf>
    <xf numFmtId="164" fontId="0" fillId="0" borderId="163" xfId="4" applyNumberFormat="1" applyFont="1" applyFill="1" applyBorder="1" applyAlignment="1">
      <alignment horizontal="right"/>
    </xf>
    <xf numFmtId="164" fontId="0" fillId="0" borderId="170" xfId="0" applyNumberFormat="1" applyFont="1" applyFill="1" applyBorder="1" applyAlignment="1">
      <alignment horizontal="right"/>
    </xf>
    <xf numFmtId="0" fontId="15" fillId="60" borderId="73" xfId="0" applyFont="1" applyFill="1" applyBorder="1" applyAlignment="1" applyProtection="1">
      <alignment horizontal="center"/>
      <protection locked="0"/>
    </xf>
    <xf numFmtId="0" fontId="15" fillId="60" borderId="74" xfId="0" applyFont="1" applyFill="1" applyBorder="1" applyAlignment="1" applyProtection="1">
      <alignment horizontal="center"/>
      <protection locked="0"/>
    </xf>
    <xf numFmtId="0" fontId="15" fillId="60" borderId="75" xfId="0" applyFont="1" applyFill="1" applyBorder="1" applyAlignment="1" applyProtection="1">
      <alignment horizontal="center"/>
      <protection locked="0"/>
    </xf>
    <xf numFmtId="0" fontId="15" fillId="60" borderId="83" xfId="0" applyFont="1" applyFill="1" applyBorder="1" applyAlignment="1" applyProtection="1">
      <alignment horizontal="center"/>
      <protection locked="0"/>
    </xf>
    <xf numFmtId="0" fontId="15" fillId="60" borderId="81" xfId="0" applyFont="1" applyFill="1" applyBorder="1" applyAlignment="1" applyProtection="1">
      <alignment horizontal="center"/>
      <protection locked="0"/>
    </xf>
    <xf numFmtId="164" fontId="0" fillId="0" borderId="107" xfId="0" applyNumberFormat="1" applyFont="1" applyFill="1" applyBorder="1" applyAlignment="1">
      <alignment horizontal="right"/>
    </xf>
    <xf numFmtId="0" fontId="15" fillId="64" borderId="75" xfId="0" applyFont="1" applyFill="1" applyBorder="1" applyAlignment="1" applyProtection="1">
      <alignment horizontal="center"/>
      <protection locked="0"/>
    </xf>
    <xf numFmtId="164" fontId="0" fillId="0" borderId="100" xfId="4" applyNumberFormat="1" applyFont="1" applyFill="1" applyBorder="1" applyAlignment="1">
      <alignment horizontal="right"/>
    </xf>
    <xf numFmtId="164" fontId="11" fillId="0" borderId="141" xfId="4" applyNumberFormat="1" applyFont="1" applyFill="1" applyBorder="1" applyAlignment="1">
      <alignment horizontal="right"/>
    </xf>
    <xf numFmtId="164" fontId="11" fillId="0" borderId="142" xfId="4" applyNumberFormat="1" applyFont="1" applyFill="1" applyBorder="1" applyAlignment="1">
      <alignment horizontal="right"/>
    </xf>
    <xf numFmtId="164" fontId="11" fillId="0" borderId="144" xfId="4" applyNumberFormat="1" applyFont="1" applyFill="1" applyBorder="1" applyAlignment="1">
      <alignment horizontal="right"/>
    </xf>
    <xf numFmtId="164" fontId="11" fillId="0" borderId="164" xfId="4" applyNumberFormat="1" applyFont="1" applyFill="1" applyBorder="1" applyAlignment="1">
      <alignment horizontal="right"/>
    </xf>
    <xf numFmtId="164" fontId="11" fillId="0" borderId="160" xfId="4" applyNumberFormat="1" applyFont="1" applyFill="1" applyBorder="1" applyAlignment="1">
      <alignment horizontal="right"/>
    </xf>
    <xf numFmtId="0" fontId="8" fillId="0" borderId="171" xfId="0" applyFont="1" applyFill="1" applyBorder="1" applyAlignment="1">
      <alignment horizontal="left" indent="1"/>
    </xf>
    <xf numFmtId="0" fontId="8" fillId="0" borderId="172" xfId="0" applyFont="1" applyFill="1" applyBorder="1" applyAlignment="1">
      <alignment horizontal="center"/>
    </xf>
    <xf numFmtId="0" fontId="0" fillId="0" borderId="160" xfId="0" applyFont="1" applyFill="1" applyBorder="1" applyAlignment="1">
      <alignment horizontal="center"/>
    </xf>
    <xf numFmtId="164" fontId="0" fillId="0" borderId="141" xfId="4" applyNumberFormat="1" applyFont="1" applyFill="1" applyBorder="1" applyAlignment="1"/>
    <xf numFmtId="164" fontId="0" fillId="0" borderId="142" xfId="4" applyNumberFormat="1" applyFont="1" applyFill="1" applyBorder="1" applyAlignment="1"/>
    <xf numFmtId="164" fontId="0" fillId="0" borderId="144" xfId="4" applyNumberFormat="1" applyFont="1" applyFill="1" applyBorder="1" applyAlignment="1"/>
    <xf numFmtId="164" fontId="0" fillId="0" borderId="164" xfId="4" applyNumberFormat="1" applyFont="1" applyFill="1" applyBorder="1" applyAlignment="1"/>
    <xf numFmtId="331" fontId="0" fillId="0" borderId="21" xfId="0" applyNumberFormat="1" applyFont="1" applyFill="1" applyBorder="1" applyAlignment="1">
      <alignment horizontal="left"/>
    </xf>
    <xf numFmtId="334" fontId="244" fillId="0" borderId="0" xfId="4339" applyNumberFormat="1" applyFont="1"/>
    <xf numFmtId="0" fontId="15" fillId="67" borderId="0" xfId="0" applyFont="1" applyFill="1" applyAlignment="1" applyProtection="1">
      <alignment readingOrder="1"/>
      <protection locked="0"/>
    </xf>
    <xf numFmtId="42" fontId="0" fillId="67" borderId="0" xfId="0" applyNumberFormat="1" applyFont="1" applyFill="1"/>
    <xf numFmtId="0" fontId="0" fillId="67" borderId="0" xfId="0" applyFont="1" applyFill="1"/>
    <xf numFmtId="0" fontId="244" fillId="67" borderId="0" xfId="0" applyFont="1" applyFill="1"/>
    <xf numFmtId="44" fontId="0" fillId="67" borderId="0" xfId="0" applyNumberFormat="1" applyFont="1" applyFill="1"/>
    <xf numFmtId="9" fontId="254" fillId="0" borderId="87" xfId="2" applyFont="1" applyFill="1" applyBorder="1"/>
    <xf numFmtId="9" fontId="254" fillId="0" borderId="0" xfId="2" applyFont="1" applyFill="1" applyBorder="1"/>
    <xf numFmtId="0" fontId="255" fillId="55" borderId="64" xfId="0" applyFont="1" applyFill="1" applyBorder="1" applyAlignment="1">
      <alignment horizontal="center" vertical="center"/>
    </xf>
    <xf numFmtId="0" fontId="255" fillId="55" borderId="65" xfId="0" applyFont="1" applyFill="1" applyBorder="1" applyAlignment="1">
      <alignment horizontal="center" vertical="center"/>
    </xf>
    <xf numFmtId="0" fontId="244" fillId="0" borderId="0" xfId="0" applyFont="1" applyAlignment="1">
      <alignment horizontal="left"/>
    </xf>
    <xf numFmtId="0" fontId="286" fillId="53" borderId="62" xfId="0" applyFont="1" applyFill="1" applyBorder="1" applyAlignment="1">
      <alignment horizontal="left" vertical="center" wrapText="1" readingOrder="1"/>
    </xf>
    <xf numFmtId="5" fontId="0" fillId="53" borderId="62" xfId="0" applyNumberFormat="1" applyFill="1" applyBorder="1"/>
    <xf numFmtId="5" fontId="244" fillId="53" borderId="62" xfId="0" applyNumberFormat="1" applyFont="1" applyFill="1" applyBorder="1"/>
    <xf numFmtId="259" fontId="0" fillId="53" borderId="62" xfId="2" applyNumberFormat="1" applyFont="1" applyFill="1" applyBorder="1" applyAlignment="1">
      <alignment horizontal="center"/>
    </xf>
    <xf numFmtId="5" fontId="244" fillId="63" borderId="62" xfId="0" applyNumberFormat="1" applyFont="1" applyFill="1" applyBorder="1"/>
    <xf numFmtId="331" fontId="8" fillId="0" borderId="121" xfId="0" applyNumberFormat="1" applyFont="1" applyFill="1" applyBorder="1" applyAlignment="1">
      <alignment horizontal="right"/>
    </xf>
    <xf numFmtId="331" fontId="8" fillId="0" borderId="143" xfId="0" applyNumberFormat="1" applyFont="1" applyFill="1" applyBorder="1" applyAlignment="1">
      <alignment horizontal="right"/>
    </xf>
    <xf numFmtId="331" fontId="8" fillId="0" borderId="62" xfId="0" applyNumberFormat="1" applyFont="1" applyFill="1" applyBorder="1" applyAlignment="1">
      <alignment horizontal="left" vertical="center"/>
    </xf>
    <xf numFmtId="331" fontId="8" fillId="0" borderId="116" xfId="0" applyNumberFormat="1" applyFont="1" applyFill="1" applyBorder="1" applyAlignment="1">
      <alignment horizontal="right"/>
    </xf>
    <xf numFmtId="164" fontId="0" fillId="0" borderId="101"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5" xfId="4" applyNumberFormat="1" applyFont="1" applyFill="1" applyBorder="1" applyAlignment="1">
      <alignment horizontal="left"/>
    </xf>
    <xf numFmtId="164" fontId="0" fillId="0" borderId="21" xfId="4" applyNumberFormat="1" applyFont="1" applyFill="1" applyBorder="1" applyAlignment="1">
      <alignment horizontal="left"/>
    </xf>
    <xf numFmtId="164" fontId="8" fillId="0" borderId="142" xfId="4" applyNumberFormat="1" applyFont="1" applyFill="1" applyBorder="1" applyAlignment="1">
      <alignment horizontal="right"/>
    </xf>
    <xf numFmtId="164" fontId="8" fillId="0" borderId="143" xfId="1" applyNumberFormat="1" applyFont="1" applyFill="1" applyBorder="1" applyAlignment="1">
      <alignment horizontal="right"/>
    </xf>
    <xf numFmtId="164" fontId="8" fillId="0" borderId="21" xfId="4" applyNumberFormat="1" applyFont="1" applyFill="1" applyBorder="1" applyAlignment="1">
      <alignment horizontal="right"/>
    </xf>
    <xf numFmtId="164" fontId="8" fillId="0" borderId="121" xfId="1" applyNumberFormat="1" applyFont="1" applyFill="1" applyBorder="1" applyAlignment="1">
      <alignment horizontal="right"/>
    </xf>
    <xf numFmtId="164" fontId="8" fillId="0" borderId="62" xfId="4" applyNumberFormat="1" applyFont="1" applyBorder="1" applyAlignment="1"/>
    <xf numFmtId="164" fontId="8" fillId="0" borderId="62" xfId="4" applyNumberFormat="1" applyFont="1" applyFill="1" applyBorder="1" applyAlignment="1">
      <alignment horizontal="center" vertical="center"/>
    </xf>
    <xf numFmtId="164" fontId="8" fillId="0" borderId="67" xfId="4" applyNumberFormat="1" applyFont="1" applyFill="1" applyBorder="1" applyAlignment="1">
      <alignment horizontal="center" vertical="center"/>
    </xf>
    <xf numFmtId="164" fontId="8" fillId="0" borderId="116" xfId="1" applyNumberFormat="1" applyFont="1" applyFill="1" applyBorder="1" applyAlignment="1">
      <alignment horizontal="right"/>
    </xf>
    <xf numFmtId="164" fontId="8" fillId="12" borderId="71" xfId="4343" applyNumberFormat="1" applyFont="1" applyFill="1" applyBorder="1" applyAlignment="1">
      <alignment horizontal="center" vertical="center"/>
    </xf>
    <xf numFmtId="164" fontId="8" fillId="0" borderId="120" xfId="1" applyNumberFormat="1" applyFont="1" applyFill="1" applyBorder="1" applyAlignment="1">
      <alignment horizontal="right"/>
    </xf>
    <xf numFmtId="331" fontId="8" fillId="0" borderId="96" xfId="4339" applyNumberFormat="1" applyFont="1" applyFill="1" applyBorder="1"/>
    <xf numFmtId="331" fontId="8" fillId="0" borderId="91" xfId="4339" applyNumberFormat="1" applyFont="1" applyFill="1" applyBorder="1"/>
    <xf numFmtId="331" fontId="8" fillId="0" borderId="97" xfId="4339" applyNumberFormat="1" applyFont="1" applyFill="1" applyBorder="1"/>
    <xf numFmtId="331" fontId="8" fillId="0" borderId="141" xfId="4339" applyNumberFormat="1" applyFont="1" applyFill="1" applyBorder="1"/>
    <xf numFmtId="331" fontId="8" fillId="0" borderId="60" xfId="4339" applyNumberFormat="1" applyFont="1" applyFill="1" applyBorder="1"/>
    <xf numFmtId="331" fontId="8" fillId="0" borderId="61" xfId="4339" applyNumberFormat="1" applyFont="1" applyFill="1" applyBorder="1"/>
    <xf numFmtId="331" fontId="8" fillId="0" borderId="60" xfId="0" applyNumberFormat="1" applyFont="1" applyFill="1" applyBorder="1" applyAlignment="1">
      <alignment horizontal="left"/>
    </xf>
    <xf numFmtId="331" fontId="8" fillId="0" borderId="61" xfId="0" applyNumberFormat="1" applyFont="1" applyFill="1" applyBorder="1" applyAlignment="1">
      <alignment horizontal="right"/>
    </xf>
    <xf numFmtId="331" fontId="8" fillId="0" borderId="94" xfId="0" applyNumberFormat="1" applyFont="1" applyFill="1" applyBorder="1" applyAlignment="1">
      <alignment horizontal="right"/>
    </xf>
    <xf numFmtId="331" fontId="8" fillId="0" borderId="97" xfId="0" applyNumberFormat="1" applyFont="1" applyFill="1" applyBorder="1" applyAlignment="1">
      <alignment horizontal="right"/>
    </xf>
    <xf numFmtId="331" fontId="8" fillId="0" borderId="99" xfId="0" applyNumberFormat="1" applyFont="1" applyFill="1" applyBorder="1" applyAlignment="1">
      <alignment horizontal="right"/>
    </xf>
    <xf numFmtId="3" fontId="8" fillId="0" borderId="91" xfId="4339" applyNumberFormat="1" applyFont="1" applyFill="1" applyBorder="1"/>
    <xf numFmtId="3" fontId="8" fillId="0" borderId="62" xfId="4339" applyNumberFormat="1" applyFont="1" applyFill="1" applyBorder="1"/>
    <xf numFmtId="3" fontId="8" fillId="0" borderId="89" xfId="4339" applyNumberFormat="1" applyFont="1" applyFill="1" applyBorder="1"/>
    <xf numFmtId="3" fontId="8" fillId="0" borderId="142" xfId="4339" applyNumberFormat="1" applyFont="1" applyFill="1" applyBorder="1"/>
    <xf numFmtId="3" fontId="8" fillId="0" borderId="141" xfId="4339" applyNumberFormat="1" applyFont="1" applyFill="1" applyBorder="1"/>
    <xf numFmtId="0" fontId="8" fillId="0" borderId="58" xfId="0" applyFont="1" applyBorder="1"/>
    <xf numFmtId="331" fontId="8" fillId="0" borderId="71" xfId="4339" applyNumberFormat="1" applyFont="1" applyFill="1" applyBorder="1"/>
    <xf numFmtId="164" fontId="8" fillId="65" borderId="70" xfId="4" applyNumberFormat="1" applyFont="1" applyFill="1" applyBorder="1"/>
    <xf numFmtId="164" fontId="8" fillId="65" borderId="71" xfId="4" applyNumberFormat="1" applyFont="1" applyFill="1" applyBorder="1"/>
    <xf numFmtId="331" fontId="8" fillId="65" borderId="72" xfId="4339" applyNumberFormat="1" applyFont="1" applyFill="1" applyBorder="1"/>
    <xf numFmtId="164" fontId="8" fillId="0" borderId="60" xfId="4" applyNumberFormat="1" applyFont="1" applyFill="1" applyBorder="1"/>
    <xf numFmtId="164" fontId="8" fillId="0" borderId="21" xfId="4343" applyNumberFormat="1" applyFont="1" applyFill="1" applyBorder="1"/>
    <xf numFmtId="164" fontId="8" fillId="0" borderId="61" xfId="4343" applyNumberFormat="1" applyFont="1" applyFill="1" applyBorder="1"/>
    <xf numFmtId="164" fontId="8" fillId="0" borderId="91" xfId="4" applyNumberFormat="1" applyFont="1" applyFill="1" applyBorder="1"/>
    <xf numFmtId="164" fontId="8" fillId="0" borderId="97" xfId="4" applyNumberFormat="1" applyFont="1" applyFill="1" applyBorder="1"/>
    <xf numFmtId="164" fontId="8" fillId="0" borderId="67" xfId="4343" applyNumberFormat="1" applyFont="1" applyFill="1" applyBorder="1"/>
    <xf numFmtId="164" fontId="8" fillId="0" borderId="99" xfId="4343" applyNumberFormat="1" applyFont="1" applyFill="1" applyBorder="1"/>
    <xf numFmtId="164" fontId="8" fillId="0" borderId="96" xfId="4" applyNumberFormat="1" applyFont="1" applyFill="1" applyBorder="1"/>
    <xf numFmtId="164" fontId="8" fillId="0" borderId="93" xfId="4343" applyNumberFormat="1" applyFont="1" applyFill="1" applyBorder="1"/>
    <xf numFmtId="164" fontId="8" fillId="0" borderId="102" xfId="4343" applyNumberFormat="1" applyFont="1" applyFill="1" applyBorder="1"/>
    <xf numFmtId="164" fontId="8" fillId="0" borderId="91" xfId="4343" applyNumberFormat="1" applyFont="1" applyFill="1" applyBorder="1"/>
    <xf numFmtId="164" fontId="8" fillId="0" borderId="141" xfId="4343" applyNumberFormat="1" applyFont="1" applyFill="1" applyBorder="1"/>
    <xf numFmtId="164" fontId="8" fillId="0" borderId="142" xfId="4343" applyNumberFormat="1" applyFont="1" applyFill="1" applyBorder="1"/>
    <xf numFmtId="164" fontId="8" fillId="0" borderId="144" xfId="4343" applyNumberFormat="1" applyFont="1" applyFill="1" applyBorder="1"/>
    <xf numFmtId="164" fontId="8" fillId="0" borderId="97" xfId="4343" applyNumberFormat="1" applyFont="1" applyFill="1" applyBorder="1"/>
    <xf numFmtId="164" fontId="8" fillId="0" borderId="96" xfId="4343" applyNumberFormat="1" applyFont="1" applyFill="1" applyBorder="1"/>
    <xf numFmtId="164" fontId="8" fillId="0" borderId="141" xfId="4343" applyNumberFormat="1" applyFont="1" applyBorder="1"/>
    <xf numFmtId="164" fontId="8" fillId="0" borderId="97" xfId="4343" applyNumberFormat="1" applyFont="1" applyBorder="1"/>
    <xf numFmtId="164" fontId="8" fillId="61" borderId="144" xfId="4" applyNumberFormat="1" applyFont="1" applyFill="1" applyBorder="1"/>
    <xf numFmtId="164" fontId="8" fillId="0" borderId="55" xfId="4343" applyNumberFormat="1" applyFont="1" applyFill="1" applyBorder="1"/>
    <xf numFmtId="164" fontId="8" fillId="0" borderId="56" xfId="4343" applyNumberFormat="1" applyFont="1" applyFill="1" applyBorder="1"/>
    <xf numFmtId="164" fontId="8" fillId="0" borderId="71" xfId="4343" applyNumberFormat="1" applyFont="1" applyFill="1" applyBorder="1"/>
    <xf numFmtId="164" fontId="8" fillId="0" borderId="72" xfId="4343" applyNumberFormat="1" applyFont="1" applyFill="1" applyBorder="1"/>
    <xf numFmtId="164" fontId="8" fillId="0" borderId="54" xfId="4343" applyNumberFormat="1" applyFont="1" applyFill="1" applyBorder="1" applyAlignment="1">
      <alignment horizontal="right"/>
    </xf>
    <xf numFmtId="3" fontId="0" fillId="0" borderId="21" xfId="0" applyNumberFormat="1" applyFont="1" applyBorder="1" applyAlignment="1"/>
    <xf numFmtId="331" fontId="0" fillId="0" borderId="62" xfId="4339" applyNumberFormat="1" applyFont="1" applyBorder="1"/>
    <xf numFmtId="331" fontId="0" fillId="0" borderId="62" xfId="0" applyNumberFormat="1" applyFont="1" applyFill="1" applyBorder="1" applyAlignment="1" applyProtection="1">
      <alignment horizontal="center"/>
      <protection locked="0"/>
    </xf>
    <xf numFmtId="164" fontId="8" fillId="0" borderId="3" xfId="4" applyNumberFormat="1" applyFont="1" applyFill="1" applyBorder="1" applyAlignment="1"/>
    <xf numFmtId="164" fontId="8" fillId="0" borderId="64" xfId="4" applyNumberFormat="1" applyFont="1" applyFill="1" applyBorder="1" applyAlignment="1"/>
    <xf numFmtId="164" fontId="8" fillId="0" borderId="61" xfId="4" applyNumberFormat="1" applyFont="1" applyFill="1" applyBorder="1" applyAlignment="1"/>
    <xf numFmtId="164" fontId="8" fillId="0" borderId="62" xfId="4" applyNumberFormat="1" applyFont="1" applyFill="1" applyBorder="1" applyAlignment="1"/>
    <xf numFmtId="164" fontId="8" fillId="0" borderId="94" xfId="4" applyNumberFormat="1" applyFont="1" applyFill="1" applyBorder="1" applyAlignment="1"/>
    <xf numFmtId="0" fontId="8" fillId="0" borderId="67" xfId="0" applyFont="1" applyFill="1" applyBorder="1"/>
    <xf numFmtId="164" fontId="8" fillId="0" borderId="100" xfId="4" applyNumberFormat="1" applyFont="1" applyFill="1" applyBorder="1" applyAlignment="1"/>
    <xf numFmtId="164" fontId="8" fillId="0" borderId="102" xfId="4" applyNumberFormat="1" applyFont="1" applyFill="1" applyBorder="1" applyAlignment="1"/>
    <xf numFmtId="3" fontId="8" fillId="0" borderId="66" xfId="0" applyNumberFormat="1" applyFont="1" applyFill="1" applyBorder="1" applyAlignment="1"/>
    <xf numFmtId="37" fontId="8" fillId="0" borderId="62" xfId="4" applyNumberFormat="1" applyFont="1" applyFill="1" applyBorder="1"/>
    <xf numFmtId="37" fontId="8" fillId="0" borderId="94" xfId="4" applyNumberFormat="1" applyFont="1" applyFill="1" applyBorder="1"/>
    <xf numFmtId="331" fontId="8" fillId="0" borderId="74" xfId="4339" applyNumberFormat="1" applyFont="1" applyFill="1" applyBorder="1"/>
    <xf numFmtId="331" fontId="8" fillId="0" borderId="110" xfId="4339" applyNumberFormat="1" applyFont="1" applyFill="1" applyBorder="1"/>
    <xf numFmtId="37" fontId="8" fillId="0" borderId="101" xfId="4" applyNumberFormat="1" applyFont="1" applyFill="1" applyBorder="1"/>
    <xf numFmtId="37" fontId="8" fillId="0" borderId="66" xfId="4" applyNumberFormat="1" applyFont="1" applyFill="1" applyBorder="1"/>
    <xf numFmtId="331" fontId="8" fillId="0" borderId="101" xfId="4339" applyNumberFormat="1" applyFont="1" applyFill="1" applyBorder="1"/>
    <xf numFmtId="331" fontId="8" fillId="0" borderId="66" xfId="4339" applyNumberFormat="1" applyFont="1" applyFill="1" applyBorder="1"/>
    <xf numFmtId="331" fontId="8" fillId="0" borderId="54" xfId="4339" applyNumberFormat="1" applyFont="1" applyFill="1" applyBorder="1"/>
    <xf numFmtId="164" fontId="8" fillId="61" borderId="71" xfId="4" applyNumberFormat="1" applyFont="1" applyFill="1" applyBorder="1"/>
    <xf numFmtId="164" fontId="8" fillId="61" borderId="72" xfId="4" applyNumberFormat="1" applyFont="1" applyFill="1" applyBorder="1"/>
    <xf numFmtId="164" fontId="8" fillId="0" borderId="93" xfId="4" applyNumberFormat="1" applyFont="1" applyFill="1" applyBorder="1"/>
    <xf numFmtId="164" fontId="8" fillId="0" borderId="61" xfId="4" applyNumberFormat="1" applyFont="1" applyFill="1" applyBorder="1"/>
    <xf numFmtId="164" fontId="8" fillId="0" borderId="62" xfId="4" applyNumberFormat="1" applyFont="1" applyFill="1" applyBorder="1"/>
    <xf numFmtId="164" fontId="8" fillId="0" borderId="94" xfId="4" applyNumberFormat="1" applyFont="1" applyFill="1" applyBorder="1"/>
    <xf numFmtId="164" fontId="8" fillId="0" borderId="142" xfId="4" applyNumberFormat="1" applyFont="1" applyFill="1" applyBorder="1"/>
    <xf numFmtId="164" fontId="8" fillId="0" borderId="144" xfId="4" applyNumberFormat="1" applyFont="1" applyFill="1" applyBorder="1"/>
    <xf numFmtId="164" fontId="8" fillId="0" borderId="21" xfId="4" applyNumberFormat="1" applyFont="1" applyFill="1" applyBorder="1"/>
    <xf numFmtId="164" fontId="8" fillId="0" borderId="54" xfId="4" applyNumberFormat="1" applyFont="1" applyFill="1" applyBorder="1"/>
    <xf numFmtId="164" fontId="8" fillId="0" borderId="66" xfId="4" applyNumberFormat="1" applyFont="1" applyFill="1" applyBorder="1"/>
    <xf numFmtId="164" fontId="8" fillId="0" borderId="89" xfId="4" applyNumberFormat="1" applyFont="1" applyFill="1" applyBorder="1"/>
    <xf numFmtId="164" fontId="8" fillId="0" borderId="38" xfId="4" applyNumberFormat="1" applyFont="1" applyFill="1" applyBorder="1"/>
    <xf numFmtId="164" fontId="8" fillId="0" borderId="55" xfId="4" applyNumberFormat="1" applyFont="1" applyFill="1" applyBorder="1"/>
    <xf numFmtId="164" fontId="8" fillId="0" borderId="56" xfId="4" applyNumberFormat="1" applyFont="1" applyFill="1" applyBorder="1"/>
    <xf numFmtId="164" fontId="8" fillId="0" borderId="98" xfId="4" applyNumberFormat="1" applyFont="1" applyFill="1" applyBorder="1"/>
    <xf numFmtId="164" fontId="8" fillId="0" borderId="67" xfId="4" applyNumberFormat="1" applyFont="1" applyFill="1" applyBorder="1"/>
    <xf numFmtId="164" fontId="8" fillId="0" borderId="99" xfId="4" applyNumberFormat="1" applyFont="1" applyFill="1" applyBorder="1"/>
    <xf numFmtId="164" fontId="8" fillId="0" borderId="83" xfId="4" applyNumberFormat="1" applyFont="1" applyFill="1" applyBorder="1"/>
    <xf numFmtId="164" fontId="8" fillId="0" borderId="74" xfId="4" applyNumberFormat="1" applyFont="1" applyFill="1" applyBorder="1"/>
    <xf numFmtId="164" fontId="8" fillId="0" borderId="75" xfId="4" applyNumberFormat="1" applyFont="1" applyFill="1" applyBorder="1"/>
    <xf numFmtId="164" fontId="8" fillId="0" borderId="108" xfId="4" applyNumberFormat="1" applyFont="1" applyFill="1" applyBorder="1"/>
    <xf numFmtId="164" fontId="8" fillId="0" borderId="110" xfId="4" applyNumberFormat="1" applyFont="1" applyFill="1" applyBorder="1"/>
    <xf numFmtId="164" fontId="8" fillId="0" borderId="85" xfId="4" applyNumberFormat="1" applyFont="1" applyFill="1" applyBorder="1"/>
    <xf numFmtId="164" fontId="8" fillId="0" borderId="79" xfId="4" applyNumberFormat="1" applyFont="1" applyFill="1" applyBorder="1"/>
    <xf numFmtId="164" fontId="8" fillId="0" borderId="71" xfId="4" applyNumberFormat="1" applyFont="1" applyFill="1" applyBorder="1"/>
    <xf numFmtId="164" fontId="8" fillId="0" borderId="72" xfId="4" applyNumberFormat="1" applyFont="1" applyFill="1" applyBorder="1"/>
    <xf numFmtId="3" fontId="0" fillId="0" borderId="101" xfId="0" applyNumberFormat="1" applyFont="1" applyFill="1" applyBorder="1" applyAlignment="1">
      <alignment horizontal="left"/>
    </xf>
    <xf numFmtId="3" fontId="0" fillId="0" borderId="62" xfId="0" applyNumberFormat="1" applyFont="1" applyFill="1" applyBorder="1" applyAlignment="1">
      <alignment horizontal="right"/>
    </xf>
    <xf numFmtId="3" fontId="0" fillId="0" borderId="98" xfId="0" applyNumberFormat="1" applyFont="1" applyFill="1" applyBorder="1" applyAlignment="1">
      <alignment horizontal="right"/>
    </xf>
    <xf numFmtId="3" fontId="0" fillId="0" borderId="109" xfId="0" applyNumberFormat="1" applyFont="1" applyFill="1" applyBorder="1" applyAlignment="1">
      <alignment horizontal="right"/>
    </xf>
    <xf numFmtId="0" fontId="0" fillId="0" borderId="155" xfId="0" applyFill="1" applyBorder="1" applyAlignment="1">
      <alignment horizontal="left" vertical="center" indent="1"/>
    </xf>
    <xf numFmtId="0" fontId="0" fillId="12" borderId="0" xfId="0" applyNumberFormat="1" applyFont="1" applyFill="1" applyAlignment="1">
      <alignment wrapText="1"/>
    </xf>
    <xf numFmtId="0" fontId="0" fillId="12" borderId="0" xfId="0" applyFont="1" applyFill="1" applyAlignment="1">
      <alignment wrapText="1"/>
    </xf>
    <xf numFmtId="0" fontId="8" fillId="12" borderId="0" xfId="0" applyNumberFormat="1" applyFont="1" applyFill="1" applyAlignment="1">
      <alignment wrapText="1"/>
    </xf>
    <xf numFmtId="0" fontId="0" fillId="0" borderId="0" xfId="0" applyFont="1" applyAlignment="1">
      <alignment wrapText="1"/>
    </xf>
    <xf numFmtId="331" fontId="8" fillId="0" borderId="173" xfId="4339" applyNumberFormat="1" applyFont="1" applyFill="1" applyBorder="1" applyAlignment="1">
      <alignment horizontal="center" wrapText="1"/>
    </xf>
    <xf numFmtId="331" fontId="8" fillId="0" borderId="101" xfId="4339" applyNumberFormat="1" applyFont="1" applyFill="1" applyBorder="1" applyAlignment="1">
      <alignment horizontal="center" wrapText="1"/>
    </xf>
    <xf numFmtId="0" fontId="15" fillId="53" borderId="151" xfId="0" applyFont="1" applyFill="1" applyBorder="1" applyAlignment="1">
      <alignment horizontal="center"/>
    </xf>
    <xf numFmtId="0" fontId="15" fillId="53" borderId="148" xfId="0" applyFont="1" applyFill="1" applyBorder="1" applyAlignment="1">
      <alignment horizontal="center"/>
    </xf>
    <xf numFmtId="0" fontId="15" fillId="55" borderId="62" xfId="0" applyFont="1" applyFill="1" applyBorder="1" applyAlignment="1">
      <alignment horizontal="center"/>
    </xf>
    <xf numFmtId="0" fontId="15" fillId="58" borderId="67" xfId="0" applyFont="1" applyFill="1" applyBorder="1" applyAlignment="1" applyProtection="1">
      <alignment horizontal="left" readingOrder="1"/>
      <protection locked="0"/>
    </xf>
    <xf numFmtId="0" fontId="15" fillId="58" borderId="21" xfId="0" applyFont="1" applyFill="1" applyBorder="1" applyAlignment="1" applyProtection="1">
      <alignment horizontal="left" readingOrder="1"/>
      <protection locked="0"/>
    </xf>
    <xf numFmtId="0" fontId="0" fillId="0" borderId="142" xfId="0" applyFill="1" applyBorder="1" applyAlignment="1">
      <alignment horizontal="center" vertical="center" wrapText="1"/>
    </xf>
    <xf numFmtId="0" fontId="0" fillId="0" borderId="84" xfId="0" applyFill="1" applyBorder="1" applyAlignment="1">
      <alignment horizontal="center" vertical="center" wrapText="1"/>
    </xf>
    <xf numFmtId="0" fontId="15" fillId="53" borderId="76" xfId="0" applyFont="1" applyFill="1" applyBorder="1" applyAlignment="1">
      <alignment horizontal="center"/>
    </xf>
    <xf numFmtId="0" fontId="15" fillId="53" borderId="78" xfId="0" applyFont="1" applyFill="1" applyBorder="1" applyAlignment="1">
      <alignment horizontal="center"/>
    </xf>
    <xf numFmtId="0" fontId="288" fillId="0" borderId="0" xfId="0" applyFont="1" applyAlignment="1">
      <alignment horizontal="left" wrapText="1"/>
    </xf>
    <xf numFmtId="0" fontId="0" fillId="0" borderId="80" xfId="0" applyBorder="1" applyAlignment="1">
      <alignment horizontal="left" vertical="center" wrapText="1" indent="1"/>
    </xf>
    <xf numFmtId="0" fontId="0" fillId="0" borderId="77" xfId="0" applyBorder="1" applyAlignment="1">
      <alignment horizontal="left" vertical="center" wrapText="1" indent="1"/>
    </xf>
    <xf numFmtId="0" fontId="0" fillId="0" borderId="76" xfId="0" applyFont="1" applyFill="1" applyBorder="1" applyAlignment="1">
      <alignment horizontal="left" indent="1"/>
    </xf>
    <xf numFmtId="0" fontId="0" fillId="0" borderId="77" xfId="0" applyFont="1" applyFill="1" applyBorder="1" applyAlignment="1">
      <alignment horizontal="left" indent="1"/>
    </xf>
    <xf numFmtId="0" fontId="15" fillId="53" borderId="86" xfId="0" applyFont="1" applyFill="1" applyBorder="1" applyAlignment="1">
      <alignment horizontal="center"/>
    </xf>
    <xf numFmtId="0" fontId="15" fillId="53" borderId="82" xfId="0" applyFont="1" applyFill="1" applyBorder="1" applyAlignment="1">
      <alignment horizontal="center"/>
    </xf>
    <xf numFmtId="0" fontId="15" fillId="0" borderId="4" xfId="0" applyFont="1" applyBorder="1" applyAlignment="1">
      <alignment horizontal="center"/>
    </xf>
    <xf numFmtId="0" fontId="0" fillId="63" borderId="64" xfId="0" applyFill="1" applyBorder="1" applyAlignment="1">
      <alignment horizontal="center"/>
    </xf>
    <xf numFmtId="0" fontId="0" fillId="63" borderId="66" xfId="0" applyFill="1" applyBorder="1" applyAlignment="1">
      <alignment horizontal="center"/>
    </xf>
    <xf numFmtId="0" fontId="0" fillId="0" borderId="64" xfId="0" applyBorder="1" applyAlignment="1">
      <alignment horizontal="center"/>
    </xf>
    <xf numFmtId="0" fontId="0" fillId="0" borderId="66" xfId="0" applyBorder="1" applyAlignment="1">
      <alignment horizontal="center"/>
    </xf>
    <xf numFmtId="0" fontId="269" fillId="55" borderId="64" xfId="0" applyFont="1" applyFill="1" applyBorder="1" applyAlignment="1">
      <alignment horizontal="center"/>
    </xf>
    <xf numFmtId="0" fontId="269" fillId="55" borderId="65" xfId="0" applyFont="1" applyFill="1" applyBorder="1" applyAlignment="1">
      <alignment horizontal="center"/>
    </xf>
    <xf numFmtId="0" fontId="269" fillId="55" borderId="66" xfId="0" applyFont="1" applyFill="1" applyBorder="1" applyAlignment="1">
      <alignment horizontal="center"/>
    </xf>
    <xf numFmtId="0" fontId="244" fillId="0" borderId="0" xfId="0" applyFont="1" applyAlignment="1">
      <alignment horizontal="center" wrapText="1"/>
    </xf>
    <xf numFmtId="0" fontId="244" fillId="0" borderId="4" xfId="0" applyFont="1" applyBorder="1" applyAlignment="1">
      <alignment horizontal="center" wrapText="1"/>
    </xf>
    <xf numFmtId="190" fontId="258" fillId="0" borderId="0" xfId="2" applyNumberFormat="1" applyFont="1" applyFill="1"/>
    <xf numFmtId="190" fontId="244" fillId="0" borderId="0" xfId="2" applyNumberFormat="1" applyFont="1" applyFill="1"/>
    <xf numFmtId="190" fontId="8" fillId="0" borderId="0" xfId="2" applyNumberFormat="1" applyFont="1" applyFill="1"/>
    <xf numFmtId="164" fontId="0" fillId="0" borderId="0" xfId="0" applyNumberFormat="1" applyFill="1" applyBorder="1"/>
    <xf numFmtId="331" fontId="0" fillId="0" borderId="0" xfId="0" applyNumberFormat="1" applyFont="1" applyFill="1" applyBorder="1"/>
    <xf numFmtId="0" fontId="243" fillId="0" borderId="0" xfId="0" applyFont="1" applyAlignment="1" applyProtection="1">
      <alignment readingOrder="1"/>
      <protection locked="0"/>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CCCC"/>
      <color rgb="FFFFFFCC"/>
      <color rgb="FFCCFFFF"/>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987777645699"/>
          <c:y val="6.4249347304836502E-2"/>
          <c:w val="0.80523760083739204"/>
          <c:h val="0.73196701165162725"/>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Summary!$S$37:$AH$37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Summary!$S$38:$AH$38</c:f>
              <c:numCache>
                <c:formatCode>_("$"* #,##0_);_("$"* \(#,##0\);_("$"* "-"??_);_(@_)</c:formatCode>
                <c:ptCount val="16"/>
                <c:pt idx="0">
                  <c:v>1300.7910523334783</c:v>
                </c:pt>
                <c:pt idx="1">
                  <c:v>1391.2499417030037</c:v>
                </c:pt>
                <c:pt idx="2">
                  <c:v>1317.8591378258075</c:v>
                </c:pt>
                <c:pt idx="3">
                  <c:v>1303.0409686859384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63143936"/>
        <c:axId val="63145472"/>
      </c:barChart>
      <c:catAx>
        <c:axId val="6314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3145472"/>
        <c:crossesAt val="0"/>
        <c:auto val="1"/>
        <c:lblAlgn val="ctr"/>
        <c:lblOffset val="100"/>
        <c:tickLblSkip val="1"/>
        <c:tickMarkSkip val="1"/>
        <c:noMultiLvlLbl val="0"/>
      </c:catAx>
      <c:valAx>
        <c:axId val="6314547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3143936"/>
        <c:crosses val="autoZero"/>
        <c:crossBetween val="between"/>
        <c:majorUnit val="2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Summary!$C$102:$R$102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Summary!$C$108:$R$108</c:f>
              <c:numCache>
                <c:formatCode>#,##0_);\(#,##0\)</c:formatCode>
                <c:ptCount val="16"/>
                <c:pt idx="0">
                  <c:v>453136</c:v>
                </c:pt>
                <c:pt idx="1">
                  <c:v>672293</c:v>
                </c:pt>
                <c:pt idx="2">
                  <c:v>773738</c:v>
                </c:pt>
                <c:pt idx="3">
                  <c:v>937323</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41156992"/>
        <c:axId val="41158528"/>
      </c:lineChart>
      <c:catAx>
        <c:axId val="4115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158528"/>
        <c:crosses val="autoZero"/>
        <c:auto val="1"/>
        <c:lblAlgn val="ctr"/>
        <c:lblOffset val="100"/>
        <c:noMultiLvlLbl val="0"/>
      </c:catAx>
      <c:valAx>
        <c:axId val="4115852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41156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Summary!$C$102:$R$102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Summary!$C$109:$R$109</c:f>
              <c:numCache>
                <c:formatCode>#,##0_);\(#,##0\)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41179392"/>
        <c:axId val="41189376"/>
      </c:lineChart>
      <c:catAx>
        <c:axId val="4117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189376"/>
        <c:crosses val="autoZero"/>
        <c:auto val="1"/>
        <c:lblAlgn val="ctr"/>
        <c:lblOffset val="100"/>
        <c:noMultiLvlLbl val="0"/>
      </c:catAx>
      <c:valAx>
        <c:axId val="41189376"/>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41179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0678971590009"/>
          <c:y val="3.2978334704377034E-2"/>
          <c:w val="0.771698609336263"/>
          <c:h val="0.76302206045246601"/>
        </c:manualLayout>
      </c:layout>
      <c:bubbleChart>
        <c:varyColors val="0"/>
        <c:ser>
          <c:idx val="1"/>
          <c:order val="0"/>
          <c:tx>
            <c:strRef>
              <c:f>'Charts for slides'!$N$297</c:f>
              <c:strCache>
                <c:ptCount val="1"/>
                <c:pt idx="0">
                  <c:v>Ethernet </c:v>
                </c:pt>
              </c:strCache>
            </c:strRef>
          </c:tx>
          <c:spPr>
            <a:ln w="25400">
              <a:noFill/>
            </a:ln>
          </c:spPr>
          <c:invertIfNegative val="0"/>
          <c:dLbls>
            <c:dLbl>
              <c:idx val="0"/>
              <c:spPr/>
              <c:txPr>
                <a:bodyPr/>
                <a:lstStyle/>
                <a:p>
                  <a:pPr>
                    <a:defRPr sz="1200" b="1">
                      <a:solidFill>
                        <a:schemeClr val="bg1"/>
                      </a:solidFill>
                    </a:defRPr>
                  </a:pPr>
                  <a:endParaRPr lang="en-US"/>
                </a:p>
              </c:txPr>
              <c:dLblPos val="ctr"/>
              <c:showLegendKey val="0"/>
              <c:showVal val="0"/>
              <c:showCatName val="0"/>
              <c:showSerName val="1"/>
              <c:showPercent val="0"/>
              <c:showBubbleSize val="0"/>
              <c:extLst>
                <c:ext xmlns:c16="http://schemas.microsoft.com/office/drawing/2014/chart" uri="{C3380CC4-5D6E-409C-BE32-E72D297353CC}">
                  <c16:uniqueId val="{00000000-57BA-4B78-BFD7-EE1E28D23129}"/>
                </c:ext>
              </c:extLst>
            </c:dLbl>
            <c:spPr>
              <a:noFill/>
              <a:ln>
                <a:noFill/>
              </a:ln>
              <a:effectLst/>
            </c:spPr>
            <c:txPr>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slides'!$O$297</c:f>
              <c:numCache>
                <c:formatCode>_("$"* #,##0_);_("$"* \(#,##0\);_("$"* "-"??_);_(@_)</c:formatCode>
                <c:ptCount val="1"/>
              </c:numCache>
            </c:numRef>
          </c:xVal>
          <c:yVal>
            <c:numRef>
              <c:f>'Charts for slides'!$P$297</c:f>
              <c:numCache>
                <c:formatCode>0%</c:formatCode>
                <c:ptCount val="1"/>
              </c:numCache>
            </c:numRef>
          </c:yVal>
          <c:bubbleSize>
            <c:numRef>
              <c:f>'Charts for slides'!$O$297</c:f>
              <c:numCache>
                <c:formatCode>_("$"* #,##0_);_("$"* \(#,##0\);_("$"* "-"??_);_(@_)</c:formatCode>
                <c:ptCount val="1"/>
              </c:numCache>
            </c:numRef>
          </c:bubbleSize>
          <c:bubble3D val="0"/>
          <c:extLst>
            <c:ext xmlns:c16="http://schemas.microsoft.com/office/drawing/2014/chart" uri="{C3380CC4-5D6E-409C-BE32-E72D297353CC}">
              <c16:uniqueId val="{00000001-8EC2-144F-9180-ABE7B2C9CA4F}"/>
            </c:ext>
          </c:extLst>
        </c:ser>
        <c:ser>
          <c:idx val="0"/>
          <c:order val="1"/>
          <c:tx>
            <c:strRef>
              <c:f>'Charts for slides'!$N$298</c:f>
              <c:strCache>
                <c:ptCount val="1"/>
                <c:pt idx="0">
                  <c:v>Fibre Channel</c:v>
                </c:pt>
              </c:strCache>
            </c:strRef>
          </c:tx>
          <c:spPr>
            <a:ln w="25400">
              <a:noFill/>
            </a:ln>
          </c:spPr>
          <c:invertIfNegative val="0"/>
          <c:dLbls>
            <c:dLbl>
              <c:idx val="0"/>
              <c:layout>
                <c:manualLayout>
                  <c:x val="-4.7531929649954251E-2"/>
                  <c:y val="-8.658298741655393E-2"/>
                </c:manualLayout>
              </c:layout>
              <c:tx>
                <c:rich>
                  <a:bodyPr/>
                  <a:lstStyle/>
                  <a:p>
                    <a:r>
                      <a:rPr lang="en-US" b="1"/>
                      <a:t>Fibre </a:t>
                    </a:r>
                  </a:p>
                  <a:p>
                    <a:r>
                      <a:rPr lang="en-US" b="1"/>
                      <a:t>Channel</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EC2-144F-9180-ABE7B2C9CA4F}"/>
                </c:ext>
              </c:extLst>
            </c:dLbl>
            <c:spPr>
              <a:noFill/>
              <a:ln>
                <a:noFill/>
              </a:ln>
              <a:effectLst/>
            </c:spPr>
            <c:txPr>
              <a:bodyPr/>
              <a:lstStyle/>
              <a:p>
                <a:pPr>
                  <a:defRPr b="1"/>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slides'!$O$298</c:f>
              <c:numCache>
                <c:formatCode>_("$"* #,##0_);_("$"* \(#,##0\);_("$"* "-"??_);_(@_)</c:formatCode>
                <c:ptCount val="1"/>
              </c:numCache>
            </c:numRef>
          </c:xVal>
          <c:yVal>
            <c:numRef>
              <c:f>'Charts for slides'!$P$298</c:f>
              <c:numCache>
                <c:formatCode>0%</c:formatCode>
                <c:ptCount val="1"/>
              </c:numCache>
            </c:numRef>
          </c:yVal>
          <c:bubbleSize>
            <c:numRef>
              <c:f>'Charts for slides'!$O$298</c:f>
              <c:numCache>
                <c:formatCode>_("$"* #,##0_);_("$"* \(#,##0\);_("$"* "-"??_);_(@_)</c:formatCode>
                <c:ptCount val="1"/>
              </c:numCache>
            </c:numRef>
          </c:bubbleSize>
          <c:bubble3D val="0"/>
          <c:extLst>
            <c:ext xmlns:c16="http://schemas.microsoft.com/office/drawing/2014/chart" uri="{C3380CC4-5D6E-409C-BE32-E72D297353CC}">
              <c16:uniqueId val="{00000003-8EC2-144F-9180-ABE7B2C9CA4F}"/>
            </c:ext>
          </c:extLst>
        </c:ser>
        <c:ser>
          <c:idx val="2"/>
          <c:order val="2"/>
          <c:tx>
            <c:strRef>
              <c:f>'Charts for slides'!$N$299</c:f>
              <c:strCache>
                <c:ptCount val="1"/>
                <c:pt idx="0">
                  <c:v>Optical Interconnects</c:v>
                </c:pt>
              </c:strCache>
            </c:strRef>
          </c:tx>
          <c:spPr>
            <a:ln w="25400">
              <a:noFill/>
            </a:ln>
          </c:spPr>
          <c:invertIfNegative val="0"/>
          <c:dLbls>
            <c:dLbl>
              <c:idx val="0"/>
              <c:layout>
                <c:manualLayout>
                  <c:x val="-9.6028948765621971E-2"/>
                  <c:y val="-9.530086168869102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EC2-144F-9180-ABE7B2C9CA4F}"/>
                </c:ext>
              </c:extLst>
            </c:dLbl>
            <c:spPr>
              <a:noFill/>
              <a:ln>
                <a:noFill/>
              </a:ln>
              <a:effectLst/>
            </c:spPr>
            <c:txPr>
              <a:bodyPr/>
              <a:lstStyle/>
              <a:p>
                <a:pPr>
                  <a:defRPr sz="1050" b="1"/>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slides'!$O$299</c:f>
              <c:numCache>
                <c:formatCode>_("$"* #,##0_);_("$"* \(#,##0\);_("$"* "-"??_);_(@_)</c:formatCode>
                <c:ptCount val="1"/>
              </c:numCache>
            </c:numRef>
          </c:xVal>
          <c:yVal>
            <c:numRef>
              <c:f>'Charts for slides'!$P$299</c:f>
              <c:numCache>
                <c:formatCode>0%</c:formatCode>
                <c:ptCount val="1"/>
              </c:numCache>
            </c:numRef>
          </c:yVal>
          <c:bubbleSize>
            <c:numRef>
              <c:f>'Charts for slides'!$O$299</c:f>
              <c:numCache>
                <c:formatCode>_("$"* #,##0_);_("$"* \(#,##0\);_("$"* "-"??_);_(@_)</c:formatCode>
                <c:ptCount val="1"/>
              </c:numCache>
            </c:numRef>
          </c:bubbleSize>
          <c:bubble3D val="0"/>
          <c:extLst>
            <c:ext xmlns:c16="http://schemas.microsoft.com/office/drawing/2014/chart" uri="{C3380CC4-5D6E-409C-BE32-E72D297353CC}">
              <c16:uniqueId val="{00000005-8EC2-144F-9180-ABE7B2C9CA4F}"/>
            </c:ext>
          </c:extLst>
        </c:ser>
        <c:ser>
          <c:idx val="4"/>
          <c:order val="3"/>
          <c:tx>
            <c:strRef>
              <c:f>'Charts for slides'!$N$300</c:f>
              <c:strCache>
                <c:ptCount val="1"/>
                <c:pt idx="0">
                  <c:v>CWDM / DWDM</c:v>
                </c:pt>
              </c:strCache>
            </c:strRef>
          </c:tx>
          <c:spPr>
            <a:ln w="25400">
              <a:noFill/>
            </a:ln>
          </c:spPr>
          <c:invertIfNegative val="0"/>
          <c:dLbls>
            <c:dLbl>
              <c:idx val="0"/>
              <c:layout>
                <c:manualLayout>
                  <c:x val="-1.899498255354919E-2"/>
                  <c:y val="5.4038758107917619E-2"/>
                </c:manualLayout>
              </c:layout>
              <c:tx>
                <c:rich>
                  <a:bodyPr/>
                  <a:lstStyle/>
                  <a:p>
                    <a:r>
                      <a:rPr lang="en-US" b="1"/>
                      <a:t>CWDM /</a:t>
                    </a:r>
                    <a:r>
                      <a:rPr lang="en-US" sz="1000" b="1" i="0" u="none" strike="noStrike" baseline="0">
                        <a:effectLst/>
                      </a:rPr>
                      <a:t>  </a:t>
                    </a:r>
                    <a:r>
                      <a:rPr lang="en-US" b="1"/>
                      <a:t> DWDM</a:t>
                    </a:r>
                    <a:endParaRPr lang="en-US"/>
                  </a:p>
                </c:rich>
              </c:tx>
              <c:dLblPos val="r"/>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EC2-144F-9180-ABE7B2C9CA4F}"/>
                </c:ext>
              </c:extLst>
            </c:dLbl>
            <c:spPr>
              <a:noFill/>
              <a:ln>
                <a:noFill/>
              </a:ln>
              <a:effectLst/>
            </c:spPr>
            <c:txPr>
              <a:bodyPr/>
              <a:lstStyle/>
              <a:p>
                <a:pPr>
                  <a:defRPr b="1"/>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slides'!$O$300</c:f>
              <c:numCache>
                <c:formatCode>_("$"* #,##0_);_("$"* \(#,##0\);_("$"* "-"??_);_(@_)</c:formatCode>
                <c:ptCount val="1"/>
              </c:numCache>
            </c:numRef>
          </c:xVal>
          <c:yVal>
            <c:numRef>
              <c:f>'Charts for slides'!$P$300</c:f>
              <c:numCache>
                <c:formatCode>0%</c:formatCode>
                <c:ptCount val="1"/>
              </c:numCache>
            </c:numRef>
          </c:yVal>
          <c:bubbleSize>
            <c:numRef>
              <c:f>'Charts for slides'!$O$300</c:f>
              <c:numCache>
                <c:formatCode>_("$"* #,##0_);_("$"* \(#,##0\);_("$"* "-"??_);_(@_)</c:formatCode>
                <c:ptCount val="1"/>
              </c:numCache>
            </c:numRef>
          </c:bubbleSize>
          <c:bubble3D val="0"/>
          <c:extLst>
            <c:ext xmlns:c16="http://schemas.microsoft.com/office/drawing/2014/chart" uri="{C3380CC4-5D6E-409C-BE32-E72D297353CC}">
              <c16:uniqueId val="{00000007-8EC2-144F-9180-ABE7B2C9CA4F}"/>
            </c:ext>
          </c:extLst>
        </c:ser>
        <c:ser>
          <c:idx val="5"/>
          <c:order val="4"/>
          <c:tx>
            <c:strRef>
              <c:f>'Charts for slides'!$N$301</c:f>
              <c:strCache>
                <c:ptCount val="1"/>
                <c:pt idx="0">
                  <c:v>Wireless</c:v>
                </c:pt>
              </c:strCache>
            </c:strRef>
          </c:tx>
          <c:spPr>
            <a:ln w="25400">
              <a:noFill/>
            </a:ln>
          </c:spPr>
          <c:invertIfNegative val="0"/>
          <c:dLbls>
            <c:dLbl>
              <c:idx val="0"/>
              <c:layout>
                <c:manualLayout>
                  <c:x val="-1.6895924822141604E-2"/>
                  <c:y val="-1.366274849728701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8EC2-144F-9180-ABE7B2C9CA4F}"/>
                </c:ext>
              </c:extLst>
            </c:dLbl>
            <c:spPr>
              <a:noFill/>
              <a:ln>
                <a:noFill/>
              </a:ln>
              <a:effectLst/>
            </c:spPr>
            <c:txPr>
              <a:bodyPr/>
              <a:lstStyle/>
              <a:p>
                <a:pPr>
                  <a:defRPr sz="1050" b="1"/>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slides'!$O$301</c:f>
              <c:numCache>
                <c:formatCode>_("$"* #,##0_);_("$"* \(#,##0\);_("$"* "-"??_);_(@_)</c:formatCode>
                <c:ptCount val="1"/>
              </c:numCache>
            </c:numRef>
          </c:xVal>
          <c:yVal>
            <c:numRef>
              <c:f>'Charts for slides'!$P$301</c:f>
              <c:numCache>
                <c:formatCode>0%</c:formatCode>
                <c:ptCount val="1"/>
              </c:numCache>
            </c:numRef>
          </c:yVal>
          <c:bubbleSize>
            <c:numRef>
              <c:f>'Charts for slides'!$O$301</c:f>
              <c:numCache>
                <c:formatCode>_("$"* #,##0_);_("$"* \(#,##0\);_("$"* "-"??_);_(@_)</c:formatCode>
                <c:ptCount val="1"/>
              </c:numCache>
            </c:numRef>
          </c:bubbleSize>
          <c:bubble3D val="0"/>
          <c:extLst>
            <c:ext xmlns:c16="http://schemas.microsoft.com/office/drawing/2014/chart" uri="{C3380CC4-5D6E-409C-BE32-E72D297353CC}">
              <c16:uniqueId val="{00000009-8EC2-144F-9180-ABE7B2C9CA4F}"/>
            </c:ext>
          </c:extLst>
        </c:ser>
        <c:ser>
          <c:idx val="6"/>
          <c:order val="5"/>
          <c:tx>
            <c:strRef>
              <c:f>'Charts for slides'!$N$302</c:f>
              <c:strCache>
                <c:ptCount val="1"/>
                <c:pt idx="0">
                  <c:v>FTTx</c:v>
                </c:pt>
              </c:strCache>
            </c:strRef>
          </c:tx>
          <c:spPr>
            <a:ln w="25400">
              <a:noFill/>
            </a:ln>
          </c:spPr>
          <c:invertIfNegative val="0"/>
          <c:dLbls>
            <c:dLbl>
              <c:idx val="0"/>
              <c:layout>
                <c:manualLayout>
                  <c:x val="-7.4789143821056822E-2"/>
                  <c:y val="7.0081371969414774E-2"/>
                </c:manualLayout>
              </c:layout>
              <c:spPr/>
              <c:txPr>
                <a:bodyPr/>
                <a:lstStyle/>
                <a:p>
                  <a:pPr>
                    <a:defRPr sz="1200" b="1">
                      <a:solidFill>
                        <a:sysClr val="windowText" lastClr="000000"/>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8EC2-144F-9180-ABE7B2C9CA4F}"/>
                </c:ext>
              </c:extLst>
            </c:dLbl>
            <c:spPr>
              <a:noFill/>
              <a:ln>
                <a:noFill/>
              </a:ln>
              <a:effectLst/>
            </c:spPr>
            <c:txPr>
              <a:bodyPr/>
              <a:lstStyle/>
              <a:p>
                <a:pPr>
                  <a:defRPr sz="1200"/>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slides'!$O$302</c:f>
              <c:numCache>
                <c:formatCode>_("$"* #,##0_);_("$"* \(#,##0\);_("$"* "-"??_);_(@_)</c:formatCode>
                <c:ptCount val="1"/>
              </c:numCache>
            </c:numRef>
          </c:xVal>
          <c:yVal>
            <c:numRef>
              <c:f>'Charts for slides'!$P$302</c:f>
              <c:numCache>
                <c:formatCode>0%</c:formatCode>
                <c:ptCount val="1"/>
              </c:numCache>
            </c:numRef>
          </c:yVal>
          <c:bubbleSize>
            <c:numRef>
              <c:f>'Charts for slides'!$O$302</c:f>
              <c:numCache>
                <c:formatCode>_("$"* #,##0_);_("$"* \(#,##0\);_("$"* "-"??_);_(@_)</c:formatCode>
                <c:ptCount val="1"/>
              </c:numCache>
            </c:numRef>
          </c:bubbleSize>
          <c:bubble3D val="0"/>
          <c:extLst>
            <c:ext xmlns:c16="http://schemas.microsoft.com/office/drawing/2014/chart" uri="{C3380CC4-5D6E-409C-BE32-E72D297353CC}">
              <c16:uniqueId val="{0000000B-8EC2-144F-9180-ABE7B2C9CA4F}"/>
            </c:ext>
          </c:extLst>
        </c:ser>
        <c:dLbls>
          <c:showLegendKey val="0"/>
          <c:showVal val="1"/>
          <c:showCatName val="0"/>
          <c:showSerName val="0"/>
          <c:showPercent val="0"/>
          <c:showBubbleSize val="0"/>
        </c:dLbls>
        <c:bubbleScale val="100"/>
        <c:showNegBubbles val="0"/>
        <c:axId val="63176064"/>
        <c:axId val="63186432"/>
      </c:bubbleChart>
      <c:valAx>
        <c:axId val="63176064"/>
        <c:scaling>
          <c:orientation val="minMax"/>
          <c:min val="0"/>
        </c:scaling>
        <c:delete val="0"/>
        <c:axPos val="b"/>
        <c:majorGridlines/>
        <c:title>
          <c:tx>
            <c:rich>
              <a:bodyPr/>
              <a:lstStyle/>
              <a:p>
                <a:pPr>
                  <a:defRPr sz="1100"/>
                </a:pPr>
                <a:r>
                  <a:rPr lang="en-US" sz="1100"/>
                  <a:t>2020 Revenue ($ million)</a:t>
                </a:r>
              </a:p>
            </c:rich>
          </c:tx>
          <c:layout>
            <c:manualLayout>
              <c:xMode val="edge"/>
              <c:yMode val="edge"/>
              <c:x val="0.37404567151343199"/>
              <c:y val="0.9047765775738340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63186432"/>
        <c:crossesAt val="-40"/>
        <c:crossBetween val="midCat"/>
      </c:valAx>
      <c:valAx>
        <c:axId val="63186432"/>
        <c:scaling>
          <c:orientation val="minMax"/>
        </c:scaling>
        <c:delete val="0"/>
        <c:axPos val="l"/>
        <c:majorGridlines/>
        <c:title>
          <c:tx>
            <c:rich>
              <a:bodyPr rot="-5400000" vert="horz"/>
              <a:lstStyle/>
              <a:p>
                <a:pPr>
                  <a:defRPr sz="1200"/>
                </a:pPr>
                <a:r>
                  <a:rPr lang="en-US" sz="1200"/>
                  <a:t>Forecast CAGR</a:t>
                </a:r>
              </a:p>
            </c:rich>
          </c:tx>
          <c:overlay val="0"/>
        </c:title>
        <c:numFmt formatCode="0%" sourceLinked="1"/>
        <c:majorTickMark val="out"/>
        <c:minorTickMark val="none"/>
        <c:tickLblPos val="nextTo"/>
        <c:txPr>
          <a:bodyPr/>
          <a:lstStyle/>
          <a:p>
            <a:pPr>
              <a:defRPr sz="1200"/>
            </a:pPr>
            <a:endParaRPr lang="en-US"/>
          </a:p>
        </c:txPr>
        <c:crossAx val="63176064"/>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a:t>
            </a:r>
            <a:r>
              <a:rPr lang="en-US" baseline="0"/>
              <a:t> product</a:t>
            </a:r>
            <a:r>
              <a:rPr lang="en-US"/>
              <a:t> sales (survey data)</a:t>
            </a:r>
            <a:r>
              <a:rPr lang="en-US" baseline="0"/>
              <a:t> </a:t>
            </a:r>
            <a:endParaRPr lang="en-US"/>
          </a:p>
        </c:rich>
      </c:tx>
      <c:overlay val="0"/>
    </c:title>
    <c:autoTitleDeleted val="0"/>
    <c:plotArea>
      <c:layout>
        <c:manualLayout>
          <c:layoutTarget val="inner"/>
          <c:xMode val="edge"/>
          <c:yMode val="edge"/>
          <c:x val="0.16038211438531466"/>
          <c:y val="0.12491423604680842"/>
          <c:w val="0.80646062179479328"/>
          <c:h val="0.69227459293742488"/>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slides'!$F$235:$AV$235</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slides'!$F$243:$AV$243</c:f>
              <c:numCache>
                <c:formatCode>_("$"* #,##0_);_("$"* \(#,##0\);_("$"* "-"??_);_(@_)</c:formatCode>
                <c:ptCount val="43"/>
                <c:pt idx="0">
                  <c:v>460.43010014000004</c:v>
                </c:pt>
                <c:pt idx="1">
                  <c:v>480.18294604809898</c:v>
                </c:pt>
                <c:pt idx="2">
                  <c:v>531.49570567287299</c:v>
                </c:pt>
                <c:pt idx="3">
                  <c:v>570.06034413417058</c:v>
                </c:pt>
                <c:pt idx="4">
                  <c:v>559.65868994525215</c:v>
                </c:pt>
                <c:pt idx="5">
                  <c:v>588.29998807663992</c:v>
                </c:pt>
                <c:pt idx="6">
                  <c:v>613.72245695033837</c:v>
                </c:pt>
                <c:pt idx="7">
                  <c:v>634.54529121750375</c:v>
                </c:pt>
                <c:pt idx="8">
                  <c:v>634.54529121750375</c:v>
                </c:pt>
                <c:pt idx="9">
                  <c:v>695.86079231660062</c:v>
                </c:pt>
                <c:pt idx="10">
                  <c:v>674.69212160151153</c:v>
                </c:pt>
                <c:pt idx="11">
                  <c:v>672.48948670684626</c:v>
                </c:pt>
                <c:pt idx="12">
                  <c:v>695</c:v>
                </c:pt>
                <c:pt idx="13">
                  <c:v>762</c:v>
                </c:pt>
                <c:pt idx="14">
                  <c:v>800.49437567607936</c:v>
                </c:pt>
                <c:pt idx="15">
                  <c:v>834.2393328042856</c:v>
                </c:pt>
                <c:pt idx="16">
                  <c:v>852.32763829492944</c:v>
                </c:pt>
                <c:pt idx="17">
                  <c:v>952.18793630154335</c:v>
                </c:pt>
                <c:pt idx="18">
                  <c:v>908.82926980465538</c:v>
                </c:pt>
                <c:pt idx="19">
                  <c:v>947.08197181544267</c:v>
                </c:pt>
                <c:pt idx="20">
                  <c:v>964.57522811815488</c:v>
                </c:pt>
                <c:pt idx="21">
                  <c:v>1029.0090862273921</c:v>
                </c:pt>
                <c:pt idx="22">
                  <c:v>972.07534675559032</c:v>
                </c:pt>
                <c:pt idx="23">
                  <c:v>1034.5755701565579</c:v>
                </c:pt>
                <c:pt idx="24">
                  <c:v>1185.6119256970001</c:v>
                </c:pt>
                <c:pt idx="25">
                  <c:v>1290.3645665009999</c:v>
                </c:pt>
                <c:pt idx="26">
                  <c:v>1282.5683246565732</c:v>
                </c:pt>
                <c:pt idx="27">
                  <c:v>1451.7102900056668</c:v>
                </c:pt>
                <c:pt idx="28">
                  <c:v>1300.7910523334783</c:v>
                </c:pt>
                <c:pt idx="29">
                  <c:v>1391.2499417030037</c:v>
                </c:pt>
                <c:pt idx="30">
                  <c:v>1317.8591378258075</c:v>
                </c:pt>
                <c:pt idx="31">
                  <c:v>1303.0409686859384</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63302272"/>
        <c:axId val="67486080"/>
      </c:barChart>
      <c:catAx>
        <c:axId val="63302272"/>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67486080"/>
        <c:crosses val="autoZero"/>
        <c:auto val="1"/>
        <c:lblAlgn val="ctr"/>
        <c:lblOffset val="100"/>
        <c:tickLblSkip val="2"/>
        <c:noMultiLvlLbl val="0"/>
      </c:catAx>
      <c:valAx>
        <c:axId val="67486080"/>
        <c:scaling>
          <c:orientation val="minMax"/>
          <c:max val="1800"/>
        </c:scaling>
        <c:delete val="0"/>
        <c:axPos val="l"/>
        <c:majorGridlines/>
        <c:title>
          <c:tx>
            <c:rich>
              <a:bodyPr rot="-5400000" vert="horz"/>
              <a:lstStyle/>
              <a:p>
                <a:pPr>
                  <a:defRPr sz="1400" b="0"/>
                </a:pPr>
                <a:r>
                  <a:rPr lang="en-US" sz="1400" b="0"/>
                  <a:t>Quarterly Revenue ($M)</a:t>
                </a:r>
              </a:p>
            </c:rich>
          </c:tx>
          <c:layout>
            <c:manualLayout>
              <c:xMode val="edge"/>
              <c:yMode val="edge"/>
              <c:x val="2.62679410315311E-2"/>
              <c:y val="0.19322206391854699"/>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6330227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slides'!$F$93:$AV$93</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slides'!$F$94:$AV$94</c:f>
              <c:numCache>
                <c:formatCode>_("$"* #,##0.0_);_("$"* \(#,##0.0\);_("$"* "-"??_);_(@_)</c:formatCode>
                <c:ptCount val="43"/>
                <c:pt idx="0">
                  <c:v>53.501341696083173</c:v>
                </c:pt>
                <c:pt idx="1">
                  <c:v>60.382184714208151</c:v>
                </c:pt>
                <c:pt idx="2">
                  <c:v>62.538742460725004</c:v>
                </c:pt>
                <c:pt idx="3">
                  <c:v>80.626334639251539</c:v>
                </c:pt>
                <c:pt idx="4">
                  <c:v>72.516456094288799</c:v>
                </c:pt>
                <c:pt idx="5">
                  <c:v>81.948929514353821</c:v>
                </c:pt>
                <c:pt idx="6">
                  <c:v>81.951138846865774</c:v>
                </c:pt>
                <c:pt idx="7">
                  <c:v>113.31525496836389</c:v>
                </c:pt>
                <c:pt idx="8">
                  <c:v>98.488891157205245</c:v>
                </c:pt>
                <c:pt idx="9">
                  <c:v>99.149912695202772</c:v>
                </c:pt>
                <c:pt idx="10">
                  <c:v>96.555889974683524</c:v>
                </c:pt>
                <c:pt idx="11">
                  <c:v>132.12932492620868</c:v>
                </c:pt>
                <c:pt idx="12">
                  <c:v>114.42069219147987</c:v>
                </c:pt>
                <c:pt idx="13">
                  <c:v>112.56686624425633</c:v>
                </c:pt>
                <c:pt idx="14">
                  <c:v>113.92516220933855</c:v>
                </c:pt>
                <c:pt idx="15">
                  <c:v>155.03308129082831</c:v>
                </c:pt>
                <c:pt idx="16">
                  <c:v>132.66609034867719</c:v>
                </c:pt>
                <c:pt idx="17">
                  <c:v>130.49149758108217</c:v>
                </c:pt>
                <c:pt idx="18">
                  <c:v>135.27333782949265</c:v>
                </c:pt>
                <c:pt idx="19">
                  <c:v>187.11854985433868</c:v>
                </c:pt>
                <c:pt idx="20">
                  <c:v>156.02661363694673</c:v>
                </c:pt>
                <c:pt idx="21">
                  <c:v>154.36970656720507</c:v>
                </c:pt>
                <c:pt idx="22">
                  <c:v>156.86957500895315</c:v>
                </c:pt>
                <c:pt idx="23">
                  <c:v>205.19039225618414</c:v>
                </c:pt>
                <c:pt idx="24">
                  <c:v>163.9938052718488</c:v>
                </c:pt>
                <c:pt idx="25">
                  <c:v>163.93321217966383</c:v>
                </c:pt>
                <c:pt idx="26">
                  <c:v>169.72450617887156</c:v>
                </c:pt>
                <c:pt idx="27">
                  <c:v>228.90959217558759</c:v>
                </c:pt>
                <c:pt idx="28">
                  <c:v>188.90400610021786</c:v>
                </c:pt>
                <c:pt idx="29">
                  <c:v>195.65393838862559</c:v>
                </c:pt>
                <c:pt idx="30">
                  <c:v>212.67691124473302</c:v>
                </c:pt>
                <c:pt idx="31">
                  <c:v>287.92015765745271</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67499904"/>
        <c:axId val="67501440"/>
      </c:barChart>
      <c:catAx>
        <c:axId val="67499904"/>
        <c:scaling>
          <c:orientation val="minMax"/>
        </c:scaling>
        <c:delete val="0"/>
        <c:axPos val="b"/>
        <c:numFmt formatCode="General" sourceLinked="0"/>
        <c:majorTickMark val="out"/>
        <c:minorTickMark val="none"/>
        <c:tickLblPos val="nextTo"/>
        <c:crossAx val="67501440"/>
        <c:crosses val="autoZero"/>
        <c:auto val="1"/>
        <c:lblAlgn val="ctr"/>
        <c:lblOffset val="100"/>
        <c:tickLblSkip val="2"/>
        <c:noMultiLvlLbl val="0"/>
      </c:catAx>
      <c:valAx>
        <c:axId val="67501440"/>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67499904"/>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3372295154288999"/>
          <c:y val="0.16066819857018899"/>
          <c:w val="0.83756401853973295"/>
          <c:h val="0.67036217993338998"/>
        </c:manualLayout>
      </c:layout>
      <c:barChart>
        <c:barDir val="col"/>
        <c:grouping val="clustered"/>
        <c:varyColors val="0"/>
        <c:ser>
          <c:idx val="0"/>
          <c:order val="0"/>
          <c:invertIfNegative val="0"/>
          <c:trendline>
            <c:trendlineType val="linear"/>
            <c:dispRSqr val="0"/>
            <c:dispEq val="0"/>
          </c:trendline>
          <c:cat>
            <c:strRef>
              <c:f>'Charts for slides'!$F$93:$AV$93</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slides'!$F$95:$AV$95</c:f>
              <c:numCache>
                <c:formatCode>_("$"* #,##0.0_);_("$"* \(#,##0.0\);_("$"* "-"??_);_(@_)</c:formatCode>
                <c:ptCount val="43"/>
                <c:pt idx="0">
                  <c:v>1.4057760933746863</c:v>
                </c:pt>
                <c:pt idx="1">
                  <c:v>2.5239091046132858</c:v>
                </c:pt>
                <c:pt idx="2">
                  <c:v>3.0568355329374532</c:v>
                </c:pt>
                <c:pt idx="3">
                  <c:v>5.296401012724866</c:v>
                </c:pt>
                <c:pt idx="4">
                  <c:v>3.1482440007532757</c:v>
                </c:pt>
                <c:pt idx="5">
                  <c:v>3.6319602908939683</c:v>
                </c:pt>
                <c:pt idx="6">
                  <c:v>4.2122011728300599</c:v>
                </c:pt>
                <c:pt idx="7">
                  <c:v>4.2825332707562751</c:v>
                </c:pt>
                <c:pt idx="8">
                  <c:v>4.281497414185524</c:v>
                </c:pt>
                <c:pt idx="9">
                  <c:v>5.4025956166333753</c:v>
                </c:pt>
                <c:pt idx="10">
                  <c:v>6.7361447552742622</c:v>
                </c:pt>
                <c:pt idx="11">
                  <c:v>7.4931178956743008</c:v>
                </c:pt>
                <c:pt idx="12">
                  <c:v>5.9112034146314265</c:v>
                </c:pt>
                <c:pt idx="13">
                  <c:v>7.5698916748622871</c:v>
                </c:pt>
                <c:pt idx="14">
                  <c:v>8.0945955499867459</c:v>
                </c:pt>
                <c:pt idx="15">
                  <c:v>8.6889248963504908</c:v>
                </c:pt>
                <c:pt idx="16">
                  <c:v>7.4759670439120658</c:v>
                </c:pt>
                <c:pt idx="17">
                  <c:v>9.283903204348178</c:v>
                </c:pt>
                <c:pt idx="18">
                  <c:v>11.345373128936847</c:v>
                </c:pt>
                <c:pt idx="19">
                  <c:v>12.022537062340156</c:v>
                </c:pt>
                <c:pt idx="20">
                  <c:v>9.615961186016678</c:v>
                </c:pt>
                <c:pt idx="21">
                  <c:v>10.567655463584487</c:v>
                </c:pt>
                <c:pt idx="22">
                  <c:v>11.874437456033768</c:v>
                </c:pt>
                <c:pt idx="23">
                  <c:v>12.167663016987044</c:v>
                </c:pt>
                <c:pt idx="24">
                  <c:v>10.911260571218886</c:v>
                </c:pt>
                <c:pt idx="25">
                  <c:v>12.02631732035149</c:v>
                </c:pt>
                <c:pt idx="26">
                  <c:v>13.921135684273708</c:v>
                </c:pt>
                <c:pt idx="27">
                  <c:v>14.792237460642893</c:v>
                </c:pt>
                <c:pt idx="28">
                  <c:v>12.171444705882351</c:v>
                </c:pt>
                <c:pt idx="29">
                  <c:v>14.736698085308058</c:v>
                </c:pt>
                <c:pt idx="30">
                  <c:v>16.563925575311728</c:v>
                </c:pt>
                <c:pt idx="31">
                  <c:v>19.590559576800128</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67601536"/>
        <c:axId val="67603072"/>
      </c:barChart>
      <c:dateAx>
        <c:axId val="67601536"/>
        <c:scaling>
          <c:orientation val="minMax"/>
        </c:scaling>
        <c:delete val="0"/>
        <c:axPos val="b"/>
        <c:numFmt formatCode="General" sourceLinked="0"/>
        <c:majorTickMark val="out"/>
        <c:minorTickMark val="none"/>
        <c:tickLblPos val="nextTo"/>
        <c:crossAx val="67603072"/>
        <c:crosses val="autoZero"/>
        <c:auto val="0"/>
        <c:lblOffset val="100"/>
        <c:baseTimeUnit val="days"/>
        <c:majorUnit val="2"/>
      </c:dateAx>
      <c:valAx>
        <c:axId val="67603072"/>
        <c:scaling>
          <c:orientation val="minMax"/>
          <c:min val="0"/>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676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a:t>
            </a:r>
            <a:r>
              <a:rPr lang="en-US" sz="1600" baseline="0"/>
              <a:t> c</a:t>
            </a:r>
            <a:r>
              <a:rPr lang="en-US" sz="1600"/>
              <a:t>ompany revenues</a:t>
            </a:r>
          </a:p>
        </c:rich>
      </c:tx>
      <c:layout>
        <c:manualLayout>
          <c:xMode val="edge"/>
          <c:yMode val="edge"/>
          <c:x val="0.33119197910303638"/>
          <c:y val="4.4557604386713696E-3"/>
        </c:manualLayout>
      </c:layout>
      <c:overlay val="0"/>
    </c:title>
    <c:autoTitleDeleted val="0"/>
    <c:plotArea>
      <c:layout>
        <c:manualLayout>
          <c:layoutTarget val="inner"/>
          <c:xMode val="edge"/>
          <c:yMode val="edge"/>
          <c:x val="0.16586689397856166"/>
          <c:y val="0.20868220709602656"/>
          <c:w val="0.81729413504735737"/>
          <c:h val="0.5882512473497874"/>
        </c:manualLayout>
      </c:layout>
      <c:lineChart>
        <c:grouping val="standard"/>
        <c:varyColors val="0"/>
        <c:ser>
          <c:idx val="6"/>
          <c:order val="0"/>
          <c:tx>
            <c:strRef>
              <c:f>'Network equip'!$B$14</c:f>
              <c:strCache>
                <c:ptCount val="1"/>
                <c:pt idx="0">
                  <c:v>Huawei Carrier &amp; Enterprise</c:v>
                </c:pt>
              </c:strCache>
            </c:strRef>
          </c:tx>
          <c:marker>
            <c:symbol val="diamond"/>
            <c:size val="5"/>
            <c:spPr>
              <a:solidFill>
                <a:schemeClr val="accent1"/>
              </a:solidFill>
            </c:spPr>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equip'!$C$14:$U$14</c:f>
              <c:numCache>
                <c:formatCode>"$"#,##0_);\("$"#,##0\)</c:formatCode>
                <c:ptCount val="11"/>
              </c:numCache>
            </c:numRef>
          </c:val>
          <c:smooth val="0"/>
          <c:extLst>
            <c:ext xmlns:c16="http://schemas.microsoft.com/office/drawing/2014/chart" uri="{C3380CC4-5D6E-409C-BE32-E72D297353CC}">
              <c16:uniqueId val="{00000000-30FD-DD4C-A21F-54102342C9B1}"/>
            </c:ext>
          </c:extLst>
        </c:ser>
        <c:ser>
          <c:idx val="8"/>
          <c:order val="1"/>
          <c:tx>
            <c:strRef>
              <c:f>'Network equip'!$B$16</c:f>
              <c:strCache>
                <c:ptCount val="1"/>
                <c:pt idx="0">
                  <c:v>Nokia Networks</c:v>
                </c:pt>
              </c:strCache>
            </c:strRef>
          </c:tx>
          <c:marker>
            <c:symbol val="none"/>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equip'!$C$16:$U$16</c:f>
              <c:numCache>
                <c:formatCode>"$"#,##0_);\("$"#,##0\)</c:formatCode>
                <c:ptCount val="11"/>
              </c:numCache>
            </c:numRef>
          </c:val>
          <c:smooth val="0"/>
          <c:extLst>
            <c:ext xmlns:c16="http://schemas.microsoft.com/office/drawing/2014/chart" uri="{C3380CC4-5D6E-409C-BE32-E72D297353CC}">
              <c16:uniqueId val="{00000001-30FD-DD4C-A21F-54102342C9B1}"/>
            </c:ext>
          </c:extLst>
        </c:ser>
        <c:ser>
          <c:idx val="4"/>
          <c:order val="2"/>
          <c:tx>
            <c:strRef>
              <c:f>'Network equip'!$B$11</c:f>
              <c:strCache>
                <c:ptCount val="1"/>
                <c:pt idx="0">
                  <c:v>Ericsson</c:v>
                </c:pt>
              </c:strCache>
            </c:strRef>
          </c:tx>
          <c:marker>
            <c:symbol val="circle"/>
            <c:size val="5"/>
            <c:spPr>
              <a:solidFill>
                <a:schemeClr val="accent2"/>
              </a:solidFill>
            </c:spPr>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equip'!$C$11:$U$11</c:f>
              <c:numCache>
                <c:formatCode>"$"#,##0_);\("$"#,##0\)</c:formatCode>
                <c:ptCount val="11"/>
              </c:numCache>
            </c:numRef>
          </c:val>
          <c:smooth val="0"/>
          <c:extLst>
            <c:ext xmlns:c16="http://schemas.microsoft.com/office/drawing/2014/chart" uri="{C3380CC4-5D6E-409C-BE32-E72D297353CC}">
              <c16:uniqueId val="{00000002-30FD-DD4C-A21F-54102342C9B1}"/>
            </c:ext>
          </c:extLst>
        </c:ser>
        <c:ser>
          <c:idx val="10"/>
          <c:order val="3"/>
          <c:tx>
            <c:strRef>
              <c:f>'Network equip'!$B$17</c:f>
              <c:strCache>
                <c:ptCount val="1"/>
                <c:pt idx="0">
                  <c:v>ZTE</c:v>
                </c:pt>
              </c:strCache>
            </c:strRef>
          </c:tx>
          <c:marker>
            <c:symbol val="x"/>
            <c:size val="5"/>
            <c:spPr>
              <a:ln w="19050">
                <a:solidFill>
                  <a:schemeClr val="accent1"/>
                </a:solidFill>
              </a:ln>
            </c:spPr>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equip'!$C$17:$U$17</c:f>
              <c:numCache>
                <c:formatCode>"$"#,##0_);\("$"#,##0\)</c:formatCode>
                <c:ptCount val="11"/>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67627264"/>
        <c:axId val="67641728"/>
      </c:lineChart>
      <c:dateAx>
        <c:axId val="67627264"/>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67641728"/>
        <c:crosses val="autoZero"/>
        <c:auto val="0"/>
        <c:lblOffset val="100"/>
        <c:baseTimeUnit val="days"/>
        <c:majorUnit val="1"/>
      </c:dateAx>
      <c:valAx>
        <c:axId val="67641728"/>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67627264"/>
        <c:crosses val="autoZero"/>
        <c:crossBetween val="between"/>
      </c:valAx>
      <c:spPr>
        <a:noFill/>
        <a:ln w="25400">
          <a:noFill/>
        </a:ln>
      </c:spPr>
    </c:plotArea>
    <c:legend>
      <c:legendPos val="t"/>
      <c:layout>
        <c:manualLayout>
          <c:xMode val="edge"/>
          <c:yMode val="edge"/>
          <c:x val="0.16449398169287743"/>
          <c:y val="0.11821132443795143"/>
          <c:w val="0.76397428121883848"/>
          <c:h val="9.2197402116240612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a:t>
            </a:r>
            <a:endParaRPr lang="en-US" b="0"/>
          </a:p>
        </c:rich>
      </c:tx>
      <c:overlay val="0"/>
    </c:title>
    <c:autoTitleDeleted val="0"/>
    <c:plotArea>
      <c:layout>
        <c:manualLayout>
          <c:layoutTarget val="inner"/>
          <c:xMode val="edge"/>
          <c:yMode val="edge"/>
          <c:x val="0.17280507302776099"/>
          <c:y val="0.16066819857018899"/>
          <c:w val="0.79848163229472702"/>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slides'!$F$42:$AV$42</c:f>
              <c:numCache>
                <c:formatCode>_("$"* #,##0_);_("$"* \(#,##0\);_("$"* "-"??_);_(@_)</c:formatCode>
                <c:ptCount val="43"/>
                <c:pt idx="0">
                  <c:v>34.728936726271193</c:v>
                </c:pt>
                <c:pt idx="1">
                  <c:v>35.195084173639771</c:v>
                </c:pt>
                <c:pt idx="2">
                  <c:v>41.757859752434477</c:v>
                </c:pt>
                <c:pt idx="3">
                  <c:v>49.006491708239125</c:v>
                </c:pt>
                <c:pt idx="4">
                  <c:v>40.802992378535876</c:v>
                </c:pt>
                <c:pt idx="5">
                  <c:v>38.67971954480619</c:v>
                </c:pt>
                <c:pt idx="6">
                  <c:v>43.444508998498812</c:v>
                </c:pt>
                <c:pt idx="7">
                  <c:v>49.12001303469232</c:v>
                </c:pt>
                <c:pt idx="8">
                  <c:v>41.66857376166098</c:v>
                </c:pt>
                <c:pt idx="9">
                  <c:v>37.988977656145394</c:v>
                </c:pt>
                <c:pt idx="10">
                  <c:v>43.261286405944581</c:v>
                </c:pt>
                <c:pt idx="11">
                  <c:v>50.621175744022473</c:v>
                </c:pt>
                <c:pt idx="12">
                  <c:v>43.12644455701529</c:v>
                </c:pt>
                <c:pt idx="13">
                  <c:v>39.678424341122017</c:v>
                </c:pt>
                <c:pt idx="14">
                  <c:v>50.204742797414575</c:v>
                </c:pt>
                <c:pt idx="15">
                  <c:v>54.897758678697755</c:v>
                </c:pt>
                <c:pt idx="16">
                  <c:v>44.860238134878571</c:v>
                </c:pt>
                <c:pt idx="17">
                  <c:v>44.620437368778894</c:v>
                </c:pt>
                <c:pt idx="18">
                  <c:v>46.385666194833959</c:v>
                </c:pt>
                <c:pt idx="19">
                  <c:v>51.84744236692574</c:v>
                </c:pt>
                <c:pt idx="20">
                  <c:v>39.461973897922562</c:v>
                </c:pt>
                <c:pt idx="21" formatCode="_(&quot;$&quot;* #,##0.0_);_(&quot;$&quot;* \(#,##0.0\);_(&quot;$&quot;* &quot;-&quot;??_);_(@_)">
                  <c:v>39.105555256555689</c:v>
                </c:pt>
                <c:pt idx="22">
                  <c:v>53.457644493544272</c:v>
                </c:pt>
                <c:pt idx="23">
                  <c:v>58.539736551042552</c:v>
                </c:pt>
                <c:pt idx="24">
                  <c:v>44.188394289447757</c:v>
                </c:pt>
                <c:pt idx="25" formatCode="_(&quot;$&quot;* #,##0.0_);_(&quot;$&quot;* \(#,##0.0\);_(&quot;$&quot;* &quot;-&quot;??_);_(@_)">
                  <c:v>40.859238080563614</c:v>
                </c:pt>
                <c:pt idx="26" formatCode="_(&quot;$&quot;* #,##0.0_);_(&quot;$&quot;* \(#,##0.0\);_(&quot;$&quot;* &quot;-&quot;??_);_(@_)">
                  <c:v>48.186286706666401</c:v>
                </c:pt>
                <c:pt idx="27" formatCode="_(&quot;$&quot;* #,##0.0_);_(&quot;$&quot;* \(#,##0.0\);_(&quot;$&quot;* &quot;-&quot;??_);_(@_)">
                  <c:v>54.760094867784481</c:v>
                </c:pt>
                <c:pt idx="28" formatCode="_(&quot;$&quot;* #,##0.0_);_(&quot;$&quot;* \(#,##0.0\);_(&quot;$&quot;* &quot;-&quot;??_);_(@_)">
                  <c:v>43.178748128220462</c:v>
                </c:pt>
                <c:pt idx="29" formatCode="_(&quot;$&quot;* #,##0.0_);_(&quot;$&quot;* \(#,##0.0\);_(&quot;$&quot;* &quot;-&quot;??_);_(@_)">
                  <c:v>42.844170995759526</c:v>
                </c:pt>
                <c:pt idx="30" formatCode="_(&quot;$&quot;* #,##0.0_);_(&quot;$&quot;* \(#,##0.0\);_(&quot;$&quot;* &quot;-&quot;??_);_(@_)">
                  <c:v>47.72373111002463</c:v>
                </c:pt>
                <c:pt idx="31" formatCode="_(&quot;$&quot;* #,##0.0_);_(&quot;$&quot;* \(#,##0.0\);_(&quot;$&quot;* &quot;-&quot;??_);_(@_)">
                  <c:v>50.657931244240558</c:v>
                </c:pt>
                <c:pt idx="32" formatCode="_(&quot;$&quot;* #,##0.0_);_(&quot;$&quot;* \(#,##0.0\);_(&quot;$&quot;* &quot;-&quot;??_);_(@_)">
                  <c:v>0</c:v>
                </c:pt>
                <c:pt idx="33" formatCode="_(&quot;$&quot;* #,##0.0_);_(&quot;$&quot;* \(#,##0.0\);_(&quot;$&quot;* &quot;-&quot;??_);_(@_)">
                  <c:v>0</c:v>
                </c:pt>
                <c:pt idx="34" formatCode="_(&quot;$&quot;* #,##0.0_);_(&quot;$&quot;* \(#,##0.0\);_(&quot;$&quot;* &quot;-&quot;??_);_(@_)">
                  <c:v>0</c:v>
                </c:pt>
                <c:pt idx="35" formatCode="_(&quot;$&quot;* #,##0.0_);_(&quot;$&quot;* \(#,##0.0\);_(&quot;$&quot;* &quot;-&quot;??_);_(@_)">
                  <c:v>0</c:v>
                </c:pt>
                <c:pt idx="36" formatCode="_(&quot;$&quot;* #,##0.0_);_(&quot;$&quot;* \(#,##0.0\);_(&quot;$&quot;* &quot;-&quot;??_);_(@_)">
                  <c:v>0</c:v>
                </c:pt>
                <c:pt idx="37" formatCode="_(&quot;$&quot;* #,##0.0_);_(&quot;$&quot;* \(#,##0.0\);_(&quot;$&quot;* &quot;-&quot;??_);_(@_)">
                  <c:v>0</c:v>
                </c:pt>
                <c:pt idx="38" formatCode="_(&quot;$&quot;* #,##0.0_);_(&quot;$&quot;* \(#,##0.0\);_(&quot;$&quot;* &quot;-&quot;??_);_(@_)">
                  <c:v>0</c:v>
                </c:pt>
                <c:pt idx="39" formatCode="_(&quot;$&quot;* #,##0.0_);_(&quot;$&quot;* \(#,##0.0\);_(&quot;$&quot;* &quot;-&quot;??_);_(@_)">
                  <c:v>0</c:v>
                </c:pt>
                <c:pt idx="40" formatCode="_(&quot;$&quot;* #,##0.0_);_(&quot;$&quot;* \(#,##0.0\);_(&quot;$&quot;* &quot;-&quot;??_);_(@_)">
                  <c:v>0</c:v>
                </c:pt>
                <c:pt idx="41" formatCode="_(&quot;$&quot;* #,##0.0_);_(&quot;$&quot;* \(#,##0.0\);_(&quot;$&quot;* &quot;-&quot;??_);_(@_)">
                  <c:v>0</c:v>
                </c:pt>
                <c:pt idx="42" formatCode="_(&quot;$&quot;* #,##0.0_);_(&quot;$&quot;* \(#,##0.0\);_(&quot;$&quot;* &quot;-&quot;??_);_(@_)">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67660032"/>
        <c:axId val="68620288"/>
      </c:barChart>
      <c:catAx>
        <c:axId val="67660032"/>
        <c:scaling>
          <c:orientation val="minMax"/>
        </c:scaling>
        <c:delete val="0"/>
        <c:axPos val="b"/>
        <c:numFmt formatCode="General" sourceLinked="0"/>
        <c:majorTickMark val="out"/>
        <c:minorTickMark val="none"/>
        <c:tickLblPos val="nextTo"/>
        <c:crossAx val="68620288"/>
        <c:crosses val="autoZero"/>
        <c:auto val="1"/>
        <c:lblAlgn val="ctr"/>
        <c:lblOffset val="100"/>
        <c:tickLblSkip val="2"/>
        <c:noMultiLvlLbl val="0"/>
      </c:catAx>
      <c:valAx>
        <c:axId val="68620288"/>
        <c:scaling>
          <c:orientation val="minMax"/>
        </c:scaling>
        <c:delete val="0"/>
        <c:axPos val="l"/>
        <c:majorGridlines/>
        <c:title>
          <c:tx>
            <c:rich>
              <a:bodyPr rot="-5400000" vert="horz"/>
              <a:lstStyle/>
              <a:p>
                <a:pPr>
                  <a:defRPr/>
                </a:pPr>
                <a:r>
                  <a:rPr lang="en-US"/>
                  <a:t>$ billions</a:t>
                </a:r>
              </a:p>
            </c:rich>
          </c:tx>
          <c:layout>
            <c:manualLayout>
              <c:xMode val="edge"/>
              <c:yMode val="edge"/>
              <c:x val="4.0508296465913203E-2"/>
              <c:y val="0.374988641947056"/>
            </c:manualLayout>
          </c:layout>
          <c:overlay val="0"/>
        </c:title>
        <c:numFmt formatCode="&quot;$&quot;#,##0" sourceLinked="0"/>
        <c:majorTickMark val="out"/>
        <c:minorTickMark val="none"/>
        <c:tickLblPos val="nextTo"/>
        <c:crossAx val="6766003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layout>
        <c:manualLayout>
          <c:xMode val="edge"/>
          <c:yMode val="edge"/>
          <c:x val="0.43876039741881201"/>
          <c:y val="2.1284681356169399E-2"/>
        </c:manualLayout>
      </c:layout>
      <c:overlay val="0"/>
    </c:title>
    <c:autoTitleDeleted val="0"/>
    <c:plotArea>
      <c:layout>
        <c:manualLayout>
          <c:layoutTarget val="inner"/>
          <c:xMode val="edge"/>
          <c:yMode val="edge"/>
          <c:x val="0.168117465379546"/>
          <c:y val="0.156738633749711"/>
          <c:w val="0.79757804288188405"/>
          <c:h val="0.65832807151988104"/>
        </c:manualLayout>
      </c:layout>
      <c:barChart>
        <c:barDir val="col"/>
        <c:grouping val="clustered"/>
        <c:varyColors val="0"/>
        <c:ser>
          <c:idx val="0"/>
          <c:order val="0"/>
          <c:tx>
            <c:strRef>
              <c:f>'Charts for slides'!$E$41</c:f>
              <c:strCache>
                <c:ptCount val="1"/>
                <c:pt idx="0">
                  <c:v>Revenues ($ bn)</c:v>
                </c:pt>
              </c:strCache>
            </c:strRef>
          </c:tx>
          <c:invertIfNegative val="0"/>
          <c:trendline>
            <c:spPr>
              <a:ln w="25400"/>
            </c:spPr>
            <c:trendlineType val="linear"/>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slides'!$F$41:$AV$41</c:f>
              <c:numCache>
                <c:formatCode>_("$"* #,##0_);_("$"* \(#,##0\);_("$"* "-"??_);_(@_)</c:formatCode>
                <c:ptCount val="43"/>
                <c:pt idx="0">
                  <c:v>228.60809635797696</c:v>
                </c:pt>
                <c:pt idx="1">
                  <c:v>230.33528564203172</c:v>
                </c:pt>
                <c:pt idx="2">
                  <c:v>241.33341306125129</c:v>
                </c:pt>
                <c:pt idx="3">
                  <c:v>249.83962974218716</c:v>
                </c:pt>
                <c:pt idx="4">
                  <c:v>248.54039385533795</c:v>
                </c:pt>
                <c:pt idx="5">
                  <c:v>257.11682506777794</c:v>
                </c:pt>
                <c:pt idx="6">
                  <c:v>253.30655447806231</c:v>
                </c:pt>
                <c:pt idx="7">
                  <c:v>261.21708401280051</c:v>
                </c:pt>
                <c:pt idx="8">
                  <c:v>255.98924592429833</c:v>
                </c:pt>
                <c:pt idx="9">
                  <c:v>251.41857207868992</c:v>
                </c:pt>
                <c:pt idx="10">
                  <c:v>256.0751665743224</c:v>
                </c:pt>
                <c:pt idx="11">
                  <c:v>263.07760612865525</c:v>
                </c:pt>
                <c:pt idx="12">
                  <c:v>247.60170493693698</c:v>
                </c:pt>
                <c:pt idx="13">
                  <c:v>253.19389128007066</c:v>
                </c:pt>
                <c:pt idx="14">
                  <c:v>269.04524889610042</c:v>
                </c:pt>
                <c:pt idx="15">
                  <c:v>269.58382949177047</c:v>
                </c:pt>
                <c:pt idx="16">
                  <c:v>268.53915563856322</c:v>
                </c:pt>
                <c:pt idx="17">
                  <c:v>266.35868403109487</c:v>
                </c:pt>
                <c:pt idx="18">
                  <c:v>259.26233852863658</c:v>
                </c:pt>
                <c:pt idx="19">
                  <c:v>260.2147697102468</c:v>
                </c:pt>
                <c:pt idx="20">
                  <c:v>251.75935533771485</c:v>
                </c:pt>
                <c:pt idx="21">
                  <c:v>250.25753078128531</c:v>
                </c:pt>
                <c:pt idx="22">
                  <c:v>258.13159026026875</c:v>
                </c:pt>
                <c:pt idx="23">
                  <c:v>261.06427574986594</c:v>
                </c:pt>
                <c:pt idx="24">
                  <c:v>282.80446598778593</c:v>
                </c:pt>
                <c:pt idx="25">
                  <c:v>284.65636291425483</c:v>
                </c:pt>
                <c:pt idx="26">
                  <c:v>285.53036104130103</c:v>
                </c:pt>
                <c:pt idx="27">
                  <c:v>291.3290270693094</c:v>
                </c:pt>
                <c:pt idx="28">
                  <c:v>276.72724159976582</c:v>
                </c:pt>
                <c:pt idx="29">
                  <c:v>282.98968430365261</c:v>
                </c:pt>
                <c:pt idx="30">
                  <c:v>285.73065743659544</c:v>
                </c:pt>
                <c:pt idx="31">
                  <c:v>296.47723938465805</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68638208"/>
        <c:axId val="68639744"/>
      </c:barChart>
      <c:catAx>
        <c:axId val="68638208"/>
        <c:scaling>
          <c:orientation val="minMax"/>
        </c:scaling>
        <c:delete val="0"/>
        <c:axPos val="b"/>
        <c:numFmt formatCode="General" sourceLinked="0"/>
        <c:majorTickMark val="out"/>
        <c:minorTickMark val="none"/>
        <c:tickLblPos val="nextTo"/>
        <c:crossAx val="68639744"/>
        <c:crosses val="autoZero"/>
        <c:auto val="1"/>
        <c:lblAlgn val="ctr"/>
        <c:lblOffset val="100"/>
        <c:tickLblSkip val="2"/>
        <c:noMultiLvlLbl val="0"/>
      </c:catAx>
      <c:valAx>
        <c:axId val="68639744"/>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68638208"/>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 revenues</a:t>
            </a:r>
          </a:p>
        </c:rich>
      </c:tx>
      <c:overlay val="0"/>
    </c:title>
    <c:autoTitleDeleted val="0"/>
    <c:plotArea>
      <c:layout>
        <c:manualLayout>
          <c:layoutTarget val="inner"/>
          <c:xMode val="edge"/>
          <c:yMode val="edge"/>
          <c:x val="9.4022556005867383E-2"/>
          <c:y val="9.2347219204930872E-2"/>
          <c:w val="0.66618618436571775"/>
          <c:h val="0.75063356003432347"/>
        </c:manualLayout>
      </c:layout>
      <c:lineChart>
        <c:grouping val="standard"/>
        <c:varyColors val="0"/>
        <c:ser>
          <c:idx val="6"/>
          <c:order val="0"/>
          <c:tx>
            <c:strRef>
              <c:f>'Datacom equip'!$B$11</c:f>
              <c:strCache>
                <c:ptCount val="1"/>
                <c:pt idx="0">
                  <c:v>Dell Infrastructure Solutions Group</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slides'!$Z$133:$AV$133</c:f>
              <c:numCache>
                <c:formatCode>_("$"* #,##0.0_);_("$"* \(#,##0.0\);_("$"* "-"??_);_(@_)</c:formatCode>
                <c:ptCount val="23"/>
                <c:pt idx="0">
                  <c:v>5.8810000000000002</c:v>
                </c:pt>
                <c:pt idx="1">
                  <c:v>6.3090000000000002</c:v>
                </c:pt>
                <c:pt idx="2">
                  <c:v>6.1349999999999998</c:v>
                </c:pt>
                <c:pt idx="3">
                  <c:v>6.883</c:v>
                </c:pt>
                <c:pt idx="4">
                  <c:v>5.5730000000000004</c:v>
                </c:pt>
                <c:pt idx="5">
                  <c:v>5.8</c:v>
                </c:pt>
                <c:pt idx="6">
                  <c:v>5.9889999999999999</c:v>
                </c:pt>
                <c:pt idx="7">
                  <c:v>8.3949999999999996</c:v>
                </c:pt>
                <c:pt idx="8">
                  <c:v>6.9219999999999997</c:v>
                </c:pt>
                <c:pt idx="9">
                  <c:v>7.4</c:v>
                </c:pt>
                <c:pt idx="10">
                  <c:v>7.5179999999999998</c:v>
                </c:pt>
                <c:pt idx="11">
                  <c:v>8.8119999999999994</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4A7B-5040-8905-D48BF48BB234}"/>
            </c:ext>
          </c:extLst>
        </c:ser>
        <c:ser>
          <c:idx val="0"/>
          <c:order val="1"/>
          <c:tx>
            <c:strRef>
              <c:f>'Charts for slides'!$E$136</c:f>
              <c:strCache>
                <c:ptCount val="1"/>
                <c:pt idx="0">
                  <c:v>HPE Hybrid IT</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slides'!$Z$136:$AV$136</c:f>
              <c:numCache>
                <c:formatCode>_("$"* #,##0.0_);_("$"* \(#,##0.0\);_("$"* "-"??_);_(@_)</c:formatCode>
                <c:ptCount val="23"/>
                <c:pt idx="0">
                  <c:v>6.5609999999999999</c:v>
                </c:pt>
                <c:pt idx="1">
                  <c:v>7.0069999999999997</c:v>
                </c:pt>
                <c:pt idx="2">
                  <c:v>7.3579999999999997</c:v>
                </c:pt>
                <c:pt idx="3">
                  <c:v>7.1280000000000001</c:v>
                </c:pt>
                <c:pt idx="4">
                  <c:v>7.1589999999999998</c:v>
                </c:pt>
                <c:pt idx="5">
                  <c:v>6.476</c:v>
                </c:pt>
                <c:pt idx="6">
                  <c:v>6.6820000000000004</c:v>
                </c:pt>
                <c:pt idx="7">
                  <c:v>6.3250000000000002</c:v>
                </c:pt>
                <c:pt idx="8">
                  <c:v>6.2430000000000003</c:v>
                </c:pt>
                <c:pt idx="9">
                  <c:v>6.7910000000000004</c:v>
                </c:pt>
                <c:pt idx="10">
                  <c:v>6.8520000000000003</c:v>
                </c:pt>
                <c:pt idx="11">
                  <c:v>6.9509999999999996</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4A7B-5040-8905-D48BF48BB234}"/>
            </c:ext>
          </c:extLst>
        </c:ser>
        <c:ser>
          <c:idx val="2"/>
          <c:order val="2"/>
          <c:tx>
            <c:strRef>
              <c:f>'Charts for slides'!$E$132</c:f>
              <c:strCache>
                <c:ptCount val="1"/>
                <c:pt idx="0">
                  <c:v>Cisco - Switches, Routers, Data Ctr.</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slides'!$Z$132:$AV$132</c:f>
              <c:numCache>
                <c:formatCode>_("$"* #,##0.0_);_("$"* \(#,##0.0\);_("$"* "-"??_);_(@_)</c:formatCode>
                <c:ptCount val="23"/>
                <c:pt idx="0">
                  <c:v>6.36</c:v>
                </c:pt>
                <c:pt idx="1">
                  <c:v>6.5910000000000002</c:v>
                </c:pt>
                <c:pt idx="2">
                  <c:v>6.6740000000000004</c:v>
                </c:pt>
                <c:pt idx="3">
                  <c:v>6.15</c:v>
                </c:pt>
                <c:pt idx="4">
                  <c:v>6.1520000000000001</c:v>
                </c:pt>
                <c:pt idx="5">
                  <c:v>6.5430000000000001</c:v>
                </c:pt>
                <c:pt idx="6">
                  <c:v>6.6390000000000002</c:v>
                </c:pt>
                <c:pt idx="7">
                  <c:v>5.9119999999999999</c:v>
                </c:pt>
                <c:pt idx="8">
                  <c:v>6.2880000000000003</c:v>
                </c:pt>
                <c:pt idx="9">
                  <c:v>6.1689999999999996</c:v>
                </c:pt>
                <c:pt idx="10">
                  <c:v>6.97</c:v>
                </c:pt>
                <c:pt idx="11">
                  <c:v>6.694</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2-4A7B-5040-8905-D48BF48BB234}"/>
            </c:ext>
          </c:extLst>
        </c:ser>
        <c:ser>
          <c:idx val="3"/>
          <c:order val="3"/>
          <c:tx>
            <c:strRef>
              <c:f>'Charts for slides'!$E$137</c:f>
              <c:strCache>
                <c:ptCount val="1"/>
                <c:pt idx="0">
                  <c:v>IBM - Systems</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slides'!$Z$137:$AV$137</c:f>
              <c:numCache>
                <c:formatCode>_("$"* #,##0.00_);_("$"* \(#,##0.00\);_("$"* "-"??_);_(@_)</c:formatCode>
                <c:ptCount val="23"/>
                <c:pt idx="0">
                  <c:v>1.6092299999999999</c:v>
                </c:pt>
                <c:pt idx="1">
                  <c:v>1.9962599999999999</c:v>
                </c:pt>
                <c:pt idx="2">
                  <c:v>1.4472400000000001</c:v>
                </c:pt>
                <c:pt idx="3">
                  <c:v>2.32456</c:v>
                </c:pt>
                <c:pt idx="4">
                  <c:v>1.675</c:v>
                </c:pt>
                <c:pt idx="5">
                  <c:v>1.95</c:v>
                </c:pt>
                <c:pt idx="6">
                  <c:v>1.5580000000000001</c:v>
                </c:pt>
                <c:pt idx="7">
                  <c:v>2.5299999999999998</c:v>
                </c:pt>
                <c:pt idx="8">
                  <c:v>1.395</c:v>
                </c:pt>
                <c:pt idx="9">
                  <c:v>1.7470000000000001</c:v>
                </c:pt>
                <c:pt idx="10">
                  <c:v>1.7210000000000001</c:v>
                </c:pt>
                <c:pt idx="11">
                  <c:v>3.3319999999999999</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3-4A7B-5040-8905-D48BF48BB234}"/>
            </c:ext>
          </c:extLst>
        </c:ser>
        <c:ser>
          <c:idx val="5"/>
          <c:order val="4"/>
          <c:tx>
            <c:strRef>
              <c:f>'Charts for slides'!$E$140</c:f>
              <c:strCache>
                <c:ptCount val="1"/>
                <c:pt idx="0">
                  <c:v>Lenovo - Enterprise Group</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slides'!$Z$140:$AV$140</c:f>
              <c:numCache>
                <c:formatCode>_("$"* #,##0.00_);_("$"* \(#,##0.00\);_("$"* "-"??_);_(@_)</c:formatCode>
                <c:ptCount val="23"/>
                <c:pt idx="0">
                  <c:v>1.1000000000000001</c:v>
                </c:pt>
                <c:pt idx="1">
                  <c:v>1.077</c:v>
                </c:pt>
                <c:pt idx="2">
                  <c:v>1.177</c:v>
                </c:pt>
                <c:pt idx="3">
                  <c:v>1.3</c:v>
                </c:pt>
                <c:pt idx="4">
                  <c:v>0.97899999999999998</c:v>
                </c:pt>
                <c:pt idx="5">
                  <c:v>1.0860000000000001</c:v>
                </c:pt>
                <c:pt idx="6">
                  <c:v>1.1000000000000001</c:v>
                </c:pt>
                <c:pt idx="7">
                  <c:v>1.05</c:v>
                </c:pt>
                <c:pt idx="8">
                  <c:v>0.85</c:v>
                </c:pt>
                <c:pt idx="9">
                  <c:v>0.76549999999999996</c:v>
                </c:pt>
                <c:pt idx="10">
                  <c:v>0.96699999999999997</c:v>
                </c:pt>
                <c:pt idx="11">
                  <c:v>1.2</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4-4A7B-5040-8905-D48BF48BB234}"/>
            </c:ext>
          </c:extLst>
        </c:ser>
        <c:ser>
          <c:idx val="1"/>
          <c:order val="5"/>
          <c:tx>
            <c:strRef>
              <c:f>'Charts for slides'!$E$135</c:f>
              <c:strCache>
                <c:ptCount val="1"/>
                <c:pt idx="0">
                  <c:v>H3C</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slides'!$Z$135:$AV$135</c:f>
              <c:numCache>
                <c:formatCode>_("$"* #,##0.00_);_("$"* \(#,##0.00\);_("$"* "-"??_);_(@_)</c:formatCode>
                <c:ptCount val="23"/>
                <c:pt idx="0">
                  <c:v>0.42558750000000001</c:v>
                </c:pt>
                <c:pt idx="1">
                  <c:v>0.50440600000000002</c:v>
                </c:pt>
                <c:pt idx="2">
                  <c:v>0.53337290000000004</c:v>
                </c:pt>
                <c:pt idx="3">
                  <c:v>0.62323859999999986</c:v>
                </c:pt>
                <c:pt idx="4" formatCode="_(&quot;$&quot;* #,##0.0_);_(&quot;$&quot;* \(#,##0.0\);_(&quot;$&quot;* &quot;-&quot;??_);_(@_)">
                  <c:v>0.47000183475016816</c:v>
                </c:pt>
                <c:pt idx="5" formatCode="_(&quot;$&quot;* #,##0.0_);_(&quot;$&quot;* \(#,##0.0\);_(&quot;$&quot;* &quot;-&quot;??_);_(@_)">
                  <c:v>0.94881571523299391</c:v>
                </c:pt>
                <c:pt idx="6" formatCode="_(&quot;$&quot;* #,##0.0_);_(&quot;$&quot;* \(#,##0.0\);_(&quot;$&quot;* &quot;-&quot;??_);_(@_)">
                  <c:v>1.2469987765474533</c:v>
                </c:pt>
                <c:pt idx="7" formatCode="_(&quot;$&quot;* #,##0.0_);_(&quot;$&quot;* \(#,##0.0\);_(&quot;$&quot;* &quot;-&quot;??_);_(@_)">
                  <c:v>1.3921759118819137</c:v>
                </c:pt>
                <c:pt idx="8" formatCode="_(&quot;$&quot;* #,##0.0_);_(&quot;$&quot;* \(#,##0.0\);_(&quot;$&quot;* &quot;-&quot;??_);_(@_)">
                  <c:v>1.1291212781408857</c:v>
                </c:pt>
                <c:pt idx="9" formatCode="_(&quot;$&quot;* #,##0.0_);_(&quot;$&quot;* \(#,##0.0\);_(&quot;$&quot;* &quot;-&quot;??_);_(@_)">
                  <c:v>1.33197970618285</c:v>
                </c:pt>
                <c:pt idx="10" formatCode="_(&quot;$&quot;* #,##0.0_);_(&quot;$&quot;* \(#,##0.0\);_(&quot;$&quot;* &quot;-&quot;??_);_(@_)">
                  <c:v>1.5908416149055347</c:v>
                </c:pt>
                <c:pt idx="11" formatCode="_(&quot;$&quot;* #,##0.0_);_(&quot;$&quot;* \(#,##0.0\);_(&quot;$&quot;* &quot;-&quot;??_);_(@_)">
                  <c:v>1.8552858974671966</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numCache>
            </c:numRef>
          </c:val>
          <c:smooth val="0"/>
          <c:extLst>
            <c:ext xmlns:c16="http://schemas.microsoft.com/office/drawing/2014/chart" uri="{C3380CC4-5D6E-409C-BE32-E72D297353CC}">
              <c16:uniqueId val="{00000005-4A7B-5040-8905-D48BF48BB234}"/>
            </c:ext>
          </c:extLst>
        </c:ser>
        <c:dLbls>
          <c:showLegendKey val="0"/>
          <c:showVal val="0"/>
          <c:showCatName val="0"/>
          <c:showSerName val="0"/>
          <c:showPercent val="0"/>
          <c:showBubbleSize val="0"/>
        </c:dLbls>
        <c:smooth val="0"/>
        <c:axId val="68771200"/>
        <c:axId val="68781184"/>
      </c:lineChart>
      <c:catAx>
        <c:axId val="68771200"/>
        <c:scaling>
          <c:orientation val="minMax"/>
        </c:scaling>
        <c:delete val="0"/>
        <c:axPos val="b"/>
        <c:numFmt formatCode="General" sourceLinked="0"/>
        <c:majorTickMark val="out"/>
        <c:minorTickMark val="none"/>
        <c:tickLblPos val="nextTo"/>
        <c:txPr>
          <a:bodyPr/>
          <a:lstStyle/>
          <a:p>
            <a:pPr>
              <a:defRPr sz="1050"/>
            </a:pPr>
            <a:endParaRPr lang="en-US"/>
          </a:p>
        </c:txPr>
        <c:crossAx val="68781184"/>
        <c:crosses val="autoZero"/>
        <c:auto val="1"/>
        <c:lblAlgn val="ctr"/>
        <c:lblOffset val="100"/>
        <c:noMultiLvlLbl val="0"/>
      </c:catAx>
      <c:valAx>
        <c:axId val="68781184"/>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 sourceLinked="0"/>
        <c:majorTickMark val="out"/>
        <c:minorTickMark val="none"/>
        <c:tickLblPos val="nextTo"/>
        <c:txPr>
          <a:bodyPr/>
          <a:lstStyle/>
          <a:p>
            <a:pPr>
              <a:defRPr sz="1400"/>
            </a:pPr>
            <a:endParaRPr lang="en-US"/>
          </a:p>
        </c:txPr>
        <c:crossAx val="68771200"/>
        <c:crosses val="autoZero"/>
        <c:crossBetween val="midCat"/>
      </c:valAx>
    </c:plotArea>
    <c:legend>
      <c:legendPos val="r"/>
      <c:layout>
        <c:manualLayout>
          <c:xMode val="edge"/>
          <c:yMode val="edge"/>
          <c:x val="0.78603400507351084"/>
          <c:y val="0.1286373986895207"/>
          <c:w val="0.2139659949264891"/>
          <c:h val="0.83945143009614831"/>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Summary!$S$72:$AH$72</c:f>
              <c:numCache>
                <c:formatCode>_("$"* #,##0_);_("$"* \(#,##0\);_("$"* "-"_);_(@_)</c:formatCode>
                <c:ptCount val="16"/>
                <c:pt idx="0" formatCode="_(&quot;$&quot;* #,##0_);_(&quot;$&quot;* \(#,##0\);_(&quot;$&quot;* &quot;-&quot;??_);_(@_)">
                  <c:v>270.20488843130698</c:v>
                </c:pt>
                <c:pt idx="1">
                  <c:v>256.6279579070993</c:v>
                </c:pt>
                <c:pt idx="2">
                  <c:v>243.3572022531458</c:v>
                </c:pt>
                <c:pt idx="3" formatCode="_(&quot;$&quot;* #,##0_);_(&quot;$&quot;* \(#,##0\);_(&quot;$&quot;* &quot;-&quot;??_);_(@_)">
                  <c:v>217.88631132471454</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pt idx="12" formatCode="_(&quot;$&quot;* #,##0_);_(&quot;$&quot;* \(#,##0\);_(&quot;$&quot;* &quot;-&quot;??_);_(@_)">
                  <c:v>0</c:v>
                </c:pt>
                <c:pt idx="13">
                  <c:v>0</c:v>
                </c:pt>
                <c:pt idx="14">
                  <c:v>0</c:v>
                </c:pt>
                <c:pt idx="15" formatCode="_(&quot;$&quot;* #,##0_);_(&quot;$&quot;* \(#,##0\);_(&quot;$&quot;* &quot;-&quot;??_);_(@_)">
                  <c:v>0</c:v>
                </c:pt>
              </c:numCache>
            </c:numRef>
          </c:val>
          <c:extLst>
            <c:ext xmlns:c16="http://schemas.microsoft.com/office/drawing/2014/chart" uri="{C3380CC4-5D6E-409C-BE32-E72D297353CC}">
              <c16:uniqueId val="{00000001-7309-A54F-81AF-13FFEA82969D}"/>
            </c:ext>
          </c:extLst>
        </c:ser>
        <c:ser>
          <c:idx val="3"/>
          <c:order val="1"/>
          <c:tx>
            <c:strRef>
              <c:f>Summary!$B$74</c:f>
              <c:strCache>
                <c:ptCount val="1"/>
                <c:pt idx="0">
                  <c:v>FTTx modules</c:v>
                </c:pt>
              </c:strCache>
            </c:strRef>
          </c:tx>
          <c:spPr>
            <a:solidFill>
              <a:srgbClr val="00B050"/>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Summary!$S$74:$AH$74</c:f>
              <c:numCache>
                <c:formatCode>_("$"* #,##0_);_("$"* \(#,##0\);_("$"* "-"??_);_(@_)</c:formatCode>
                <c:ptCount val="16"/>
                <c:pt idx="0">
                  <c:v>144.31780632411963</c:v>
                </c:pt>
                <c:pt idx="1">
                  <c:v>137.87054910265189</c:v>
                </c:pt>
                <c:pt idx="2">
                  <c:v>107.06617811290673</c:v>
                </c:pt>
                <c:pt idx="3">
                  <c:v>113.85412906297407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309-A54F-81AF-13FFEA82969D}"/>
            </c:ext>
          </c:extLst>
        </c:ser>
        <c:ser>
          <c:idx val="1"/>
          <c:order val="2"/>
          <c:tx>
            <c:strRef>
              <c:f>Summary!$B$73</c:f>
              <c:strCache>
                <c:ptCount val="1"/>
                <c:pt idx="0">
                  <c:v>Wireless</c:v>
                </c:pt>
              </c:strCache>
            </c:strRef>
          </c:tx>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Summary!$S$73:$AH$73</c:f>
              <c:numCache>
                <c:formatCode>_("$"* #,##0_);_("$"* \(#,##0\);_("$"* "-"??_);_(@_)</c:formatCode>
                <c:ptCount val="16"/>
                <c:pt idx="0">
                  <c:v>49.844619000000002</c:v>
                </c:pt>
                <c:pt idx="1">
                  <c:v>50.637574000000001</c:v>
                </c:pt>
                <c:pt idx="2">
                  <c:v>30.340037777510627</c:v>
                </c:pt>
                <c:pt idx="3">
                  <c:v>31.02065639624454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309-A54F-81AF-13FFEA82969D}"/>
            </c:ext>
          </c:extLst>
        </c:ser>
        <c:dLbls>
          <c:showLegendKey val="0"/>
          <c:showVal val="0"/>
          <c:showCatName val="0"/>
          <c:showSerName val="0"/>
          <c:showPercent val="0"/>
          <c:showBubbleSize val="0"/>
        </c:dLbls>
        <c:gapWidth val="150"/>
        <c:axId val="71519616"/>
        <c:axId val="71539328"/>
      </c:barChart>
      <c:catAx>
        <c:axId val="71519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71539328"/>
        <c:crosses val="autoZero"/>
        <c:auto val="1"/>
        <c:lblAlgn val="ctr"/>
        <c:lblOffset val="100"/>
        <c:tickLblSkip val="1"/>
        <c:tickMarkSkip val="1"/>
        <c:noMultiLvlLbl val="0"/>
      </c:catAx>
      <c:valAx>
        <c:axId val="71539328"/>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1519616"/>
        <c:crosses val="autoZero"/>
        <c:crossBetween val="between"/>
        <c:majorUnit val="5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for slides'!$F$324</c:f>
          <c:strCache>
            <c:ptCount val="1"/>
            <c:pt idx="0">
              <c:v>Sequential quarterly growth rate</c:v>
            </c:pt>
          </c:strCache>
        </c:strRef>
      </c:tx>
      <c:overlay val="0"/>
    </c:title>
    <c:autoTitleDeleted val="0"/>
    <c:plotArea>
      <c:layout/>
      <c:lineChart>
        <c:grouping val="standard"/>
        <c:varyColors val="0"/>
        <c:ser>
          <c:idx val="4"/>
          <c:order val="0"/>
          <c:tx>
            <c:strRef>
              <c:f>'Charts for slides'!$E$330</c:f>
              <c:strCache>
                <c:ptCount val="1"/>
                <c:pt idx="0">
                  <c:v>OC Vendors</c:v>
                </c:pt>
              </c:strCache>
            </c:strRef>
          </c:tx>
          <c:val>
            <c:numRef>
              <c:f>'Charts for slides'!$F$330:$AP$330</c:f>
              <c:numCache>
                <c:formatCode>0.00%</c:formatCode>
                <c:ptCount val="37"/>
                <c:pt idx="0">
                  <c:v>4.748840705305768E-2</c:v>
                </c:pt>
                <c:pt idx="1">
                  <c:v>-3.7067870427932248E-2</c:v>
                </c:pt>
                <c:pt idx="2">
                  <c:v>3.143103437969641E-3</c:v>
                </c:pt>
                <c:pt idx="3">
                  <c:v>-8.0182853221781869E-2</c:v>
                </c:pt>
                <c:pt idx="4">
                  <c:v>4.5582559177901327E-2</c:v>
                </c:pt>
                <c:pt idx="5">
                  <c:v>1.0121017815558631E-2</c:v>
                </c:pt>
                <c:pt idx="6">
                  <c:v>0.11806093810154028</c:v>
                </c:pt>
                <c:pt idx="7">
                  <c:v>4.2405054209268878E-2</c:v>
                </c:pt>
                <c:pt idx="8">
                  <c:v>-5.4431098736346106E-2</c:v>
                </c:pt>
                <c:pt idx="9">
                  <c:v>5.7169413097537758E-2</c:v>
                </c:pt>
                <c:pt idx="10">
                  <c:v>7.4029693231366434E-2</c:v>
                </c:pt>
                <c:pt idx="11">
                  <c:v>-7.9094708694670279E-3</c:v>
                </c:pt>
                <c:pt idx="12">
                  <c:v>4.3958175069293892E-2</c:v>
                </c:pt>
                <c:pt idx="13">
                  <c:v>5.6295084312474764E-2</c:v>
                </c:pt>
                <c:pt idx="14">
                  <c:v>-7.5009457968736593E-3</c:v>
                </c:pt>
                <c:pt idx="15">
                  <c:v>-1.9090787608379789E-2</c:v>
                </c:pt>
                <c:pt idx="16">
                  <c:v>0.10875901516854669</c:v>
                </c:pt>
                <c:pt idx="17">
                  <c:v>3.1679830125842523E-2</c:v>
                </c:pt>
                <c:pt idx="18">
                  <c:v>3.9807346918833364E-2</c:v>
                </c:pt>
                <c:pt idx="19">
                  <c:v>4.2204923637712E-2</c:v>
                </c:pt>
                <c:pt idx="20">
                  <c:v>1.1938148613011679E-2</c:v>
                </c:pt>
                <c:pt idx="21">
                  <c:v>0.10281936253711277</c:v>
                </c:pt>
                <c:pt idx="22">
                  <c:v>8.3863236033308919E-2</c:v>
                </c:pt>
                <c:pt idx="23">
                  <c:v>7.6831125645171694E-2</c:v>
                </c:pt>
                <c:pt idx="24">
                  <c:v>-3.641702777798439E-2</c:v>
                </c:pt>
                <c:pt idx="25">
                  <c:v>-5.8852769811837291E-2</c:v>
                </c:pt>
                <c:pt idx="26">
                  <c:v>3.7948630579981213E-2</c:v>
                </c:pt>
                <c:pt idx="27">
                  <c:v>8.5463936060068413E-2</c:v>
                </c:pt>
                <c:pt idx="28">
                  <c:v>-1</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AC44-0549-95EF-8CB691E4CBC6}"/>
            </c:ext>
          </c:extLst>
        </c:ser>
        <c:ser>
          <c:idx val="5"/>
          <c:order val="1"/>
          <c:tx>
            <c:strRef>
              <c:f>'Charts for slides'!$E$331</c:f>
              <c:strCache>
                <c:ptCount val="1"/>
                <c:pt idx="0">
                  <c:v>OC Survey</c:v>
                </c:pt>
              </c:strCache>
            </c:strRef>
          </c:tx>
          <c:val>
            <c:numRef>
              <c:f>'Charts for slides'!$F$331:$AR$331</c:f>
              <c:numCache>
                <c:formatCode>0.0%</c:formatCode>
                <c:ptCount val="39"/>
                <c:pt idx="0">
                  <c:v>-1.8246584411544808E-2</c:v>
                </c:pt>
                <c:pt idx="1">
                  <c:v>5.1176366321033173E-2</c:v>
                </c:pt>
                <c:pt idx="2">
                  <c:v>4.3213444482318453E-2</c:v>
                </c:pt>
                <c:pt idx="3">
                  <c:v>3.3928747484060828E-2</c:v>
                </c:pt>
                <c:pt idx="4">
                  <c:v>0</c:v>
                </c:pt>
                <c:pt idx="5">
                  <c:v>9.6629038065116912E-2</c:v>
                </c:pt>
                <c:pt idx="6">
                  <c:v>-3.0420841278635868E-2</c:v>
                </c:pt>
                <c:pt idx="7">
                  <c:v>-3.2646518673389302E-3</c:v>
                </c:pt>
                <c:pt idx="8">
                  <c:v>3.3473405515061394E-2</c:v>
                </c:pt>
                <c:pt idx="9">
                  <c:v>9.6402877697841616E-2</c:v>
                </c:pt>
                <c:pt idx="10">
                  <c:v>5.0517553380681646E-2</c:v>
                </c:pt>
                <c:pt idx="11">
                  <c:v>4.2155145811869188E-2</c:v>
                </c:pt>
                <c:pt idx="12">
                  <c:v>2.1682393504319997E-2</c:v>
                </c:pt>
                <c:pt idx="13">
                  <c:v>0.11716186771366832</c:v>
                </c:pt>
                <c:pt idx="14">
                  <c:v>-4.5535828426161551E-2</c:v>
                </c:pt>
                <c:pt idx="15">
                  <c:v>4.2090085873895067E-2</c:v>
                </c:pt>
                <c:pt idx="16">
                  <c:v>1.8470688729487428E-2</c:v>
                </c:pt>
                <c:pt idx="17">
                  <c:v>6.6800241423310203E-2</c:v>
                </c:pt>
                <c:pt idx="18">
                  <c:v>-5.5328704317408217E-2</c:v>
                </c:pt>
                <c:pt idx="19">
                  <c:v>6.4295657337231082E-2</c:v>
                </c:pt>
                <c:pt idx="20">
                  <c:v>0.14598871256701584</c:v>
                </c:pt>
                <c:pt idx="21">
                  <c:v>8.8353228011279983E-2</c:v>
                </c:pt>
                <c:pt idx="22">
                  <c:v>-6.0418908321137055E-3</c:v>
                </c:pt>
                <c:pt idx="23">
                  <c:v>0.13187754764985637</c:v>
                </c:pt>
                <c:pt idx="24">
                  <c:v>-0.10395961143982757</c:v>
                </c:pt>
                <c:pt idx="25">
                  <c:v>6.9541444959397625E-2</c:v>
                </c:pt>
                <c:pt idx="26">
                  <c:v>-5.2751703110484938E-2</c:v>
                </c:pt>
                <c:pt idx="27">
                  <c:v>-1.1244122163401982E-2</c:v>
                </c:pt>
                <c:pt idx="28">
                  <c:v>-1</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1-AC44-0549-95EF-8CB691E4CBC6}"/>
            </c:ext>
          </c:extLst>
        </c:ser>
        <c:dLbls>
          <c:showLegendKey val="0"/>
          <c:showVal val="0"/>
          <c:showCatName val="0"/>
          <c:showSerName val="0"/>
          <c:showPercent val="0"/>
          <c:showBubbleSize val="0"/>
        </c:dLbls>
        <c:marker val="1"/>
        <c:smooth val="0"/>
        <c:axId val="68805376"/>
        <c:axId val="68806912"/>
      </c:lineChart>
      <c:catAx>
        <c:axId val="68805376"/>
        <c:scaling>
          <c:orientation val="minMax"/>
        </c:scaling>
        <c:delete val="0"/>
        <c:axPos val="b"/>
        <c:majorTickMark val="out"/>
        <c:minorTickMark val="none"/>
        <c:tickLblPos val="nextTo"/>
        <c:crossAx val="68806912"/>
        <c:crossesAt val="-20"/>
        <c:auto val="1"/>
        <c:lblAlgn val="ctr"/>
        <c:lblOffset val="100"/>
        <c:noMultiLvlLbl val="0"/>
      </c:catAx>
      <c:valAx>
        <c:axId val="68806912"/>
        <c:scaling>
          <c:orientation val="minMax"/>
        </c:scaling>
        <c:delete val="0"/>
        <c:axPos val="l"/>
        <c:majorGridlines/>
        <c:numFmt formatCode="0%" sourceLinked="0"/>
        <c:majorTickMark val="out"/>
        <c:minorTickMark val="none"/>
        <c:tickLblPos val="nextTo"/>
        <c:crossAx val="68805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Sequential quarterly growth </a:t>
            </a:r>
          </a:p>
          <a:p>
            <a:pPr>
              <a:defRPr/>
            </a:pPr>
            <a:r>
              <a:rPr lang="en-US" sz="1600" b="0"/>
              <a:t>average for last 8 years</a:t>
            </a:r>
          </a:p>
        </c:rich>
      </c:tx>
      <c:layout>
        <c:manualLayout>
          <c:xMode val="edge"/>
          <c:yMode val="edge"/>
          <c:x val="0.22067796382677199"/>
          <c:y val="1.7297283554687098E-2"/>
        </c:manualLayout>
      </c:layout>
      <c:overlay val="0"/>
    </c:title>
    <c:autoTitleDeleted val="0"/>
    <c:plotArea>
      <c:layout>
        <c:manualLayout>
          <c:layoutTarget val="inner"/>
          <c:xMode val="edge"/>
          <c:yMode val="edge"/>
          <c:x val="0.114604345529838"/>
          <c:y val="0.29179109966231698"/>
          <c:w val="0.67434251801248801"/>
          <c:h val="0.62843074463542703"/>
        </c:manualLayout>
      </c:layout>
      <c:barChart>
        <c:barDir val="col"/>
        <c:grouping val="clustered"/>
        <c:varyColors val="0"/>
        <c:ser>
          <c:idx val="4"/>
          <c:order val="0"/>
          <c:tx>
            <c:v>Public data</c:v>
          </c:tx>
          <c:invertIfNegative val="0"/>
          <c:cat>
            <c:strRef>
              <c:f>'Charts for slides'!$G$333:$J$333</c:f>
              <c:strCache>
                <c:ptCount val="4"/>
                <c:pt idx="0">
                  <c:v>Q1/Q4</c:v>
                </c:pt>
                <c:pt idx="1">
                  <c:v>Q2/Q1</c:v>
                </c:pt>
                <c:pt idx="2">
                  <c:v>Q3/Q2</c:v>
                </c:pt>
                <c:pt idx="3">
                  <c:v>Q4/Q3</c:v>
                </c:pt>
              </c:strCache>
            </c:strRef>
          </c:cat>
          <c:val>
            <c:numRef>
              <c:f>'Charts for slides'!$G$334:$J$334</c:f>
              <c:numCache>
                <c:formatCode>0.0%</c:formatCode>
                <c:ptCount val="4"/>
                <c:pt idx="0">
                  <c:v>0</c:v>
                </c:pt>
                <c:pt idx="1">
                  <c:v>0</c:v>
                </c:pt>
                <c:pt idx="2">
                  <c:v>0</c:v>
                </c:pt>
                <c:pt idx="3">
                  <c:v>0</c:v>
                </c:pt>
              </c:numCache>
            </c:numRef>
          </c:val>
          <c:extLst>
            <c:ext xmlns:c16="http://schemas.microsoft.com/office/drawing/2014/chart" uri="{C3380CC4-5D6E-409C-BE32-E72D297353CC}">
              <c16:uniqueId val="{00000000-8B2D-8B44-9ADF-A91FF7EB1A43}"/>
            </c:ext>
          </c:extLst>
        </c:ser>
        <c:ser>
          <c:idx val="5"/>
          <c:order val="1"/>
          <c:tx>
            <c:v>LC Survey</c:v>
          </c:tx>
          <c:invertIfNegative val="0"/>
          <c:cat>
            <c:strRef>
              <c:f>'Charts for slides'!$G$333:$J$333</c:f>
              <c:strCache>
                <c:ptCount val="4"/>
                <c:pt idx="0">
                  <c:v>Q1/Q4</c:v>
                </c:pt>
                <c:pt idx="1">
                  <c:v>Q2/Q1</c:v>
                </c:pt>
                <c:pt idx="2">
                  <c:v>Q3/Q2</c:v>
                </c:pt>
                <c:pt idx="3">
                  <c:v>Q4/Q3</c:v>
                </c:pt>
              </c:strCache>
            </c:strRef>
          </c:cat>
          <c:val>
            <c:numRef>
              <c:f>'Charts for slides'!$G$335:$J$335</c:f>
              <c:numCache>
                <c:formatCode>0.0%</c:formatCode>
                <c:ptCount val="4"/>
                <c:pt idx="0">
                  <c:v>0</c:v>
                </c:pt>
                <c:pt idx="1">
                  <c:v>0</c:v>
                </c:pt>
                <c:pt idx="2">
                  <c:v>0</c:v>
                </c:pt>
                <c:pt idx="3">
                  <c:v>0</c:v>
                </c:pt>
              </c:numCache>
            </c:numRef>
          </c:val>
          <c:extLst>
            <c:ext xmlns:c16="http://schemas.microsoft.com/office/drawing/2014/chart" uri="{C3380CC4-5D6E-409C-BE32-E72D297353CC}">
              <c16:uniqueId val="{00000001-8B2D-8B44-9ADF-A91FF7EB1A43}"/>
            </c:ext>
          </c:extLst>
        </c:ser>
        <c:dLbls>
          <c:showLegendKey val="0"/>
          <c:showVal val="0"/>
          <c:showCatName val="0"/>
          <c:showSerName val="0"/>
          <c:showPercent val="0"/>
          <c:showBubbleSize val="0"/>
        </c:dLbls>
        <c:gapWidth val="150"/>
        <c:axId val="71503872"/>
        <c:axId val="71505408"/>
      </c:barChart>
      <c:catAx>
        <c:axId val="71503872"/>
        <c:scaling>
          <c:orientation val="minMax"/>
        </c:scaling>
        <c:delete val="0"/>
        <c:axPos val="b"/>
        <c:numFmt formatCode="General" sourceLinked="0"/>
        <c:majorTickMark val="out"/>
        <c:minorTickMark val="none"/>
        <c:tickLblPos val="nextTo"/>
        <c:txPr>
          <a:bodyPr/>
          <a:lstStyle/>
          <a:p>
            <a:pPr>
              <a:defRPr sz="1200"/>
            </a:pPr>
            <a:endParaRPr lang="en-US"/>
          </a:p>
        </c:txPr>
        <c:crossAx val="71505408"/>
        <c:crosses val="autoZero"/>
        <c:auto val="1"/>
        <c:lblAlgn val="ctr"/>
        <c:lblOffset val="100"/>
        <c:noMultiLvlLbl val="0"/>
      </c:catAx>
      <c:valAx>
        <c:axId val="71505408"/>
        <c:scaling>
          <c:orientation val="minMax"/>
        </c:scaling>
        <c:delete val="0"/>
        <c:axPos val="l"/>
        <c:majorGridlines/>
        <c:numFmt formatCode="0%" sourceLinked="0"/>
        <c:majorTickMark val="out"/>
        <c:minorTickMark val="none"/>
        <c:tickLblPos val="nextTo"/>
        <c:txPr>
          <a:bodyPr/>
          <a:lstStyle/>
          <a:p>
            <a:pPr>
              <a:defRPr sz="1200"/>
            </a:pPr>
            <a:endParaRPr lang="en-US"/>
          </a:p>
        </c:txPr>
        <c:crossAx val="71503872"/>
        <c:crosses val="autoZero"/>
        <c:crossBetween val="between"/>
      </c:valAx>
    </c:plotArea>
    <c:legend>
      <c:legendPos val="r"/>
      <c:layout>
        <c:manualLayout>
          <c:xMode val="edge"/>
          <c:yMode val="edge"/>
          <c:x val="0.80364888496350495"/>
          <c:y val="0.36836540216411301"/>
          <c:w val="0.191185660861903"/>
          <c:h val="0.433388206430594"/>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8121897342693"/>
          <c:y val="7.3153741824499866E-2"/>
          <c:w val="0.64537082747789121"/>
          <c:h val="0.74610316562533707"/>
        </c:manualLayout>
      </c:layout>
      <c:lineChart>
        <c:grouping val="standard"/>
        <c:varyColors val="0"/>
        <c:ser>
          <c:idx val="4"/>
          <c:order val="0"/>
          <c:tx>
            <c:strRef>
              <c:f>'OC vendors'!$B$15</c:f>
              <c:strCache>
                <c:ptCount val="1"/>
                <c:pt idx="0">
                  <c:v>Hisense</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vendors'!$C$15:$U$15</c:f>
              <c:numCache>
                <c:formatCode>"$"#,##0_);\("$"#,##0\)</c:formatCode>
                <c:ptCount val="11"/>
              </c:numCache>
            </c:numRef>
          </c:val>
          <c:smooth val="0"/>
          <c:extLst>
            <c:ext xmlns:c16="http://schemas.microsoft.com/office/drawing/2014/chart" uri="{C3380CC4-5D6E-409C-BE32-E72D297353CC}">
              <c16:uniqueId val="{00000000-418E-794A-B658-3BC364C41E5B}"/>
            </c:ext>
          </c:extLst>
        </c:ser>
        <c:ser>
          <c:idx val="2"/>
          <c:order val="1"/>
          <c:tx>
            <c:strRef>
              <c:f>'OC vendors'!$B$9</c:f>
              <c:strCache>
                <c:ptCount val="1"/>
                <c:pt idx="0">
                  <c:v>Acacia</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vendors'!$C$9:$U$9</c:f>
              <c:numCache>
                <c:formatCode>"$"#,##0_);\("$"#,##0\)</c:formatCode>
                <c:ptCount val="11"/>
              </c:numCache>
            </c:numRef>
          </c:val>
          <c:smooth val="0"/>
          <c:extLst>
            <c:ext xmlns:c16="http://schemas.microsoft.com/office/drawing/2014/chart" uri="{C3380CC4-5D6E-409C-BE32-E72D297353CC}">
              <c16:uniqueId val="{00000002-418E-794A-B658-3BC364C41E5B}"/>
            </c:ext>
          </c:extLst>
        </c:ser>
        <c:ser>
          <c:idx val="9"/>
          <c:order val="2"/>
          <c:tx>
            <c:strRef>
              <c:f>'OC vendors'!$B$11</c:f>
              <c:strCache>
                <c:ptCount val="1"/>
                <c:pt idx="0">
                  <c:v>Applied Optoelectronics</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vendors'!$C$11:$U$11</c:f>
              <c:numCache>
                <c:formatCode>"$"#,##0_);\("$"#,##0\)</c:formatCode>
                <c:ptCount val="11"/>
              </c:numCache>
            </c:numRef>
          </c:val>
          <c:smooth val="0"/>
          <c:extLst>
            <c:ext xmlns:c16="http://schemas.microsoft.com/office/drawing/2014/chart" uri="{C3380CC4-5D6E-409C-BE32-E72D297353CC}">
              <c16:uniqueId val="{00000003-418E-794A-B658-3BC364C41E5B}"/>
            </c:ext>
          </c:extLst>
        </c:ser>
        <c:ser>
          <c:idx val="0"/>
          <c:order val="3"/>
          <c:tx>
            <c:strRef>
              <c:f>'OC vendors'!$B$19</c:f>
              <c:strCache>
                <c:ptCount val="1"/>
                <c:pt idx="0">
                  <c:v>NeoPhotonics</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vendors'!$C$19:$U$19</c:f>
              <c:numCache>
                <c:formatCode>"$"#,##0_);\("$"#,##0\)</c:formatCode>
                <c:ptCount val="11"/>
              </c:numCache>
            </c:numRef>
          </c:val>
          <c:smooth val="0"/>
          <c:extLst>
            <c:ext xmlns:c16="http://schemas.microsoft.com/office/drawing/2014/chart" uri="{C3380CC4-5D6E-409C-BE32-E72D297353CC}">
              <c16:uniqueId val="{00000004-418E-794A-B658-3BC364C41E5B}"/>
            </c:ext>
          </c:extLst>
        </c:ser>
        <c:ser>
          <c:idx val="3"/>
          <c:order val="4"/>
          <c:tx>
            <c:strRef>
              <c:f>'OC vendors'!$B$16</c:f>
              <c:strCache>
                <c:ptCount val="1"/>
                <c:pt idx="0">
                  <c:v>HGG</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vendors'!$C$16:$U$16</c:f>
              <c:numCache>
                <c:formatCode>"$"#,##0_);\("$"#,##0\)</c:formatCode>
                <c:ptCount val="11"/>
              </c:numCache>
            </c:numRef>
          </c:val>
          <c:smooth val="0"/>
          <c:extLst>
            <c:ext xmlns:c16="http://schemas.microsoft.com/office/drawing/2014/chart" uri="{C3380CC4-5D6E-409C-BE32-E72D297353CC}">
              <c16:uniqueId val="{00000005-418E-794A-B658-3BC364C41E5B}"/>
            </c:ext>
          </c:extLst>
        </c:ser>
        <c:ser>
          <c:idx val="5"/>
          <c:order val="5"/>
          <c:tx>
            <c:strRef>
              <c:f>'OC vendors'!$B$22</c:f>
              <c:strCache>
                <c:ptCount val="1"/>
                <c:pt idx="0">
                  <c:v>O-Net</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vendors'!$C$22:$U$22</c:f>
              <c:numCache>
                <c:formatCode>"$"#,##0_);\("$"#,##0\)</c:formatCode>
                <c:ptCount val="11"/>
              </c:numCache>
            </c:numRef>
          </c:val>
          <c:smooth val="0"/>
          <c:extLst>
            <c:ext xmlns:c16="http://schemas.microsoft.com/office/drawing/2014/chart" uri="{C3380CC4-5D6E-409C-BE32-E72D297353CC}">
              <c16:uniqueId val="{00000006-418E-794A-B658-3BC364C41E5B}"/>
            </c:ext>
          </c:extLst>
        </c:ser>
        <c:ser>
          <c:idx val="6"/>
          <c:order val="6"/>
          <c:tx>
            <c:strRef>
              <c:f>'OC vendors'!$B$13</c:f>
              <c:strCache>
                <c:ptCount val="1"/>
                <c:pt idx="0">
                  <c:v>Eoptolink</c:v>
                </c:pt>
              </c:strCache>
            </c:strRef>
          </c:tx>
          <c:cat>
            <c:strRef>
              <c:f>'OC vendors'!$C$7:$US$7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y-o-y</c:v>
                </c:pt>
                <c:pt idx="13">
                  <c:v>amount</c:v>
                </c:pt>
                <c:pt idx="14">
                  <c:v>q-o-q</c:v>
                </c:pt>
                <c:pt idx="17">
                  <c:v>Large cos</c:v>
                </c:pt>
                <c:pt idx="18">
                  <c:v>Small cos</c:v>
                </c:pt>
                <c:pt idx="20">
                  <c:v>2016</c:v>
                </c:pt>
                <c:pt idx="21">
                  <c:v>2017</c:v>
                </c:pt>
                <c:pt idx="22">
                  <c:v>2018</c:v>
                </c:pt>
                <c:pt idx="23">
                  <c:v>2019</c:v>
                </c:pt>
              </c:strCache>
            </c:strRef>
          </c:cat>
          <c:val>
            <c:numRef>
              <c:f>'OC vendors'!$C$13:$U$13</c:f>
              <c:numCache>
                <c:formatCode>"$"#,##0_);\("$"#,##0\)</c:formatCode>
                <c:ptCount val="11"/>
              </c:numCache>
            </c:numRef>
          </c:val>
          <c:smooth val="0"/>
          <c:extLst>
            <c:ext xmlns:c16="http://schemas.microsoft.com/office/drawing/2014/chart" uri="{C3380CC4-5D6E-409C-BE32-E72D297353CC}">
              <c16:uniqueId val="{00000000-E62D-3D46-9D62-3940ED48CC3E}"/>
            </c:ext>
          </c:extLst>
        </c:ser>
        <c:dLbls>
          <c:showLegendKey val="0"/>
          <c:showVal val="0"/>
          <c:showCatName val="0"/>
          <c:showSerName val="0"/>
          <c:showPercent val="0"/>
          <c:showBubbleSize val="0"/>
        </c:dLbls>
        <c:marker val="1"/>
        <c:smooth val="0"/>
        <c:axId val="71570560"/>
        <c:axId val="71572096"/>
      </c:lineChart>
      <c:catAx>
        <c:axId val="71570560"/>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71572096"/>
        <c:crosses val="autoZero"/>
        <c:auto val="1"/>
        <c:lblAlgn val="ctr"/>
        <c:lblOffset val="100"/>
        <c:tickLblSkip val="1"/>
        <c:noMultiLvlLbl val="0"/>
      </c:catAx>
      <c:valAx>
        <c:axId val="7157209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71570560"/>
        <c:crosses val="autoZero"/>
        <c:crossBetween val="between"/>
      </c:valAx>
    </c:plotArea>
    <c:legend>
      <c:legendPos val="r"/>
      <c:layout>
        <c:manualLayout>
          <c:xMode val="edge"/>
          <c:yMode val="edge"/>
          <c:x val="0.78578293771672703"/>
          <c:y val="6.3156997057857128E-2"/>
          <c:w val="0.21421708218151841"/>
          <c:h val="0.89674884931621657"/>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slides'!$E$265</c:f>
              <c:strCache>
                <c:ptCount val="1"/>
                <c:pt idx="0">
                  <c:v>Datacom</c:v>
                </c:pt>
              </c:strCache>
            </c:strRef>
          </c:tx>
          <c:cat>
            <c:strRef>
              <c:f>'Charts for slides'!$N$264:$AV$264</c:f>
              <c:strCache>
                <c:ptCount val="35"/>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strCache>
            </c:strRef>
          </c:cat>
          <c:val>
            <c:numRef>
              <c:f>'Charts for slides'!$N$269:$AV$269</c:f>
              <c:numCache>
                <c:formatCode>0%</c:formatCode>
                <c:ptCount val="35"/>
                <c:pt idx="0">
                  <c:v>2.7278167930240498</c:v>
                </c:pt>
                <c:pt idx="1">
                  <c:v>0.2272316407649877</c:v>
                </c:pt>
                <c:pt idx="2">
                  <c:v>7.0928007246590541E-2</c:v>
                </c:pt>
                <c:pt idx="3">
                  <c:v>7.7771006253047892E-2</c:v>
                </c:pt>
                <c:pt idx="4">
                  <c:v>-0.657441317156225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-1</c:v>
                </c:pt>
                <c:pt idx="25">
                  <c:v>-1</c:v>
                </c:pt>
                <c:pt idx="26">
                  <c:v>-1</c:v>
                </c:pt>
                <c:pt idx="27">
                  <c:v>-1</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0-982D-CC43-9DB6-5ECB34B064D6}"/>
            </c:ext>
          </c:extLst>
        </c:ser>
        <c:ser>
          <c:idx val="0"/>
          <c:order val="1"/>
          <c:tx>
            <c:strRef>
              <c:f>'Charts for slides'!$M$270</c:f>
              <c:strCache>
                <c:ptCount val="1"/>
                <c:pt idx="0">
                  <c:v>Telecom</c:v>
                </c:pt>
              </c:strCache>
            </c:strRef>
          </c:tx>
          <c:cat>
            <c:strRef>
              <c:f>'Charts for slides'!$N$264:$AV$264</c:f>
              <c:strCache>
                <c:ptCount val="35"/>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strCache>
            </c:strRef>
          </c:cat>
          <c:val>
            <c:numRef>
              <c:f>'Charts for slides'!$N$270:$AV$270</c:f>
              <c:numCache>
                <c:formatCode>0%</c:formatCode>
                <c:ptCount val="35"/>
                <c:pt idx="0">
                  <c:v>2.4225287314009218</c:v>
                </c:pt>
                <c:pt idx="1">
                  <c:v>0.13398650123476341</c:v>
                </c:pt>
                <c:pt idx="2">
                  <c:v>0.13738261872887225</c:v>
                </c:pt>
                <c:pt idx="3">
                  <c:v>3.9013325686388933E-2</c:v>
                </c:pt>
                <c:pt idx="4">
                  <c:v>-0.64850431994179147</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-1</c:v>
                </c:pt>
                <c:pt idx="25" formatCode="0.0%">
                  <c:v>-1</c:v>
                </c:pt>
                <c:pt idx="26" formatCode="0.0%">
                  <c:v>-1</c:v>
                </c:pt>
                <c:pt idx="27" formatCode="0.0%">
                  <c:v>-1</c:v>
                </c:pt>
                <c:pt idx="28" formatCode="0.0%">
                  <c:v>0</c:v>
                </c:pt>
                <c:pt idx="29" formatCode="0.0%">
                  <c:v>0</c:v>
                </c:pt>
                <c:pt idx="30" formatCode="0.0%">
                  <c:v>0</c:v>
                </c:pt>
                <c:pt idx="31" formatCode="0.0%">
                  <c:v>0</c:v>
                </c:pt>
                <c:pt idx="32" formatCode="0.0%">
                  <c:v>0</c:v>
                </c:pt>
                <c:pt idx="33" formatCode="0.0%">
                  <c:v>0</c:v>
                </c:pt>
                <c:pt idx="34"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71602560"/>
        <c:axId val="71604096"/>
      </c:lineChart>
      <c:catAx>
        <c:axId val="71602560"/>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71604096"/>
        <c:crossesAt val="-40"/>
        <c:auto val="1"/>
        <c:lblAlgn val="ctr"/>
        <c:lblOffset val="100"/>
        <c:noMultiLvlLbl val="0"/>
      </c:catAx>
      <c:valAx>
        <c:axId val="71604096"/>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71602560"/>
        <c:crossesAt val="1"/>
        <c:crossBetween val="between"/>
      </c:valAx>
    </c:plotArea>
    <c:legend>
      <c:legendPos val="t"/>
      <c:layout>
        <c:manualLayout>
          <c:xMode val="edge"/>
          <c:yMode val="edge"/>
          <c:x val="0.35146886702853791"/>
          <c:y val="0.67191963864097848"/>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slides'!$E$237</c:f>
              <c:strCache>
                <c:ptCount val="1"/>
                <c:pt idx="0">
                  <c:v>Ethernet </c:v>
                </c:pt>
              </c:strCache>
            </c:strRef>
          </c:tx>
          <c:cat>
            <c:strRef>
              <c:f>'Charts for slides'!$J$235:$AV$235</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slides'!$J$237:$AV$237</c:f>
              <c:numCache>
                <c:formatCode>_("$"* #,##0_);_("$"* \(#,##0\);_("$"* "-"??_);_(@_)</c:formatCode>
                <c:ptCount val="39"/>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cat>
            <c:strRef>
              <c:f>'Charts for slides'!$J$235:$AV$235</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slides'!$J$240:$AV$240</c:f>
              <c:numCache>
                <c:formatCode>_("$"* #,##0_);_("$"* \(#,##0\);_("$"* "-"??_);_(@_)</c:formatCode>
                <c:ptCount val="39"/>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cat>
            <c:strRef>
              <c:f>'Charts for slides'!$J$235:$AV$235</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slides'!$J$242:$AV$242</c:f>
              <c:numCache>
                <c:formatCode>_("$"* #,##0_);_("$"* \(#,##0\);_("$"* "-"??_);_(@_)</c:formatCode>
                <c:ptCount val="39"/>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cat>
            <c:strRef>
              <c:f>'Charts for slides'!$J$235:$AV$235</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slides'!$J$241:$AV$241</c:f>
              <c:numCache>
                <c:formatCode>_("$"* #,##0_);_("$"* \(#,##0\);_("$"* "-"??_);_(@_)</c:formatCode>
                <c:ptCount val="39"/>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cat>
            <c:strRef>
              <c:f>'Charts for slides'!$J$235:$AV$235</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slides'!$J$238:$AV$238</c:f>
              <c:numCache>
                <c:formatCode>_("$"* #,##0_);_("$"* \(#,##0\);_("$"* "-"??_);_(@_)</c:formatCode>
                <c:ptCount val="39"/>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cat>
            <c:strRef>
              <c:f>'Charts for slides'!$J$235:$AV$235</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slides'!$J$239:$AV$239</c:f>
              <c:numCache>
                <c:formatCode>_("$"* #,##0_);_("$"* \(#,##0\);_("$"* "-"??_);_(@_)</c:formatCode>
                <c:ptCount val="39"/>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71652480"/>
        <c:axId val="71654016"/>
      </c:lineChart>
      <c:catAx>
        <c:axId val="7165248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1654016"/>
        <c:crosses val="autoZero"/>
        <c:auto val="1"/>
        <c:lblAlgn val="ctr"/>
        <c:lblOffset val="100"/>
        <c:noMultiLvlLbl val="0"/>
      </c:catAx>
      <c:valAx>
        <c:axId val="71654016"/>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71652480"/>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3Q20/3Q19 segment growth</a:t>
            </a:r>
          </a:p>
        </c:rich>
      </c:tx>
      <c:layout>
        <c:manualLayout>
          <c:xMode val="edge"/>
          <c:yMode val="edge"/>
          <c:x val="0.29513705970452342"/>
          <c:y val="1.1961229562029696E-2"/>
        </c:manualLayout>
      </c:layout>
      <c:overlay val="0"/>
    </c:title>
    <c:autoTitleDeleted val="0"/>
    <c:plotArea>
      <c:layout>
        <c:manualLayout>
          <c:layoutTarget val="inner"/>
          <c:xMode val="edge"/>
          <c:yMode val="edge"/>
          <c:x val="3.8725425450850899E-2"/>
          <c:y val="0.20371461952314787"/>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Capex</c:v>
                </c:pt>
                <c:pt idx="1">
                  <c:v>Equipment</c:v>
                </c:pt>
                <c:pt idx="2">
                  <c:v>Components</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E6B9B8"/>
                  </a:solidFill>
                </c14:spPr>
              </c14:invertSolidFillFmt>
            </c:ext>
            <c:ext xmlns:c16="http://schemas.microsoft.com/office/drawing/2014/chart" uri="{C3380CC4-5D6E-409C-BE32-E72D297353CC}">
              <c16:uniqueId val="{00000000-8C7E-A344-9837-98F2E38AC125}"/>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Capex</c:v>
                </c:pt>
                <c:pt idx="1">
                  <c:v>Equipment</c:v>
                </c:pt>
                <c:pt idx="2">
                  <c:v>Components</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71693824"/>
        <c:axId val="71695360"/>
      </c:barChart>
      <c:catAx>
        <c:axId val="71693824"/>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71695360"/>
        <c:crosses val="autoZero"/>
        <c:auto val="0"/>
        <c:lblAlgn val="ctr"/>
        <c:lblOffset val="0"/>
        <c:noMultiLvlLbl val="0"/>
      </c:catAx>
      <c:valAx>
        <c:axId val="71695360"/>
        <c:scaling>
          <c:orientation val="minMax"/>
        </c:scaling>
        <c:delete val="1"/>
        <c:axPos val="t"/>
        <c:numFmt formatCode="0%" sourceLinked="1"/>
        <c:majorTickMark val="none"/>
        <c:minorTickMark val="none"/>
        <c:tickLblPos val="nextTo"/>
        <c:crossAx val="71693824"/>
        <c:crosses val="autoZero"/>
        <c:crossBetween val="between"/>
      </c:valAx>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growth rate</a:t>
            </a:r>
          </a:p>
        </c:rich>
      </c:tx>
      <c:overlay val="0"/>
    </c:title>
    <c:autoTitleDeleted val="0"/>
    <c:plotArea>
      <c:layout>
        <c:manualLayout>
          <c:layoutTarget val="inner"/>
          <c:xMode val="edge"/>
          <c:yMode val="edge"/>
          <c:x val="0.14653739182351272"/>
          <c:y val="0.16066819857018899"/>
          <c:w val="0.82474947241795138"/>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slides'!$J$93:$AV$93</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slides'!$J$97:$AV$97</c:f>
              <c:numCache>
                <c:formatCode>0.0%</c:formatCode>
                <c:ptCount val="39"/>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0.13470305881494249</c:v>
                </c:pt>
                <c:pt idx="21">
                  <c:v>0.13803079233548687</c:v>
                </c:pt>
                <c:pt idx="22">
                  <c:v>0.17236170014942043</c:v>
                </c:pt>
                <c:pt idx="23">
                  <c:v>0.21570078329681963</c:v>
                </c:pt>
                <c:pt idx="24">
                  <c:v>0.11549390892446554</c:v>
                </c:pt>
                <c:pt idx="25">
                  <c:v>0.22537080078287453</c:v>
                </c:pt>
                <c:pt idx="26">
                  <c:v>0.18984010722799738</c:v>
                </c:pt>
                <c:pt idx="27">
                  <c:v>0.3243810903471458</c:v>
                </c:pt>
                <c:pt idx="28">
                  <c:v>-1</c:v>
                </c:pt>
                <c:pt idx="29">
                  <c:v>-1</c:v>
                </c:pt>
                <c:pt idx="30">
                  <c:v>-1</c:v>
                </c:pt>
                <c:pt idx="31">
                  <c:v>-1</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71771264"/>
        <c:axId val="71772800"/>
      </c:barChart>
      <c:catAx>
        <c:axId val="71771264"/>
        <c:scaling>
          <c:orientation val="minMax"/>
        </c:scaling>
        <c:delete val="0"/>
        <c:axPos val="b"/>
        <c:numFmt formatCode="General" sourceLinked="0"/>
        <c:majorTickMark val="out"/>
        <c:minorTickMark val="none"/>
        <c:tickLblPos val="nextTo"/>
        <c:crossAx val="71772800"/>
        <c:crossesAt val="0"/>
        <c:auto val="1"/>
        <c:lblAlgn val="ctr"/>
        <c:lblOffset val="100"/>
        <c:noMultiLvlLbl val="0"/>
      </c:catAx>
      <c:valAx>
        <c:axId val="71772800"/>
        <c:scaling>
          <c:orientation val="minMax"/>
          <c:max val="1"/>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71771264"/>
        <c:crossesAt val="1"/>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3495189831714255"/>
          <c:y val="0.16724064006298703"/>
          <c:w val="0.82263933377200649"/>
          <c:h val="0.7377577349082125"/>
        </c:manualLayout>
      </c:layout>
      <c:barChart>
        <c:barDir val="col"/>
        <c:grouping val="clustered"/>
        <c:varyColors val="0"/>
        <c:ser>
          <c:idx val="0"/>
          <c:order val="0"/>
          <c:tx>
            <c:strRef>
              <c:f>'Charts for slides'!$U$31</c:f>
              <c:strCache>
                <c:ptCount val="1"/>
                <c:pt idx="0">
                  <c:v>ICP</c:v>
                </c:pt>
              </c:strCache>
            </c:strRef>
          </c:tx>
          <c:invertIfNegative val="0"/>
          <c:cat>
            <c:strRef>
              <c:f>'Charts for slides'!$Z$29:$AV$29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slides'!$Z$31:$AV$31</c:f>
              <c:numCache>
                <c:formatCode>0.0%</c:formatCode>
                <c:ptCount val="23"/>
                <c:pt idx="0">
                  <c:v>0.28624980949418211</c:v>
                </c:pt>
                <c:pt idx="1">
                  <c:v>0.13827721282521077</c:v>
                </c:pt>
                <c:pt idx="2">
                  <c:v>4.6632607062302656E-2</c:v>
                </c:pt>
                <c:pt idx="3">
                  <c:v>1.207115884894927E-2</c:v>
                </c:pt>
                <c:pt idx="4">
                  <c:v>0.13470305881494249</c:v>
                </c:pt>
                <c:pt idx="5">
                  <c:v>0.13803079233548687</c:v>
                </c:pt>
                <c:pt idx="6">
                  <c:v>0.17236170014942043</c:v>
                </c:pt>
                <c:pt idx="7">
                  <c:v>0.21570078329681963</c:v>
                </c:pt>
                <c:pt idx="8">
                  <c:v>0.11549390892446554</c:v>
                </c:pt>
                <c:pt idx="9">
                  <c:v>0.22537080078287453</c:v>
                </c:pt>
                <c:pt idx="10">
                  <c:v>0.18984010722799738</c:v>
                </c:pt>
                <c:pt idx="11">
                  <c:v>0.3243810903471458</c:v>
                </c:pt>
                <c:pt idx="12">
                  <c:v>-1</c:v>
                </c:pt>
                <c:pt idx="13">
                  <c:v>-1</c:v>
                </c:pt>
                <c:pt idx="14">
                  <c:v>-1</c:v>
                </c:pt>
                <c:pt idx="15">
                  <c:v>-1</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48E1-524F-879A-EE4102FB5F93}"/>
            </c:ext>
          </c:extLst>
        </c:ser>
        <c:ser>
          <c:idx val="1"/>
          <c:order val="1"/>
          <c:tx>
            <c:strRef>
              <c:f>'Charts for slides'!$U$30</c:f>
              <c:strCache>
                <c:ptCount val="1"/>
                <c:pt idx="0">
                  <c:v>CSP</c:v>
                </c:pt>
              </c:strCache>
            </c:strRef>
          </c:tx>
          <c:invertIfNegative val="0"/>
          <c:cat>
            <c:strRef>
              <c:f>'Charts for slides'!$Z$29:$AV$29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slides'!$Z$30:$AV$30</c:f>
              <c:numCache>
                <c:formatCode>0%</c:formatCode>
                <c:ptCount val="23"/>
                <c:pt idx="0">
                  <c:v>-0.12033516676227562</c:v>
                </c:pt>
                <c:pt idx="1">
                  <c:v>-0.12359542930168566</c:v>
                </c:pt>
                <c:pt idx="2">
                  <c:v>0.15246042320500131</c:v>
                </c:pt>
                <c:pt idx="3">
                  <c:v>0.12907665023773518</c:v>
                </c:pt>
                <c:pt idx="4">
                  <c:v>0.11977151481958725</c:v>
                </c:pt>
                <c:pt idx="5">
                  <c:v>4.4844851645826855E-2</c:v>
                </c:pt>
                <c:pt idx="6">
                  <c:v>-9.8608119321726861E-2</c:v>
                </c:pt>
                <c:pt idx="7">
                  <c:v>-6.4565403022654344E-2</c:v>
                </c:pt>
                <c:pt idx="8">
                  <c:v>-2.2848672767193046E-2</c:v>
                </c:pt>
                <c:pt idx="9">
                  <c:v>4.8579782894682122E-2</c:v>
                </c:pt>
                <c:pt idx="10">
                  <c:v>-9.5993202268847E-3</c:v>
                </c:pt>
                <c:pt idx="11">
                  <c:v>-7.491155070947908E-2</c:v>
                </c:pt>
                <c:pt idx="12">
                  <c:v>-1</c:v>
                </c:pt>
                <c:pt idx="13">
                  <c:v>-1</c:v>
                </c:pt>
                <c:pt idx="14">
                  <c:v>-1</c:v>
                </c:pt>
                <c:pt idx="15">
                  <c:v>-1</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1-48E1-524F-879A-EE4102FB5F93}"/>
            </c:ext>
          </c:extLst>
        </c:ser>
        <c:dLbls>
          <c:showLegendKey val="0"/>
          <c:showVal val="0"/>
          <c:showCatName val="0"/>
          <c:showSerName val="0"/>
          <c:showPercent val="0"/>
          <c:showBubbleSize val="0"/>
        </c:dLbls>
        <c:gapWidth val="150"/>
        <c:axId val="71799936"/>
        <c:axId val="71801472"/>
      </c:barChart>
      <c:catAx>
        <c:axId val="71799936"/>
        <c:scaling>
          <c:orientation val="minMax"/>
        </c:scaling>
        <c:delete val="0"/>
        <c:axPos val="b"/>
        <c:numFmt formatCode="General" sourceLinked="0"/>
        <c:majorTickMark val="out"/>
        <c:minorTickMark val="none"/>
        <c:tickLblPos val="nextTo"/>
        <c:txPr>
          <a:bodyPr/>
          <a:lstStyle/>
          <a:p>
            <a:pPr>
              <a:defRPr sz="1050" b="0"/>
            </a:pPr>
            <a:endParaRPr lang="en-US"/>
          </a:p>
        </c:txPr>
        <c:crossAx val="71801472"/>
        <c:crosses val="autoZero"/>
        <c:auto val="1"/>
        <c:lblAlgn val="ctr"/>
        <c:lblOffset val="200"/>
        <c:noMultiLvlLbl val="0"/>
      </c:catAx>
      <c:valAx>
        <c:axId val="71801472"/>
        <c:scaling>
          <c:orientation val="minMax"/>
          <c:max val="1"/>
          <c:min val="-0.2"/>
        </c:scaling>
        <c:delete val="0"/>
        <c:axPos val="l"/>
        <c:majorGridlines/>
        <c:numFmt formatCode="0%" sourceLinked="0"/>
        <c:majorTickMark val="out"/>
        <c:minorTickMark val="none"/>
        <c:tickLblPos val="nextTo"/>
        <c:txPr>
          <a:bodyPr/>
          <a:lstStyle/>
          <a:p>
            <a:pPr>
              <a:defRPr sz="1200" b="0"/>
            </a:pPr>
            <a:endParaRPr lang="en-US"/>
          </a:p>
        </c:txPr>
        <c:crossAx val="71799936"/>
        <c:crosses val="autoZero"/>
        <c:crossBetween val="between"/>
        <c:majorUnit val="0.2"/>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strRef>
              <c:f>'Charts for slides'!$E$144</c:f>
              <c:strCache>
                <c:ptCount val="1"/>
                <c:pt idx="0">
                  <c:v>Total</c:v>
                </c:pt>
              </c:strCache>
            </c:strRef>
          </c:tx>
          <c:invertIfNegative val="0"/>
          <c:trendline>
            <c:spPr>
              <a:ln w="25400"/>
            </c:spPr>
            <c:trendlineType val="linear"/>
            <c:dispRSqr val="0"/>
            <c:dispEq val="0"/>
          </c:trendline>
          <c:cat>
            <c:strRef>
              <c:f>'Charts for slides'!$J$129:$AV$129</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slides'!$J$144:$AV$144</c:f>
              <c:numCache>
                <c:formatCode>_("$"* #,##0.0_);_("$"* \(#,##0.0\);_("$"* "-"??_);_(@_)</c:formatCode>
                <c:ptCount val="39"/>
                <c:pt idx="0">
                  <c:v>24.510950999999999</c:v>
                </c:pt>
                <c:pt idx="1">
                  <c:v>25.127827</c:v>
                </c:pt>
                <c:pt idx="2">
                  <c:v>25.865422000000002</c:v>
                </c:pt>
                <c:pt idx="3">
                  <c:v>26.773100000000003</c:v>
                </c:pt>
                <c:pt idx="4">
                  <c:v>24.917959999999997</c:v>
                </c:pt>
                <c:pt idx="5">
                  <c:v>25.729540000000004</c:v>
                </c:pt>
                <c:pt idx="6">
                  <c:v>25.320499999999999</c:v>
                </c:pt>
                <c:pt idx="7">
                  <c:v>27.326839</c:v>
                </c:pt>
                <c:pt idx="8">
                  <c:v>24.482127999999999</c:v>
                </c:pt>
                <c:pt idx="9">
                  <c:v>25.718239999999998</c:v>
                </c:pt>
                <c:pt idx="10">
                  <c:v>25.693574999999999</c:v>
                </c:pt>
                <c:pt idx="11">
                  <c:v>26.513776</c:v>
                </c:pt>
                <c:pt idx="12">
                  <c:v>23.923551000000003</c:v>
                </c:pt>
                <c:pt idx="13">
                  <c:v>25.837162000000003</c:v>
                </c:pt>
                <c:pt idx="14">
                  <c:v>25.464482999999998</c:v>
                </c:pt>
                <c:pt idx="15">
                  <c:v>27.109323000000003</c:v>
                </c:pt>
                <c:pt idx="16">
                  <c:v>24.800960999999997</c:v>
                </c:pt>
                <c:pt idx="17">
                  <c:v>26.316146</c:v>
                </c:pt>
                <c:pt idx="18">
                  <c:v>26.084898000000003</c:v>
                </c:pt>
                <c:pt idx="19">
                  <c:v>27.102388000000001</c:v>
                </c:pt>
                <c:pt idx="20">
                  <c:v>25.502604284997858</c:v>
                </c:pt>
                <c:pt idx="21">
                  <c:v>26.715280254422247</c:v>
                </c:pt>
                <c:pt idx="22">
                  <c:v>27.501141141252166</c:v>
                </c:pt>
                <c:pt idx="23">
                  <c:v>30.102988406755404</c:v>
                </c:pt>
                <c:pt idx="24">
                  <c:v>27.258282267973858</c:v>
                </c:pt>
                <c:pt idx="25">
                  <c:v>28.999511934359358</c:v>
                </c:pt>
                <c:pt idx="26">
                  <c:v>30.201477480672992</c:v>
                </c:pt>
                <c:pt idx="27">
                  <c:v>33.751554335529967</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71904256"/>
        <c:axId val="71914240"/>
      </c:barChart>
      <c:catAx>
        <c:axId val="71904256"/>
        <c:scaling>
          <c:orientation val="minMax"/>
        </c:scaling>
        <c:delete val="0"/>
        <c:axPos val="b"/>
        <c:numFmt formatCode="General" sourceLinked="0"/>
        <c:majorTickMark val="out"/>
        <c:minorTickMark val="none"/>
        <c:tickLblPos val="nextTo"/>
        <c:txPr>
          <a:bodyPr/>
          <a:lstStyle/>
          <a:p>
            <a:pPr>
              <a:defRPr sz="1050"/>
            </a:pPr>
            <a:endParaRPr lang="en-US"/>
          </a:p>
        </c:txPr>
        <c:crossAx val="71914240"/>
        <c:crosses val="autoZero"/>
        <c:auto val="1"/>
        <c:lblAlgn val="ctr"/>
        <c:lblOffset val="100"/>
        <c:tickLblSkip val="2"/>
        <c:noMultiLvlLbl val="0"/>
      </c:catAx>
      <c:valAx>
        <c:axId val="71914240"/>
        <c:scaling>
          <c:orientation val="minMax"/>
          <c:min val="0"/>
        </c:scaling>
        <c:delete val="0"/>
        <c:axPos val="l"/>
        <c:majorGridlines/>
        <c:title>
          <c:tx>
            <c:rich>
              <a:bodyPr rot="-5400000" vert="horz"/>
              <a:lstStyle/>
              <a:p>
                <a:pPr>
                  <a:defRPr sz="1200" b="0"/>
                </a:pPr>
                <a:r>
                  <a:rPr lang="en-US" sz="1200" b="0"/>
                  <a:t>$ billions</a:t>
                </a:r>
              </a:p>
            </c:rich>
          </c:tx>
          <c:layout>
            <c:manualLayout>
              <c:xMode val="edge"/>
              <c:yMode val="edge"/>
              <c:x val="4.8589372582375596E-3"/>
              <c:y val="0.37251966387137597"/>
            </c:manualLayout>
          </c:layout>
          <c:overlay val="0"/>
        </c:title>
        <c:numFmt formatCode="&quot;$&quot;#,##0_);\(&quot;$&quot;#,##0\)" sourceLinked="0"/>
        <c:majorTickMark val="out"/>
        <c:minorTickMark val="none"/>
        <c:tickLblPos val="nextTo"/>
        <c:txPr>
          <a:bodyPr/>
          <a:lstStyle/>
          <a:p>
            <a:pPr>
              <a:defRPr sz="1200"/>
            </a:pPr>
            <a:endParaRPr lang="en-US"/>
          </a:p>
        </c:txPr>
        <c:crossAx val="71904256"/>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overlay val="0"/>
    </c:title>
    <c:autoTitleDeleted val="0"/>
    <c:plotArea>
      <c:layout>
        <c:manualLayout>
          <c:layoutTarget val="inner"/>
          <c:xMode val="edge"/>
          <c:yMode val="edge"/>
          <c:x val="0.12364587374303138"/>
          <c:y val="0.107423856319198"/>
          <c:w val="0.70003774719838208"/>
          <c:h val="0.72137185085143418"/>
        </c:manualLayout>
      </c:layout>
      <c:lineChart>
        <c:grouping val="standard"/>
        <c:varyColors val="0"/>
        <c:ser>
          <c:idx val="2"/>
          <c:order val="0"/>
          <c:tx>
            <c:strRef>
              <c:f>'Charts for slides'!$E$138</c:f>
              <c:strCache>
                <c:ptCount val="1"/>
                <c:pt idx="0">
                  <c:v>Inspur</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slides'!$Z$138:$AV$138</c:f>
              <c:numCache>
                <c:formatCode>_("$"* #,##0.00_);_("$"* \(#,##0.00\);_("$"* "-"??_);_(@_)</c:formatCode>
                <c:ptCount val="23"/>
                <c:pt idx="0">
                  <c:v>0.31053750000000002</c:v>
                </c:pt>
                <c:pt idx="1">
                  <c:v>0.36960699999999996</c:v>
                </c:pt>
                <c:pt idx="2">
                  <c:v>0.41722110000000034</c:v>
                </c:pt>
                <c:pt idx="3">
                  <c:v>0.4848592999999996</c:v>
                </c:pt>
                <c:pt idx="4">
                  <c:v>0.36633845024769124</c:v>
                </c:pt>
                <c:pt idx="5">
                  <c:v>0.52830653918925286</c:v>
                </c:pt>
                <c:pt idx="6">
                  <c:v>0.44374036470471401</c:v>
                </c:pt>
                <c:pt idx="7">
                  <c:v>0.51678049487349564</c:v>
                </c:pt>
                <c:pt idx="8">
                  <c:v>0.56238198983297027</c:v>
                </c:pt>
                <c:pt idx="9">
                  <c:v>0.76463222817650989</c:v>
                </c:pt>
                <c:pt idx="10">
                  <c:v>1.1593028657674616</c:v>
                </c:pt>
                <c:pt idx="11">
                  <c:v>1.3672684380627742</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C7CA-6F49-9685-39D8C8B830B4}"/>
            </c:ext>
          </c:extLst>
        </c:ser>
        <c:ser>
          <c:idx val="4"/>
          <c:order val="1"/>
          <c:tx>
            <c:strRef>
              <c:f>'Charts for slides'!$E$143</c:f>
              <c:strCache>
                <c:ptCount val="1"/>
                <c:pt idx="0">
                  <c:v>Oracle - Hardware</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slides'!$Z$143:$AV$143</c:f>
              <c:numCache>
                <c:formatCode>_("$"* #,##0.00_);_("$"* \(#,##0.00\);_("$"* "-"??_);_(@_)</c:formatCode>
                <c:ptCount val="23"/>
                <c:pt idx="0">
                  <c:v>0.71199999999999997</c:v>
                </c:pt>
                <c:pt idx="1">
                  <c:v>0.81799999999999995</c:v>
                </c:pt>
                <c:pt idx="2">
                  <c:v>0.56999999999999995</c:v>
                </c:pt>
                <c:pt idx="3">
                  <c:v>0.57299999999999995</c:v>
                </c:pt>
                <c:pt idx="4">
                  <c:v>0.60399999999999998</c:v>
                </c:pt>
                <c:pt idx="5">
                  <c:v>0.72499999999999998</c:v>
                </c:pt>
                <c:pt idx="6">
                  <c:v>0.996</c:v>
                </c:pt>
                <c:pt idx="7">
                  <c:v>1.014</c:v>
                </c:pt>
                <c:pt idx="8">
                  <c:v>1.028</c:v>
                </c:pt>
                <c:pt idx="9">
                  <c:v>1.1140000000000001</c:v>
                </c:pt>
                <c:pt idx="10">
                  <c:v>0.94299999999999995</c:v>
                </c:pt>
                <c:pt idx="11">
                  <c:v>0.94</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C7CA-6F49-9685-39D8C8B830B4}"/>
            </c:ext>
          </c:extLst>
        </c:ser>
        <c:ser>
          <c:idx val="6"/>
          <c:order val="2"/>
          <c:tx>
            <c:strRef>
              <c:f>'Charts for slides'!$E$142</c:f>
              <c:strCache>
                <c:ptCount val="1"/>
                <c:pt idx="0">
                  <c:v>NetApp</c:v>
                </c:pt>
              </c:strCache>
            </c:strRef>
          </c:tx>
          <c:spPr>
            <a:ln>
              <a:solidFill>
                <a:schemeClr val="accent6">
                  <a:lumMod val="75000"/>
                </a:schemeClr>
              </a:solidFill>
            </a:ln>
          </c:spPr>
          <c:marker>
            <c:symbol val="diamond"/>
            <c:size val="5"/>
            <c:spPr>
              <a:solidFill>
                <a:schemeClr val="accent6">
                  <a:lumMod val="75000"/>
                </a:schemeClr>
              </a:solidFill>
              <a:ln>
                <a:solidFill>
                  <a:schemeClr val="accent6">
                    <a:lumMod val="75000"/>
                  </a:schemeClr>
                </a:solidFill>
              </a:ln>
            </c:spPr>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slides'!$Z$142:$AV$142</c:f>
              <c:numCache>
                <c:formatCode>_("$"* #,##0.0_);_("$"* \(#,##0.0\);_("$"* "-"??_);_(@_)</c:formatCode>
                <c:ptCount val="23"/>
                <c:pt idx="0">
                  <c:v>0.91339999999999999</c:v>
                </c:pt>
                <c:pt idx="1">
                  <c:v>0.66400000000000003</c:v>
                </c:pt>
                <c:pt idx="2">
                  <c:v>0.81499999999999995</c:v>
                </c:pt>
                <c:pt idx="3">
                  <c:v>0.75</c:v>
                </c:pt>
                <c:pt idx="4">
                  <c:v>0.75700000000000001</c:v>
                </c:pt>
                <c:pt idx="5">
                  <c:v>0.66</c:v>
                </c:pt>
                <c:pt idx="6">
                  <c:v>0.71</c:v>
                </c:pt>
                <c:pt idx="7">
                  <c:v>0.78400000000000003</c:v>
                </c:pt>
                <c:pt idx="8">
                  <c:v>0.85199999999999998</c:v>
                </c:pt>
                <c:pt idx="9">
                  <c:v>0.72299999999999998</c:v>
                </c:pt>
                <c:pt idx="10">
                  <c:v>0.80700000000000005</c:v>
                </c:pt>
                <c:pt idx="11">
                  <c:v>0.92</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2-C7CA-6F49-9685-39D8C8B830B4}"/>
            </c:ext>
          </c:extLst>
        </c:ser>
        <c:ser>
          <c:idx val="0"/>
          <c:order val="3"/>
          <c:tx>
            <c:strRef>
              <c:f>'Charts for slides'!$E$139</c:f>
              <c:strCache>
                <c:ptCount val="1"/>
                <c:pt idx="0">
                  <c:v>Juniper - Routers and Switches</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slides'!$Z$139:$AV$139</c:f>
              <c:numCache>
                <c:formatCode>_("$"* #,##0.00_);_("$"* \(#,##0.00\);_("$"* "-"??_);_(@_)</c:formatCode>
                <c:ptCount val="23"/>
                <c:pt idx="0">
                  <c:v>0.67130000000000001</c:v>
                </c:pt>
                <c:pt idx="1">
                  <c:v>0.79259999999999986</c:v>
                </c:pt>
                <c:pt idx="2">
                  <c:v>0.80579999999999996</c:v>
                </c:pt>
                <c:pt idx="3">
                  <c:v>0.85780000000000001</c:v>
                </c:pt>
                <c:pt idx="4">
                  <c:v>0.68</c:v>
                </c:pt>
                <c:pt idx="5">
                  <c:v>0.78390000000000004</c:v>
                </c:pt>
                <c:pt idx="6">
                  <c:v>0.84199999999999997</c:v>
                </c:pt>
                <c:pt idx="7">
                  <c:v>0.90479999999999994</c:v>
                </c:pt>
                <c:pt idx="8">
                  <c:v>0.7632000000000001</c:v>
                </c:pt>
                <c:pt idx="9">
                  <c:v>0.84850000000000003</c:v>
                </c:pt>
                <c:pt idx="10">
                  <c:v>0.79800000000000004</c:v>
                </c:pt>
                <c:pt idx="11">
                  <c:v>0.74299999999999999</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3-C7CA-6F49-9685-39D8C8B830B4}"/>
            </c:ext>
          </c:extLst>
        </c:ser>
        <c:ser>
          <c:idx val="3"/>
          <c:order val="4"/>
          <c:tx>
            <c:strRef>
              <c:f>'Charts for slides'!$E$130</c:f>
              <c:strCache>
                <c:ptCount val="1"/>
                <c:pt idx="0">
                  <c:v>Arista Networks</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slides'!$Z$130:$AV$130</c:f>
              <c:numCache>
                <c:formatCode>_("$"* #,##0.00_);_("$"* \(#,##0.00\);_("$"* "-"??_);_(@_)</c:formatCode>
                <c:ptCount val="23"/>
                <c:pt idx="0">
                  <c:v>0.17899999999999999</c:v>
                </c:pt>
                <c:pt idx="1">
                  <c:v>0.195552</c:v>
                </c:pt>
                <c:pt idx="2">
                  <c:v>0.2175</c:v>
                </c:pt>
                <c:pt idx="3">
                  <c:v>0.245446</c:v>
                </c:pt>
                <c:pt idx="4">
                  <c:v>0.2422</c:v>
                </c:pt>
                <c:pt idx="5">
                  <c:v>0.26874100000000001</c:v>
                </c:pt>
                <c:pt idx="6">
                  <c:v>0.29026100000000005</c:v>
                </c:pt>
                <c:pt idx="7">
                  <c:v>0.32796900000000001</c:v>
                </c:pt>
                <c:pt idx="8">
                  <c:v>0.33547500000000002</c:v>
                </c:pt>
                <c:pt idx="9">
                  <c:v>0.4052</c:v>
                </c:pt>
                <c:pt idx="10">
                  <c:v>0.43763299999999999</c:v>
                </c:pt>
                <c:pt idx="11">
                  <c:v>0.46800000000000003</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4-C7CA-6F49-9685-39D8C8B830B4}"/>
            </c:ext>
          </c:extLst>
        </c:ser>
        <c:ser>
          <c:idx val="1"/>
          <c:order val="5"/>
          <c:tx>
            <c:strRef>
              <c:f>'Charts for slides'!$E$141</c:f>
              <c:strCache>
                <c:ptCount val="1"/>
                <c:pt idx="0">
                  <c:v>Mellanox</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slides'!$Z$141:$AT$141</c:f>
              <c:numCache>
                <c:formatCode>_("$"* #,##0.00_);_("$"* \(#,##0.00\);_("$"* "-"??_);_(@_)</c:formatCode>
                <c:ptCount val="21"/>
                <c:pt idx="0">
                  <c:v>0.146675</c:v>
                </c:pt>
                <c:pt idx="1">
                  <c:v>0.16309999999999999</c:v>
                </c:pt>
                <c:pt idx="2">
                  <c:v>0.1714</c:v>
                </c:pt>
                <c:pt idx="3">
                  <c:v>0.1769</c:v>
                </c:pt>
                <c:pt idx="4">
                  <c:v>0.1968</c:v>
                </c:pt>
                <c:pt idx="5">
                  <c:v>0.21480000000000002</c:v>
                </c:pt>
                <c:pt idx="6">
                  <c:v>0.22419999999999998</c:v>
                </c:pt>
                <c:pt idx="7">
                  <c:v>0.22169999999999998</c:v>
                </c:pt>
                <c:pt idx="8">
                  <c:v>0.18865100000000001</c:v>
                </c:pt>
                <c:pt idx="9">
                  <c:v>0.21199999999999999</c:v>
                </c:pt>
                <c:pt idx="10">
                  <c:v>0.22600000000000001</c:v>
                </c:pt>
                <c:pt idx="11">
                  <c:v>0.23799999999999999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5-C7CA-6F49-9685-39D8C8B830B4}"/>
            </c:ext>
          </c:extLst>
        </c:ser>
        <c:ser>
          <c:idx val="5"/>
          <c:order val="6"/>
          <c:tx>
            <c:strRef>
              <c:f>'Charts for slides'!$E$134</c:f>
              <c:strCache>
                <c:ptCount val="1"/>
                <c:pt idx="0">
                  <c:v>Extreme Networks</c:v>
                </c:pt>
              </c:strCache>
            </c:strRef>
          </c:tx>
          <c:marker>
            <c:symbol val="none"/>
          </c:marker>
          <c:cat>
            <c:strRef>
              <c:f>'Charts for slides'!$Z$129:$AV$129</c:f>
              <c:strCache>
                <c:ptCount val="2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strCache>
            </c:strRef>
          </c:cat>
          <c:val>
            <c:numRef>
              <c:f>'Charts for slides'!$Z$134:$AV$134</c:f>
              <c:numCache>
                <c:formatCode>_("$"* #,##0.0_);_("$"* \(#,##0.0\);_("$"* "-"??_);_(@_)</c:formatCode>
                <c:ptCount val="23"/>
                <c:pt idx="0">
                  <c:v>0.12035599999999999</c:v>
                </c:pt>
                <c:pt idx="1">
                  <c:v>0.15063399999999999</c:v>
                </c:pt>
                <c:pt idx="2">
                  <c:v>0.124958</c:v>
                </c:pt>
                <c:pt idx="3">
                  <c:v>0.139682</c:v>
                </c:pt>
                <c:pt idx="4">
                  <c:v>0.124958</c:v>
                </c:pt>
                <c:pt idx="5">
                  <c:v>0.13999600000000001</c:v>
                </c:pt>
                <c:pt idx="6">
                  <c:v>0.122642</c:v>
                </c:pt>
                <c:pt idx="7">
                  <c:v>0.14809999999999998</c:v>
                </c:pt>
                <c:pt idx="8">
                  <c:v>0.1487</c:v>
                </c:pt>
                <c:pt idx="9">
                  <c:v>0.1787</c:v>
                </c:pt>
                <c:pt idx="10">
                  <c:v>0.2117</c:v>
                </c:pt>
                <c:pt idx="11">
                  <c:v>0.23100000000000001</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6-C7CA-6F49-9685-39D8C8B830B4}"/>
            </c:ext>
          </c:extLst>
        </c:ser>
        <c:dLbls>
          <c:showLegendKey val="0"/>
          <c:showVal val="0"/>
          <c:showCatName val="0"/>
          <c:showSerName val="0"/>
          <c:showPercent val="0"/>
          <c:showBubbleSize val="0"/>
        </c:dLbls>
        <c:smooth val="0"/>
        <c:axId val="71940736"/>
        <c:axId val="71963008"/>
      </c:lineChart>
      <c:catAx>
        <c:axId val="71940736"/>
        <c:scaling>
          <c:orientation val="minMax"/>
        </c:scaling>
        <c:delete val="0"/>
        <c:axPos val="b"/>
        <c:numFmt formatCode="General" sourceLinked="0"/>
        <c:majorTickMark val="out"/>
        <c:minorTickMark val="none"/>
        <c:tickLblPos val="nextTo"/>
        <c:txPr>
          <a:bodyPr/>
          <a:lstStyle/>
          <a:p>
            <a:pPr>
              <a:defRPr sz="1050"/>
            </a:pPr>
            <a:endParaRPr lang="en-US"/>
          </a:p>
        </c:txPr>
        <c:crossAx val="71963008"/>
        <c:crosses val="autoZero"/>
        <c:auto val="1"/>
        <c:lblAlgn val="ctr"/>
        <c:lblOffset val="100"/>
        <c:noMultiLvlLbl val="0"/>
      </c:catAx>
      <c:valAx>
        <c:axId val="71963008"/>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0" sourceLinked="0"/>
        <c:majorTickMark val="out"/>
        <c:minorTickMark val="none"/>
        <c:tickLblPos val="nextTo"/>
        <c:txPr>
          <a:bodyPr/>
          <a:lstStyle/>
          <a:p>
            <a:pPr>
              <a:defRPr sz="1200"/>
            </a:pPr>
            <a:endParaRPr lang="en-US"/>
          </a:p>
        </c:txPr>
        <c:crossAx val="71940736"/>
        <c:crosses val="autoZero"/>
        <c:crossBetween val="midCat"/>
      </c:valAx>
    </c:plotArea>
    <c:legend>
      <c:legendPos val="r"/>
      <c:layout>
        <c:manualLayout>
          <c:xMode val="edge"/>
          <c:yMode val="edge"/>
          <c:x val="0.82955753832473922"/>
          <c:y val="6.9236210063900197E-2"/>
          <c:w val="0.16822819183945673"/>
          <c:h val="0.87524554265456989"/>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6792717930936"/>
          <c:y val="0.12324524174855539"/>
          <c:w val="0.83324633734037057"/>
          <c:h val="0.66669193919472702"/>
        </c:manualLayout>
      </c:layout>
      <c:barChart>
        <c:barDir val="col"/>
        <c:grouping val="clustered"/>
        <c:varyColors val="0"/>
        <c:ser>
          <c:idx val="2"/>
          <c:order val="0"/>
          <c:tx>
            <c:strRef>
              <c:f>Summary!$B$246</c:f>
              <c:strCache>
                <c:ptCount val="1"/>
                <c:pt idx="0">
                  <c:v>Active Optical Cables</c:v>
                </c:pt>
              </c:strCache>
            </c:strRef>
          </c:tx>
          <c:invertIfNegative val="0"/>
          <c:cat>
            <c:strRef>
              <c:f>Summary!$S$243:$AH$243</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Summary!$S$246:$AH$246</c:f>
              <c:numCache>
                <c:formatCode>_([$$-409]* #,##0.0_);_([$$-409]* \(#,##0.0\);_([$$-409]* "-"??_);_(@_)</c:formatCode>
                <c:ptCount val="16"/>
                <c:pt idx="0" formatCode="_(&quot;$&quot;* #,##0.0_);_(&quot;$&quot;* \(#,##0.0\);_(&quot;$&quot;* &quot;-&quot;??_);_(@_)">
                  <c:v>50.974854999999998</c:v>
                </c:pt>
                <c:pt idx="1">
                  <c:v>50.024223999999997</c:v>
                </c:pt>
                <c:pt idx="2" formatCode="_(&quot;$&quot;* #,##0.0_);_(&quot;$&quot;* \(#,##0.0\);_(&quot;$&quot;* &quot;-&quot;??_);_(@_)">
                  <c:v>54.798230949999983</c:v>
                </c:pt>
                <c:pt idx="3">
                  <c:v>54.782512623799995</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0-5183-B344-B9CF-A22EB3D64DC7}"/>
            </c:ext>
          </c:extLst>
        </c:ser>
        <c:ser>
          <c:idx val="1"/>
          <c:order val="1"/>
          <c:tx>
            <c:strRef>
              <c:f>Summary!$B$244</c:f>
              <c:strCache>
                <c:ptCount val="1"/>
                <c:pt idx="0">
                  <c:v>Parallel Transmitters and Receivers, including EOMs (not pairs)</c:v>
                </c:pt>
              </c:strCache>
            </c:strRef>
          </c:tx>
          <c:invertIfNegative val="0"/>
          <c:cat>
            <c:strRef>
              <c:f>Summary!$S$243:$AH$243</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Summary!$S$244:$AH$244</c:f>
              <c:numCache>
                <c:formatCode>_([$$-409]* #,##0.0_);_([$$-409]* \(#,##0.0\);_([$$-409]* "-"??_);_(@_)</c:formatCode>
                <c:ptCount val="16"/>
                <c:pt idx="0" formatCode="_(&quot;$&quot;* #,##0.0_);_(&quot;$&quot;* \(#,##0.0\);_(&quot;$&quot;* &quot;-&quot;??_);_(@_)">
                  <c:v>10.239974999999999</c:v>
                </c:pt>
                <c:pt idx="1">
                  <c:v>8.542484</c:v>
                </c:pt>
                <c:pt idx="2" formatCode="_(&quot;$&quot;* #,##0.0_);_(&quot;$&quot;* \(#,##0.0\);_(&quot;$&quot;* &quot;-&quot;??_);_(@_)">
                  <c:v>6.7925099999999974</c:v>
                </c:pt>
                <c:pt idx="3">
                  <c:v>4.2766999999999999</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1-5183-B344-B9CF-A22EB3D64DC7}"/>
            </c:ext>
          </c:extLst>
        </c:ser>
        <c:ser>
          <c:idx val="0"/>
          <c:order val="2"/>
          <c:tx>
            <c:strRef>
              <c:f>Summary!$B$245</c:f>
              <c:strCache>
                <c:ptCount val="1"/>
                <c:pt idx="0">
                  <c:v>Parallel  Transceiver EOMs</c:v>
                </c:pt>
              </c:strCache>
            </c:strRef>
          </c:tx>
          <c:invertIfNegative val="0"/>
          <c:cat>
            <c:strRef>
              <c:f>Summary!$S$243:$AH$243</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Summary!$S$245:$AH$245</c:f>
              <c:numCache>
                <c:formatCode>_([$$-409]* #,##0.0_);_([$$-409]* \(#,##0.0\);_([$$-409]* "-"??_);_(@_)</c:formatCode>
                <c:ptCount val="16"/>
                <c:pt idx="0" formatCode="_(&quot;$&quot;* #,##0.0_);_(&quot;$&quot;* \(#,##0.0\);_(&quot;$&quot;* &quot;-&quot;??_);_(@_)">
                  <c:v>2.7431640000000002</c:v>
                </c:pt>
                <c:pt idx="1">
                  <c:v>4.1788509999999999</c:v>
                </c:pt>
                <c:pt idx="2" formatCode="_(&quot;$&quot;* #,##0.0_);_(&quot;$&quot;* \(#,##0.0\);_(&quot;$&quot;* &quot;-&quot;??_);_(@_)">
                  <c:v>2.5470879999999996</c:v>
                </c:pt>
                <c:pt idx="3">
                  <c:v>2.9999470000000001</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81457152"/>
        <c:axId val="81459072"/>
      </c:barChart>
      <c:catAx>
        <c:axId val="8145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81459072"/>
        <c:crosses val="autoZero"/>
        <c:auto val="1"/>
        <c:lblAlgn val="ctr"/>
        <c:lblOffset val="100"/>
        <c:tickLblSkip val="1"/>
        <c:tickMarkSkip val="1"/>
        <c:noMultiLvlLbl val="0"/>
      </c:catAx>
      <c:valAx>
        <c:axId val="8145907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81457152"/>
        <c:crosses val="autoZero"/>
        <c:crossBetween val="between"/>
      </c:valAx>
      <c:spPr>
        <a:solidFill>
          <a:schemeClr val="bg1"/>
        </a:solidFill>
        <a:ln w="12700">
          <a:solidFill>
            <a:srgbClr val="808080"/>
          </a:solidFill>
          <a:prstDash val="solid"/>
        </a:ln>
      </c:spPr>
    </c:plotArea>
    <c:legend>
      <c:legendPos val="r"/>
      <c:layout>
        <c:manualLayout>
          <c:xMode val="edge"/>
          <c:yMode val="edge"/>
          <c:x val="0.15878736846523206"/>
          <c:y val="5.1282326641912471E-2"/>
          <c:w val="0.64169616676730123"/>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Semiconductor</a:t>
            </a:r>
            <a:r>
              <a:rPr lang="en-US" baseline="0"/>
              <a:t> vendors publicly reported</a:t>
            </a:r>
            <a:r>
              <a:rPr lang="en-US"/>
              <a:t> revenue</a:t>
            </a:r>
          </a:p>
        </c:rich>
      </c:tx>
      <c:layout>
        <c:manualLayout>
          <c:xMode val="edge"/>
          <c:yMode val="edge"/>
          <c:x val="0.21711752004354501"/>
          <c:y val="2.1940224118525583E-2"/>
        </c:manualLayout>
      </c:layout>
      <c:overlay val="0"/>
    </c:title>
    <c:autoTitleDeleted val="0"/>
    <c:plotArea>
      <c:layout>
        <c:manualLayout>
          <c:layoutTarget val="inner"/>
          <c:xMode val="edge"/>
          <c:yMode val="edge"/>
          <c:x val="0.159977857665769"/>
          <c:y val="0.13502278251136701"/>
          <c:w val="0.83180810793601911"/>
          <c:h val="0.70617971640092692"/>
        </c:manualLayout>
      </c:layout>
      <c:barChart>
        <c:barDir val="col"/>
        <c:grouping val="clustered"/>
        <c:varyColors val="0"/>
        <c:ser>
          <c:idx val="0"/>
          <c:order val="0"/>
          <c:tx>
            <c:strRef>
              <c:f>'Charts for slides'!$C$181</c:f>
              <c:strCache>
                <c:ptCount val="1"/>
              </c:strCache>
            </c:strRef>
          </c:tx>
          <c:invertIfNegative val="0"/>
          <c:trendline>
            <c:trendlineType val="linear"/>
            <c:dispRSqr val="0"/>
            <c:dispEq val="0"/>
          </c:trendline>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'Charts for slides'!$AD$177:$AV$177</c:f>
              <c:numCache>
                <c:formatCode>_("$"* #,##0_);_("$"* \(#,##0\);_("$"* "-"??_);_(@_)</c:formatCode>
                <c:ptCount val="19"/>
                <c:pt idx="0">
                  <c:v>16337.399999999998</c:v>
                </c:pt>
                <c:pt idx="1">
                  <c:v>17218.55</c:v>
                </c:pt>
                <c:pt idx="2">
                  <c:v>18219.05</c:v>
                </c:pt>
                <c:pt idx="3">
                  <c:v>18003.400000000001</c:v>
                </c:pt>
                <c:pt idx="4">
                  <c:v>16795.491999999998</c:v>
                </c:pt>
                <c:pt idx="5">
                  <c:v>17357.2</c:v>
                </c:pt>
                <c:pt idx="6">
                  <c:v>18792.964</c:v>
                </c:pt>
                <c:pt idx="7">
                  <c:v>20149.599999999999</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5A0B-324A-8CCB-110392ED0B3B}"/>
            </c:ext>
          </c:extLst>
        </c:ser>
        <c:dLbls>
          <c:showLegendKey val="0"/>
          <c:showVal val="0"/>
          <c:showCatName val="0"/>
          <c:showSerName val="0"/>
          <c:showPercent val="0"/>
          <c:showBubbleSize val="0"/>
        </c:dLbls>
        <c:gapWidth val="150"/>
        <c:axId val="71970176"/>
        <c:axId val="71992448"/>
      </c:barChart>
      <c:catAx>
        <c:axId val="71970176"/>
        <c:scaling>
          <c:orientation val="minMax"/>
        </c:scaling>
        <c:delete val="0"/>
        <c:axPos val="b"/>
        <c:numFmt formatCode="General" sourceLinked="0"/>
        <c:majorTickMark val="out"/>
        <c:minorTickMark val="none"/>
        <c:tickLblPos val="nextTo"/>
        <c:txPr>
          <a:bodyPr/>
          <a:lstStyle/>
          <a:p>
            <a:pPr>
              <a:defRPr sz="1200"/>
            </a:pPr>
            <a:endParaRPr lang="en-US"/>
          </a:p>
        </c:txPr>
        <c:crossAx val="71992448"/>
        <c:crosses val="autoZero"/>
        <c:auto val="1"/>
        <c:lblAlgn val="ctr"/>
        <c:lblOffset val="100"/>
        <c:noMultiLvlLbl val="0"/>
      </c:catAx>
      <c:valAx>
        <c:axId val="71992448"/>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2.62679094409227E-2"/>
              <c:y val="0.29830297926036697"/>
            </c:manualLayout>
          </c:layout>
          <c:overlay val="0"/>
        </c:title>
        <c:numFmt formatCode="&quot;$&quot;#,##0" sourceLinked="0"/>
        <c:majorTickMark val="out"/>
        <c:minorTickMark val="none"/>
        <c:tickLblPos val="nextTo"/>
        <c:txPr>
          <a:bodyPr/>
          <a:lstStyle/>
          <a:p>
            <a:pPr>
              <a:defRPr sz="1200"/>
            </a:pPr>
            <a:endParaRPr lang="en-US"/>
          </a:p>
        </c:txPr>
        <c:crossAx val="71970176"/>
        <c:crosses val="autoZero"/>
        <c:crossBetween val="between"/>
        <c:minorUnit val="5000"/>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a:t>
            </a:r>
            <a:r>
              <a:rPr lang="en-US" sz="1600" baseline="0"/>
              <a:t> revenues</a:t>
            </a:r>
            <a:endParaRPr lang="en-US" sz="1600"/>
          </a:p>
        </c:rich>
      </c:tx>
      <c:overlay val="0"/>
    </c:title>
    <c:autoTitleDeleted val="0"/>
    <c:plotArea>
      <c:layout>
        <c:manualLayout>
          <c:layoutTarget val="inner"/>
          <c:xMode val="edge"/>
          <c:yMode val="edge"/>
          <c:x val="0.15781365117681073"/>
          <c:y val="0.13774314668999707"/>
          <c:w val="0.64178557083304577"/>
          <c:h val="0.68478199254842753"/>
        </c:manualLayout>
      </c:layout>
      <c:lineChart>
        <c:grouping val="standard"/>
        <c:varyColors val="0"/>
        <c:ser>
          <c:idx val="0"/>
          <c:order val="0"/>
          <c:tx>
            <c:v>Qualcomm</c:v>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vendors'!$C$23:$U$23</c:f>
              <c:numCache>
                <c:formatCode>"$"#,##0_);\("$"#,##0\)</c:formatCode>
                <c:ptCount val="11"/>
              </c:numCache>
            </c:numRef>
          </c:val>
          <c:smooth val="0"/>
          <c:extLst>
            <c:ext xmlns:c16="http://schemas.microsoft.com/office/drawing/2014/chart" uri="{C3380CC4-5D6E-409C-BE32-E72D297353CC}">
              <c16:uniqueId val="{00000000-95DD-AF40-8D3C-C526CC12AA94}"/>
            </c:ext>
          </c:extLst>
        </c:ser>
        <c:ser>
          <c:idx val="6"/>
          <c:order val="1"/>
          <c:tx>
            <c:strRef>
              <c:f>'Semiconductor vendors'!$B$16</c:f>
              <c:strCache>
                <c:ptCount val="1"/>
                <c:pt idx="0">
                  <c:v>Intel - Data Center</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vendors'!$C$16:$U$16</c:f>
              <c:numCache>
                <c:formatCode>"$"#,##0_);\("$"#,##0\)</c:formatCode>
                <c:ptCount val="11"/>
              </c:numCache>
            </c:numRef>
          </c:val>
          <c:smooth val="0"/>
          <c:extLst>
            <c:ext xmlns:c16="http://schemas.microsoft.com/office/drawing/2014/chart" uri="{C3380CC4-5D6E-409C-BE32-E72D297353CC}">
              <c16:uniqueId val="{00000001-95DD-AF40-8D3C-C526CC12AA94}"/>
            </c:ext>
          </c:extLst>
        </c:ser>
        <c:ser>
          <c:idx val="2"/>
          <c:order val="2"/>
          <c:tx>
            <c:strRef>
              <c:f>'Semiconductor vendors'!$B$11</c:f>
              <c:strCache>
                <c:ptCount val="1"/>
                <c:pt idx="0">
                  <c:v>Broadcom</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vendors'!$C$11:$U$11</c:f>
              <c:numCache>
                <c:formatCode>"$"#,##0_);\("$"#,##0\)</c:formatCode>
                <c:ptCount val="11"/>
              </c:numCache>
            </c:numRef>
          </c:val>
          <c:smooth val="0"/>
          <c:extLst>
            <c:ext xmlns:c16="http://schemas.microsoft.com/office/drawing/2014/chart" uri="{C3380CC4-5D6E-409C-BE32-E72D297353CC}">
              <c16:uniqueId val="{00000002-95DD-AF40-8D3C-C526CC12AA94}"/>
            </c:ext>
          </c:extLst>
        </c:ser>
        <c:dLbls>
          <c:showLegendKey val="0"/>
          <c:showVal val="0"/>
          <c:showCatName val="0"/>
          <c:showSerName val="0"/>
          <c:showPercent val="0"/>
          <c:showBubbleSize val="0"/>
        </c:dLbls>
        <c:marker val="1"/>
        <c:smooth val="0"/>
        <c:axId val="72011776"/>
        <c:axId val="72013312"/>
      </c:lineChart>
      <c:dateAx>
        <c:axId val="72011776"/>
        <c:scaling>
          <c:orientation val="minMax"/>
        </c:scaling>
        <c:delete val="0"/>
        <c:axPos val="b"/>
        <c:numFmt formatCode="General" sourceLinked="0"/>
        <c:majorTickMark val="out"/>
        <c:minorTickMark val="none"/>
        <c:tickLblPos val="nextTo"/>
        <c:txPr>
          <a:bodyPr rot="0" vert="horz"/>
          <a:lstStyle/>
          <a:p>
            <a:pPr>
              <a:defRPr sz="1050"/>
            </a:pPr>
            <a:endParaRPr lang="en-US"/>
          </a:p>
        </c:txPr>
        <c:crossAx val="72013312"/>
        <c:crosses val="autoZero"/>
        <c:auto val="0"/>
        <c:lblOffset val="100"/>
        <c:baseTimeUnit val="days"/>
      </c:dateAx>
      <c:valAx>
        <c:axId val="72013312"/>
        <c:scaling>
          <c:orientation val="minMax"/>
        </c:scaling>
        <c:delete val="0"/>
        <c:axPos val="l"/>
        <c:majorGridlines/>
        <c:title>
          <c:tx>
            <c:rich>
              <a:bodyPr rot="-5400000" vert="horz"/>
              <a:lstStyle/>
              <a:p>
                <a:pPr>
                  <a:defRPr/>
                </a:pPr>
                <a:r>
                  <a:rPr lang="en-US"/>
                  <a:t>Revenues ($ mn)</a:t>
                </a:r>
              </a:p>
            </c:rich>
          </c:tx>
          <c:layout>
            <c:manualLayout>
              <c:xMode val="edge"/>
              <c:yMode val="edge"/>
              <c:x val="1.4740759835335199E-2"/>
              <c:y val="0.34767570720326602"/>
            </c:manualLayout>
          </c:layout>
          <c:overlay val="0"/>
        </c:title>
        <c:numFmt formatCode="&quot;$&quot;#,##0_);\(&quot;$&quot;#,##0\)" sourceLinked="1"/>
        <c:majorTickMark val="out"/>
        <c:minorTickMark val="none"/>
        <c:tickLblPos val="nextTo"/>
        <c:crossAx val="72011776"/>
        <c:crosses val="autoZero"/>
        <c:crossBetween val="between"/>
      </c:valAx>
    </c:plotArea>
    <c:legend>
      <c:legendPos val="r"/>
      <c:layout>
        <c:manualLayout>
          <c:xMode val="edge"/>
          <c:yMode val="edge"/>
          <c:x val="0.79670010162730498"/>
          <c:y val="0.3100991542723826"/>
          <c:w val="0.18645637889610447"/>
          <c:h val="0.34773403324584429"/>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Mid-sized company revenues</a:t>
            </a:r>
          </a:p>
        </c:rich>
      </c:tx>
      <c:layout>
        <c:manualLayout>
          <c:xMode val="edge"/>
          <c:yMode val="edge"/>
          <c:x val="0.30990272309676709"/>
          <c:y val="5.2747238142150897E-3"/>
        </c:manualLayout>
      </c:layout>
      <c:overlay val="0"/>
    </c:title>
    <c:autoTitleDeleted val="0"/>
    <c:plotArea>
      <c:layout>
        <c:manualLayout>
          <c:layoutTarget val="inner"/>
          <c:xMode val="edge"/>
          <c:yMode val="edge"/>
          <c:x val="0.11222049190473425"/>
          <c:y val="3.3591861183807317E-2"/>
          <c:w val="0.72708590007411489"/>
          <c:h val="0.75493917646151165"/>
        </c:manualLayout>
      </c:layout>
      <c:lineChart>
        <c:grouping val="standard"/>
        <c:varyColors val="0"/>
        <c:ser>
          <c:idx val="4"/>
          <c:order val="0"/>
          <c:tx>
            <c:strRef>
              <c:f>'Semiconductor vendors'!$B$25</c:f>
              <c:strCache>
                <c:ptCount val="1"/>
                <c:pt idx="0">
                  <c:v>Xilinx</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vendors'!$C$25:$U$25</c:f>
              <c:numCache>
                <c:formatCode>"$"#,##0_);\("$"#,##0\)</c:formatCode>
                <c:ptCount val="11"/>
              </c:numCache>
            </c:numRef>
          </c:val>
          <c:smooth val="0"/>
          <c:extLst>
            <c:ext xmlns:c16="http://schemas.microsoft.com/office/drawing/2014/chart" uri="{C3380CC4-5D6E-409C-BE32-E72D297353CC}">
              <c16:uniqueId val="{00000000-751F-F849-A5C3-7BFED9CE3848}"/>
            </c:ext>
          </c:extLst>
        </c:ser>
        <c:ser>
          <c:idx val="2"/>
          <c:order val="1"/>
          <c:tx>
            <c:strRef>
              <c:f>'Semiconductor vendors'!$B$20</c:f>
              <c:strCache>
                <c:ptCount val="1"/>
                <c:pt idx="0">
                  <c:v>Maxim</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vendors'!$C$20:$U$20</c:f>
              <c:numCache>
                <c:formatCode>"$"#,##0_);\("$"#,##0\)</c:formatCode>
                <c:ptCount val="11"/>
              </c:numCache>
            </c:numRef>
          </c:val>
          <c:smooth val="0"/>
          <c:extLst>
            <c:ext xmlns:c16="http://schemas.microsoft.com/office/drawing/2014/chart" uri="{C3380CC4-5D6E-409C-BE32-E72D297353CC}">
              <c16:uniqueId val="{00000001-751F-F849-A5C3-7BFED9CE3848}"/>
            </c:ext>
          </c:extLst>
        </c:ser>
        <c:ser>
          <c:idx val="6"/>
          <c:order val="2"/>
          <c:tx>
            <c:strRef>
              <c:f>'Semiconductor vendors'!$B$19</c:f>
              <c:strCache>
                <c:ptCount val="1"/>
                <c:pt idx="0">
                  <c:v>Marvell</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vendors'!$C$19:$U$19</c:f>
              <c:numCache>
                <c:formatCode>"$"#,##0_);\("$"#,##0\)</c:formatCode>
                <c:ptCount val="11"/>
              </c:numCache>
            </c:numRef>
          </c:val>
          <c:smooth val="0"/>
          <c:extLst>
            <c:ext xmlns:c16="http://schemas.microsoft.com/office/drawing/2014/chart" uri="{C3380CC4-5D6E-409C-BE32-E72D297353CC}">
              <c16:uniqueId val="{00000002-751F-F849-A5C3-7BFED9CE3848}"/>
            </c:ext>
          </c:extLst>
        </c:ser>
        <c:dLbls>
          <c:showLegendKey val="0"/>
          <c:showVal val="0"/>
          <c:showCatName val="0"/>
          <c:showSerName val="0"/>
          <c:showPercent val="0"/>
          <c:showBubbleSize val="0"/>
        </c:dLbls>
        <c:marker val="1"/>
        <c:smooth val="0"/>
        <c:axId val="72041216"/>
        <c:axId val="72042752"/>
      </c:lineChart>
      <c:catAx>
        <c:axId val="72041216"/>
        <c:scaling>
          <c:orientation val="minMax"/>
        </c:scaling>
        <c:delete val="0"/>
        <c:axPos val="b"/>
        <c:numFmt formatCode="General" sourceLinked="0"/>
        <c:majorTickMark val="out"/>
        <c:minorTickMark val="none"/>
        <c:tickLblPos val="nextTo"/>
        <c:txPr>
          <a:bodyPr/>
          <a:lstStyle/>
          <a:p>
            <a:pPr>
              <a:defRPr sz="1200"/>
            </a:pPr>
            <a:endParaRPr lang="en-US"/>
          </a:p>
        </c:txPr>
        <c:crossAx val="72042752"/>
        <c:crosses val="autoZero"/>
        <c:auto val="1"/>
        <c:lblAlgn val="ctr"/>
        <c:lblOffset val="100"/>
        <c:noMultiLvlLbl val="0"/>
      </c:catAx>
      <c:valAx>
        <c:axId val="72042752"/>
        <c:scaling>
          <c:orientation val="minMax"/>
          <c:min val="400"/>
        </c:scaling>
        <c:delete val="0"/>
        <c:axPos val="l"/>
        <c:majorGridlines/>
        <c:title>
          <c:tx>
            <c:rich>
              <a:bodyPr rot="-5400000" vert="horz"/>
              <a:lstStyle/>
              <a:p>
                <a:pPr>
                  <a:defRPr/>
                </a:pPr>
                <a:r>
                  <a:rPr lang="en-US"/>
                  <a:t>Revenues ($ mn)</a:t>
                </a:r>
              </a:p>
            </c:rich>
          </c:tx>
          <c:layout>
            <c:manualLayout>
              <c:xMode val="edge"/>
              <c:yMode val="edge"/>
              <c:x val="1.52623226731417E-2"/>
              <c:y val="0.34767570720326602"/>
            </c:manualLayout>
          </c:layout>
          <c:overlay val="0"/>
        </c:title>
        <c:numFmt formatCode="&quot;$&quot;#,##0_);\(&quot;$&quot;#,##0\)" sourceLinked="1"/>
        <c:majorTickMark val="out"/>
        <c:minorTickMark val="none"/>
        <c:tickLblPos val="nextTo"/>
        <c:crossAx val="72041216"/>
        <c:crosses val="autoZero"/>
        <c:crossBetween val="between"/>
      </c:valAx>
    </c:plotArea>
    <c:legend>
      <c:legendPos val="r"/>
      <c:layout>
        <c:manualLayout>
          <c:xMode val="edge"/>
          <c:yMode val="edge"/>
          <c:x val="0.8304260084486742"/>
          <c:y val="0.21065981335666376"/>
          <c:w val="0.16275653730242934"/>
          <c:h val="0.3954378098571012"/>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layout>
        <c:manualLayout>
          <c:xMode val="edge"/>
          <c:yMode val="edge"/>
          <c:x val="0.31582622640995417"/>
          <c:y val="3.2727263356545924E-2"/>
        </c:manualLayout>
      </c:layout>
      <c:overlay val="0"/>
    </c:title>
    <c:autoTitleDeleted val="0"/>
    <c:plotArea>
      <c:layout>
        <c:manualLayout>
          <c:layoutTarget val="inner"/>
          <c:xMode val="edge"/>
          <c:yMode val="edge"/>
          <c:x val="0.14857006849142756"/>
          <c:y val="3.3286461478464861E-2"/>
          <c:w val="0.68312804409525529"/>
          <c:h val="0.77393105971909526"/>
        </c:manualLayout>
      </c:layout>
      <c:lineChart>
        <c:grouping val="standard"/>
        <c:varyColors val="0"/>
        <c:ser>
          <c:idx val="7"/>
          <c:order val="0"/>
          <c:tx>
            <c:v>MACOM</c:v>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vendors'!$C$18:$U$18</c:f>
              <c:numCache>
                <c:formatCode>"$"#,##0_);\("$"#,##0\)</c:formatCode>
                <c:ptCount val="11"/>
              </c:numCache>
            </c:numRef>
          </c:val>
          <c:smooth val="0"/>
          <c:extLst>
            <c:ext xmlns:c16="http://schemas.microsoft.com/office/drawing/2014/chart" uri="{C3380CC4-5D6E-409C-BE32-E72D297353CC}">
              <c16:uniqueId val="{00000001-D551-E449-8613-622170382C49}"/>
            </c:ext>
          </c:extLst>
        </c:ser>
        <c:ser>
          <c:idx val="0"/>
          <c:order val="1"/>
          <c:tx>
            <c:strRef>
              <c:f>'Semiconductor vendors'!$B$24</c:f>
              <c:strCache>
                <c:ptCount val="1"/>
                <c:pt idx="0">
                  <c:v>Semtech</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vendors'!$C$24:$U$24</c:f>
              <c:numCache>
                <c:formatCode>"$"#,##0_);\("$"#,##0\)</c:formatCode>
                <c:ptCount val="11"/>
              </c:numCache>
            </c:numRef>
          </c:val>
          <c:smooth val="0"/>
          <c:extLst>
            <c:ext xmlns:c16="http://schemas.microsoft.com/office/drawing/2014/chart" uri="{C3380CC4-5D6E-409C-BE32-E72D297353CC}">
              <c16:uniqueId val="{00000002-D551-E449-8613-622170382C49}"/>
            </c:ext>
          </c:extLst>
        </c:ser>
        <c:ser>
          <c:idx val="4"/>
          <c:order val="2"/>
          <c:tx>
            <c:strRef>
              <c:f>'Semiconductor vendors'!$B$15</c:f>
              <c:strCache>
                <c:ptCount val="1"/>
                <c:pt idx="0">
                  <c:v>Inphi</c:v>
                </c:pt>
              </c:strCache>
            </c:strRef>
          </c:tx>
          <c:cat>
            <c:strRef>
              <c:f>'Charts for slides'!$AD$176:$AV$176</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'Semiconductor vendors'!$C$15:$U$15</c:f>
              <c:numCache>
                <c:formatCode>"$"#,##0_);\("$"#,##0\)</c:formatCode>
                <c:ptCount val="11"/>
              </c:numCache>
            </c:numRef>
          </c:val>
          <c:smooth val="0"/>
          <c:extLst>
            <c:ext xmlns:c16="http://schemas.microsoft.com/office/drawing/2014/chart" uri="{C3380CC4-5D6E-409C-BE32-E72D297353CC}">
              <c16:uniqueId val="{00000004-D551-E449-8613-622170382C49}"/>
            </c:ext>
          </c:extLst>
        </c:ser>
        <c:dLbls>
          <c:showLegendKey val="0"/>
          <c:showVal val="0"/>
          <c:showCatName val="0"/>
          <c:showSerName val="0"/>
          <c:showPercent val="0"/>
          <c:showBubbleSize val="0"/>
        </c:dLbls>
        <c:marker val="1"/>
        <c:smooth val="0"/>
        <c:axId val="72070656"/>
        <c:axId val="72072192"/>
      </c:lineChart>
      <c:catAx>
        <c:axId val="72070656"/>
        <c:scaling>
          <c:orientation val="minMax"/>
        </c:scaling>
        <c:delete val="0"/>
        <c:axPos val="b"/>
        <c:numFmt formatCode="General" sourceLinked="0"/>
        <c:majorTickMark val="out"/>
        <c:minorTickMark val="none"/>
        <c:tickLblPos val="nextTo"/>
        <c:txPr>
          <a:bodyPr/>
          <a:lstStyle/>
          <a:p>
            <a:pPr>
              <a:defRPr sz="1100"/>
            </a:pPr>
            <a:endParaRPr lang="en-US"/>
          </a:p>
        </c:txPr>
        <c:crossAx val="72072192"/>
        <c:crosses val="autoZero"/>
        <c:auto val="1"/>
        <c:lblAlgn val="ctr"/>
        <c:lblOffset val="100"/>
        <c:noMultiLvlLbl val="0"/>
      </c:catAx>
      <c:valAx>
        <c:axId val="72072192"/>
        <c:scaling>
          <c:orientation val="minMax"/>
        </c:scaling>
        <c:delete val="0"/>
        <c:axPos val="l"/>
        <c:majorGridlines/>
        <c:title>
          <c:tx>
            <c:rich>
              <a:bodyPr rot="-5400000" vert="horz"/>
              <a:lstStyle/>
              <a:p>
                <a:pPr>
                  <a:defRPr/>
                </a:pPr>
                <a:r>
                  <a:rPr lang="en-US"/>
                  <a:t>Revenues ($ mn)</a:t>
                </a:r>
              </a:p>
            </c:rich>
          </c:tx>
          <c:layout>
            <c:manualLayout>
              <c:xMode val="edge"/>
              <c:yMode val="edge"/>
              <c:x val="1.52623226731417E-2"/>
              <c:y val="0.34304607757363698"/>
            </c:manualLayout>
          </c:layout>
          <c:overlay val="0"/>
        </c:title>
        <c:numFmt formatCode="&quot;$&quot;#,##0_);\(&quot;$&quot;#,##0\)" sourceLinked="1"/>
        <c:majorTickMark val="out"/>
        <c:minorTickMark val="none"/>
        <c:tickLblPos val="nextTo"/>
        <c:crossAx val="72070656"/>
        <c:crosses val="autoZero"/>
        <c:crossBetween val="between"/>
      </c:valAx>
    </c:plotArea>
    <c:legend>
      <c:legendPos val="r"/>
      <c:layout>
        <c:manualLayout>
          <c:xMode val="edge"/>
          <c:yMode val="edge"/>
          <c:x val="0.82913055765346966"/>
          <c:y val="0.29223633173178726"/>
          <c:w val="0.1573026940499436"/>
          <c:h val="0.29574132103748668"/>
        </c:manualLayout>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69749174695553"/>
          <c:y val="7.4825330493908895E-2"/>
          <c:w val="0.68277913242421506"/>
          <c:h val="0.74943673048660941"/>
        </c:manualLayout>
      </c:layout>
      <c:lineChart>
        <c:grouping val="standard"/>
        <c:varyColors val="0"/>
        <c:ser>
          <c:idx val="0"/>
          <c:order val="0"/>
          <c:tx>
            <c:strRef>
              <c:f>'OC vendors'!$B$14</c:f>
              <c:strCache>
                <c:ptCount val="1"/>
                <c:pt idx="0">
                  <c:v>Finisar</c:v>
                </c:pt>
              </c:strCache>
            </c:strRef>
          </c:tx>
          <c:cat>
            <c:strRef>
              <c:f>'Charts for slides'!$AD$205:$AV$205</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'OC vendors'!$C$14:$P$14</c:f>
              <c:numCache>
                <c:formatCode>"$"#,##0_);\("$"#,##0\)</c:formatCode>
                <c:ptCount val="6"/>
              </c:numCache>
            </c:numRef>
          </c:val>
          <c:smooth val="0"/>
          <c:extLst>
            <c:ext xmlns:c16="http://schemas.microsoft.com/office/drawing/2014/chart" uri="{C3380CC4-5D6E-409C-BE32-E72D297353CC}">
              <c16:uniqueId val="{00000000-1E3E-2C40-BB0D-D1D96FCC9D93}"/>
            </c:ext>
          </c:extLst>
        </c:ser>
        <c:ser>
          <c:idx val="4"/>
          <c:order val="1"/>
          <c:tx>
            <c:v>II-VI</c:v>
          </c:tx>
          <c:cat>
            <c:strRef>
              <c:f>'Charts for slides'!$AD$205:$AV$205</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'OC vendors'!$C$8:$U$8</c:f>
              <c:numCache>
                <c:formatCode>"$"#,##0_);\("$"#,##0\)</c:formatCode>
                <c:ptCount val="11"/>
              </c:numCache>
            </c:numRef>
          </c:val>
          <c:smooth val="0"/>
          <c:extLst>
            <c:ext xmlns:c16="http://schemas.microsoft.com/office/drawing/2014/chart" uri="{C3380CC4-5D6E-409C-BE32-E72D297353CC}">
              <c16:uniqueId val="{00000001-1E3E-2C40-BB0D-D1D96FCC9D93}"/>
            </c:ext>
          </c:extLst>
        </c:ser>
        <c:ser>
          <c:idx val="2"/>
          <c:order val="2"/>
          <c:tx>
            <c:strRef>
              <c:f>'OC vendors'!$B$18</c:f>
              <c:strCache>
                <c:ptCount val="1"/>
                <c:pt idx="0">
                  <c:v>Lumentum (optical comm)</c:v>
                </c:pt>
              </c:strCache>
            </c:strRef>
          </c:tx>
          <c:cat>
            <c:strRef>
              <c:f>'Charts for slides'!$AD$205:$AV$205</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'OC vendors'!$C$18:$U$18</c:f>
              <c:numCache>
                <c:formatCode>"$"#,##0_);\("$"#,##0\)</c:formatCode>
                <c:ptCount val="11"/>
              </c:numCache>
            </c:numRef>
          </c:val>
          <c:smooth val="0"/>
          <c:extLst>
            <c:ext xmlns:c16="http://schemas.microsoft.com/office/drawing/2014/chart" uri="{C3380CC4-5D6E-409C-BE32-E72D297353CC}">
              <c16:uniqueId val="{00000002-1E3E-2C40-BB0D-D1D96FCC9D93}"/>
            </c:ext>
          </c:extLst>
        </c:ser>
        <c:ser>
          <c:idx val="5"/>
          <c:order val="3"/>
          <c:tx>
            <c:strRef>
              <c:f>'OC vendors'!$B$17</c:f>
              <c:strCache>
                <c:ptCount val="1"/>
                <c:pt idx="0">
                  <c:v>Innolight</c:v>
                </c:pt>
              </c:strCache>
            </c:strRef>
          </c:tx>
          <c:cat>
            <c:strRef>
              <c:f>'Charts for slides'!$AD$205:$AV$205</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'OC vendors'!$C$17:$U$17</c:f>
              <c:numCache>
                <c:formatCode>"$"#,##0_);\("$"#,##0\)</c:formatCode>
                <c:ptCount val="11"/>
              </c:numCache>
            </c:numRef>
          </c:val>
          <c:smooth val="0"/>
          <c:extLs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cat>
            <c:strRef>
              <c:f>'Charts for slides'!$AD$205:$AV$205</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'OC vendors'!$C$10:$U$10</c:f>
              <c:numCache>
                <c:formatCode>"$"#,##0_);\("$"#,##0\)</c:formatCode>
                <c:ptCount val="11"/>
              </c:numCache>
            </c:numRef>
          </c:val>
          <c:smooth val="0"/>
          <c:extLst>
            <c:ext xmlns:c16="http://schemas.microsoft.com/office/drawing/2014/chart" uri="{C3380CC4-5D6E-409C-BE32-E72D297353CC}">
              <c16:uniqueId val="{00000004-1E3E-2C40-BB0D-D1D96FCC9D93}"/>
            </c:ext>
          </c:extLst>
        </c:ser>
        <c:ser>
          <c:idx val="13"/>
          <c:order val="5"/>
          <c:tx>
            <c:strRef>
              <c:f>'OC vendors'!$B$23</c:f>
              <c:strCache>
                <c:ptCount val="1"/>
                <c:pt idx="0">
                  <c:v>Sumitomo</c:v>
                </c:pt>
              </c:strCache>
            </c:strRef>
          </c:tx>
          <c:cat>
            <c:strRef>
              <c:f>'Charts for slides'!$AD$205:$AV$205</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'OC vendors'!$C$23:$U$23</c:f>
              <c:numCache>
                <c:formatCode>"$"#,##0_);\("$"#,##0\)</c:formatCode>
                <c:ptCount val="11"/>
              </c:numCache>
            </c:numRef>
          </c:val>
          <c:smooth val="0"/>
          <c:extLst>
            <c:ext xmlns:c16="http://schemas.microsoft.com/office/drawing/2014/chart" uri="{C3380CC4-5D6E-409C-BE32-E72D297353CC}">
              <c16:uniqueId val="{00000005-1E3E-2C40-BB0D-D1D96FCC9D93}"/>
            </c:ext>
          </c:extLst>
        </c:ser>
        <c:dLbls>
          <c:showLegendKey val="0"/>
          <c:showVal val="0"/>
          <c:showCatName val="0"/>
          <c:showSerName val="0"/>
          <c:showPercent val="0"/>
          <c:showBubbleSize val="0"/>
        </c:dLbls>
        <c:marker val="1"/>
        <c:smooth val="0"/>
        <c:axId val="72112384"/>
        <c:axId val="72130560"/>
      </c:lineChart>
      <c:catAx>
        <c:axId val="72112384"/>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72130560"/>
        <c:crosses val="autoZero"/>
        <c:auto val="1"/>
        <c:lblAlgn val="ctr"/>
        <c:lblOffset val="100"/>
        <c:tickLblSkip val="1"/>
        <c:noMultiLvlLbl val="0"/>
      </c:catAx>
      <c:valAx>
        <c:axId val="72130560"/>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72112384"/>
        <c:crosses val="autoZero"/>
        <c:crossBetween val="midCat"/>
      </c:valAx>
    </c:plotArea>
    <c:legend>
      <c:legendPos val="r"/>
      <c:layout>
        <c:manualLayout>
          <c:xMode val="edge"/>
          <c:yMode val="edge"/>
          <c:x val="0.82529015329128952"/>
          <c:y val="0.11582635291196809"/>
          <c:w val="0.17241980779037472"/>
          <c:h val="0.70388002699287011"/>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 company revenues</a:t>
            </a:r>
          </a:p>
        </c:rich>
      </c:tx>
      <c:layout>
        <c:manualLayout>
          <c:xMode val="edge"/>
          <c:yMode val="edge"/>
          <c:x val="0.29562965697510296"/>
          <c:y val="8.9115208773427393E-3"/>
        </c:manualLayout>
      </c:layout>
      <c:overlay val="0"/>
    </c:title>
    <c:autoTitleDeleted val="0"/>
    <c:plotArea>
      <c:layout>
        <c:manualLayout>
          <c:layoutTarget val="inner"/>
          <c:xMode val="edge"/>
          <c:yMode val="edge"/>
          <c:x val="0.13708739350115884"/>
          <c:y val="0.19085916534134106"/>
          <c:w val="0.83417409303506573"/>
          <c:h val="0.63744547574011345"/>
        </c:manualLayout>
      </c:layout>
      <c:lineChart>
        <c:grouping val="standard"/>
        <c:varyColors val="0"/>
        <c:ser>
          <c:idx val="5"/>
          <c:order val="0"/>
          <c:tx>
            <c:strRef>
              <c:f>'Network equip'!$B$13</c:f>
              <c:strCache>
                <c:ptCount val="1"/>
                <c:pt idx="0">
                  <c:v>Fujitsu </c:v>
                </c:pt>
              </c:strCache>
            </c:strRef>
          </c:tx>
          <c:marker>
            <c:symbol val="diamond"/>
            <c:size val="7"/>
            <c:spPr>
              <a:solidFill>
                <a:schemeClr val="accent6"/>
              </a:solidFill>
            </c:spPr>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equip'!$C$13:$U$13</c:f>
              <c:numCache>
                <c:formatCode>"$"#,##0_);\("$"#,##0\)</c:formatCode>
                <c:ptCount val="11"/>
              </c:numCache>
            </c:numRef>
          </c:val>
          <c:smooth val="0"/>
          <c:extLst>
            <c:ext xmlns:c16="http://schemas.microsoft.com/office/drawing/2014/chart" uri="{C3380CC4-5D6E-409C-BE32-E72D297353CC}">
              <c16:uniqueId val="{00000000-9BAF-2246-AB31-F7857A7E114C}"/>
            </c:ext>
          </c:extLst>
        </c:ser>
        <c:ser>
          <c:idx val="3"/>
          <c:order val="1"/>
          <c:tx>
            <c:strRef>
              <c:f>'Network equip'!$B$10</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equip'!$C$10:$U$10</c:f>
              <c:numCache>
                <c:formatCode>"$"#,##0_);\("$"#,##0\)</c:formatCode>
                <c:ptCount val="11"/>
              </c:numCache>
            </c:numRef>
          </c:val>
          <c:smooth val="0"/>
          <c:extLst>
            <c:ext xmlns:c16="http://schemas.microsoft.com/office/drawing/2014/chart" uri="{C3380CC4-5D6E-409C-BE32-E72D297353CC}">
              <c16:uniqueId val="{00000001-9BAF-2246-AB31-F7857A7E114C}"/>
            </c:ext>
          </c:extLst>
        </c:ser>
        <c:dLbls>
          <c:showLegendKey val="0"/>
          <c:showVal val="0"/>
          <c:showCatName val="0"/>
          <c:showSerName val="0"/>
          <c:showPercent val="0"/>
          <c:showBubbleSize val="0"/>
        </c:dLbls>
        <c:marker val="1"/>
        <c:smooth val="0"/>
        <c:axId val="73667712"/>
        <c:axId val="73669632"/>
      </c:lineChart>
      <c:dateAx>
        <c:axId val="7366771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73669632"/>
        <c:crosses val="autoZero"/>
        <c:auto val="0"/>
        <c:lblOffset val="100"/>
        <c:baseTimeUnit val="days"/>
        <c:majorUnit val="1"/>
      </c:dateAx>
      <c:valAx>
        <c:axId val="73669632"/>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73667712"/>
        <c:crosses val="autoZero"/>
        <c:crossBetween val="between"/>
      </c:valAx>
    </c:plotArea>
    <c:legend>
      <c:legendPos val="t"/>
      <c:layout>
        <c:manualLayout>
          <c:xMode val="edge"/>
          <c:yMode val="edge"/>
          <c:x val="0.3828333832904352"/>
          <c:y val="9.5932522244594587E-2"/>
          <c:w val="0.27342100362991206"/>
          <c:h val="8.328588123889788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115493602710579"/>
          <c:y val="0.15363626421697285"/>
          <c:w val="0.84820257628049067"/>
          <c:h val="0.69702719451735196"/>
        </c:manualLayout>
      </c:layout>
      <c:lineChart>
        <c:grouping val="standard"/>
        <c:varyColors val="0"/>
        <c:ser>
          <c:idx val="0"/>
          <c:order val="0"/>
          <c:tx>
            <c:strRef>
              <c:f>'Charts for slides'!$AY$48</c:f>
              <c:strCache>
                <c:ptCount val="1"/>
                <c:pt idx="0">
                  <c:v>Non-Chinese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slides'!$F$48:$AV$48</c:f>
              <c:numCache>
                <c:formatCode>_("$"* #,##0_);_("$"* \(#,##0\);_("$"* "-"??_);_(@_)</c:formatCode>
                <c:ptCount val="43"/>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228.73876071238101</c:v>
                </c:pt>
                <c:pt idx="25">
                  <c:v>230.5906576388499</c:v>
                </c:pt>
                <c:pt idx="26">
                  <c:v>236.57762994886406</c:v>
                </c:pt>
                <c:pt idx="27">
                  <c:v>237.84934674704061</c:v>
                </c:pt>
                <c:pt idx="28">
                  <c:v>226.70066207906865</c:v>
                </c:pt>
                <c:pt idx="29">
                  <c:v>229.51305287820603</c:v>
                </c:pt>
                <c:pt idx="30">
                  <c:v>234.92302799245923</c:v>
                </c:pt>
                <c:pt idx="31">
                  <c:v>246.49455513202304</c:v>
                </c:pt>
                <c:pt idx="32">
                  <c:v>0</c:v>
                </c:pt>
                <c:pt idx="33">
                  <c:v>0</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0-7C9F-DD4A-B0B3-693715610665}"/>
            </c:ext>
          </c:extLst>
        </c:ser>
        <c:ser>
          <c:idx val="1"/>
          <c:order val="1"/>
          <c:tx>
            <c:strRef>
              <c:f>'Charts for slides'!$AY$45</c:f>
              <c:strCache>
                <c:ptCount val="1"/>
                <c:pt idx="0">
                  <c:v>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slides'!$F$45:$AV$45</c:f>
              <c:numCache>
                <c:formatCode>_("$"* #,##0_);_("$"* \(#,##0\);_("$"* "-"??_);_(@_)</c:formatCode>
                <c:ptCount val="43"/>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0</c:v>
                </c:pt>
                <c:pt idx="33">
                  <c:v>0</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73709440"/>
        <c:axId val="73710976"/>
      </c:lineChart>
      <c:catAx>
        <c:axId val="73709440"/>
        <c:scaling>
          <c:orientation val="minMax"/>
        </c:scaling>
        <c:delete val="0"/>
        <c:axPos val="b"/>
        <c:numFmt formatCode="General" sourceLinked="1"/>
        <c:majorTickMark val="out"/>
        <c:minorTickMark val="none"/>
        <c:tickLblPos val="nextTo"/>
        <c:crossAx val="73710976"/>
        <c:crosses val="autoZero"/>
        <c:auto val="1"/>
        <c:lblAlgn val="ctr"/>
        <c:lblOffset val="100"/>
        <c:noMultiLvlLbl val="0"/>
      </c:catAx>
      <c:valAx>
        <c:axId val="73710976"/>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73709440"/>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slides'!$AY$49</c:f>
              <c:strCache>
                <c:ptCount val="1"/>
                <c:pt idx="0">
                  <c:v>Non-Chinese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slides'!$F$49:$AV$49</c:f>
              <c:numCache>
                <c:formatCode>_("$"* #,##0_);_("$"* \(#,##0\);_("$"* "-"??_);_(@_)</c:formatCode>
                <c:ptCount val="43"/>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33.344562107929804</c:v>
                </c:pt>
                <c:pt idx="25">
                  <c:v>30.001793421796279</c:v>
                </c:pt>
                <c:pt idx="26">
                  <c:v>31.953243489379485</c:v>
                </c:pt>
                <c:pt idx="27">
                  <c:v>37.89431667361913</c:v>
                </c:pt>
                <c:pt idx="28">
                  <c:v>33.999575105891168</c:v>
                </c:pt>
                <c:pt idx="29">
                  <c:v>32.963237711034772</c:v>
                </c:pt>
                <c:pt idx="30">
                  <c:v>34.664380992314065</c:v>
                </c:pt>
                <c:pt idx="31">
                  <c:v>37.584860139853269</c:v>
                </c:pt>
                <c:pt idx="32">
                  <c:v>0</c:v>
                </c:pt>
                <c:pt idx="33">
                  <c:v>0</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1-FE55-3E46-AD52-8BB438DD3885}"/>
            </c:ext>
          </c:extLst>
        </c:ser>
        <c:ser>
          <c:idx val="1"/>
          <c:order val="1"/>
          <c:tx>
            <c:strRef>
              <c:f>'Charts for slides'!$AY$46</c:f>
              <c:strCache>
                <c:ptCount val="1"/>
                <c:pt idx="0">
                  <c:v>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slides'!$F$46:$AV$46</c:f>
              <c:numCache>
                <c:formatCode>_("$"* #,##0_);_("$"* \(#,##0\);_("$"* "-"??_);_(@_)</c:formatCode>
                <c:ptCount val="43"/>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0</c:v>
                </c:pt>
                <c:pt idx="33">
                  <c:v>0</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74412032"/>
        <c:axId val="74413568"/>
      </c:lineChart>
      <c:catAx>
        <c:axId val="74412032"/>
        <c:scaling>
          <c:orientation val="minMax"/>
        </c:scaling>
        <c:delete val="0"/>
        <c:axPos val="b"/>
        <c:numFmt formatCode="General" sourceLinked="1"/>
        <c:majorTickMark val="out"/>
        <c:minorTickMark val="none"/>
        <c:tickLblPos val="nextTo"/>
        <c:crossAx val="74413568"/>
        <c:crosses val="autoZero"/>
        <c:auto val="1"/>
        <c:lblAlgn val="ctr"/>
        <c:lblOffset val="100"/>
        <c:noMultiLvlLbl val="0"/>
      </c:catAx>
      <c:valAx>
        <c:axId val="74413568"/>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74412032"/>
        <c:crosses val="autoZero"/>
        <c:crossBetween val="between"/>
      </c:valAx>
    </c:plotArea>
    <c:legend>
      <c:legendPos val="t"/>
      <c:legendEntry>
        <c:idx val="2"/>
        <c:delete val="1"/>
      </c:legendEntry>
      <c:legendEntry>
        <c:idx val="3"/>
        <c:delete val="1"/>
      </c:legendEntry>
      <c:layout>
        <c:manualLayout>
          <c:xMode val="edge"/>
          <c:yMode val="edge"/>
          <c:x val="0.25660395006972275"/>
          <c:y val="0.30803348713455664"/>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03E-2"/>
          <c:y val="7.45487022455526E-2"/>
          <c:w val="0.86856399108463278"/>
          <c:h val="0.74903319044827243"/>
        </c:manualLayout>
      </c:layout>
      <c:barChart>
        <c:barDir val="col"/>
        <c:grouping val="clustered"/>
        <c:varyColors val="0"/>
        <c:ser>
          <c:idx val="0"/>
          <c:order val="0"/>
          <c:invertIfNegative val="0"/>
          <c:trendline>
            <c:trendlineType val="linear"/>
            <c:dispRSqr val="0"/>
            <c:dispEq val="0"/>
          </c:trendline>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slides'!$N$211:$AN$211</c:f>
              <c:numCache>
                <c:formatCode>0.0%</c:formatCode>
                <c:ptCount val="27"/>
                <c:pt idx="0">
                  <c:v>0.63985528044058015</c:v>
                </c:pt>
                <c:pt idx="1">
                  <c:v>0.57976731741642262</c:v>
                </c:pt>
                <c:pt idx="2">
                  <c:v>0.5930538417933906</c:v>
                </c:pt>
                <c:pt idx="3">
                  <c:v>0.56355400981803228</c:v>
                </c:pt>
                <c:pt idx="4">
                  <c:v>0.57515450157446035</c:v>
                </c:pt>
                <c:pt idx="5">
                  <c:v>0.57958876653470359</c:v>
                </c:pt>
                <c:pt idx="6">
                  <c:v>0.58210788841452488</c:v>
                </c:pt>
                <c:pt idx="7">
                  <c:v>0.5551162461533008</c:v>
                </c:pt>
                <c:pt idx="8">
                  <c:v>0.52144953617564638</c:v>
                </c:pt>
                <c:pt idx="9">
                  <c:v>0.51231869519740603</c:v>
                </c:pt>
                <c:pt idx="10">
                  <c:v>0.4986127156394155</c:v>
                </c:pt>
                <c:pt idx="11">
                  <c:v>0.51178222552939734</c:v>
                </c:pt>
                <c:pt idx="12">
                  <c:v>0.46803560592802579</c:v>
                </c:pt>
                <c:pt idx="13">
                  <c:v>0.4623480891840841</c:v>
                </c:pt>
                <c:pt idx="14">
                  <c:v>0.45050844139558965</c:v>
                </c:pt>
                <c:pt idx="15">
                  <c:v>0.43807726514848122</c:v>
                </c:pt>
                <c:pt idx="16">
                  <c:v>0.45714172823810872</c:v>
                </c:pt>
                <c:pt idx="17">
                  <c:v>0.44362481045698127</c:v>
                </c:pt>
                <c:pt idx="18">
                  <c:v>0.44161009178664684</c:v>
                </c:pt>
                <c:pt idx="19">
                  <c:v>0.43728056478532806</c:v>
                </c:pt>
                <c:pt idx="20">
                  <c:v>0.41548030435609634</c:v>
                </c:pt>
                <c:pt idx="21">
                  <c:v>0.41044215160334502</c:v>
                </c:pt>
                <c:pt idx="22">
                  <c:v>0.40398313230842936</c:v>
                </c:pt>
                <c:pt idx="23">
                  <c:v>0.44105304566149373</c:v>
                </c:pt>
              </c:numCache>
            </c:numRef>
          </c:val>
          <c:extLst>
            <c:ext xmlns:c16="http://schemas.microsoft.com/office/drawing/2014/chart" uri="{C3380CC4-5D6E-409C-BE32-E72D297353CC}">
              <c16:uniqueId val="{00000001-B6E0-414F-9EAF-81DE8CA15B1F}"/>
            </c:ext>
          </c:extLst>
        </c:ser>
        <c:ser>
          <c:idx val="1"/>
          <c:order val="1"/>
          <c:invertIfNegative val="0"/>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slides'!$N$212:$AR$212</c:f>
              <c:numCache>
                <c:formatCode>General</c:formatCode>
                <c:ptCount val="31"/>
                <c:pt idx="24" formatCode="0.0%">
                  <c:v>0</c:v>
                </c:pt>
                <c:pt idx="25" formatCode="0.0%">
                  <c:v>0</c:v>
                </c:pt>
                <c:pt idx="26" formatCode="0.0%">
                  <c:v>0</c:v>
                </c:pt>
                <c:pt idx="27" formatCode="0.0%">
                  <c:v>0</c:v>
                </c:pt>
                <c:pt idx="28" formatCode="0.0%">
                  <c:v>0</c:v>
                </c:pt>
                <c:pt idx="29" formatCode="0.0%">
                  <c:v>0</c:v>
                </c:pt>
                <c:pt idx="30" formatCode="0.0%">
                  <c:v>0</c:v>
                </c:pt>
              </c:numCache>
            </c:numRef>
          </c:val>
          <c:extLst>
            <c:ext xmlns:c16="http://schemas.microsoft.com/office/drawing/2014/chart" uri="{C3380CC4-5D6E-409C-BE32-E72D297353CC}">
              <c16:uniqueId val="{00000002-B6E0-414F-9EAF-81DE8CA15B1F}"/>
            </c:ext>
          </c:extLst>
        </c:ser>
        <c:dLbls>
          <c:showLegendKey val="0"/>
          <c:showVal val="0"/>
          <c:showCatName val="0"/>
          <c:showSerName val="0"/>
          <c:showPercent val="0"/>
          <c:showBubbleSize val="0"/>
        </c:dLbls>
        <c:gapWidth val="150"/>
        <c:axId val="74455296"/>
        <c:axId val="74457088"/>
      </c:barChart>
      <c:catAx>
        <c:axId val="74455296"/>
        <c:scaling>
          <c:orientation val="minMax"/>
        </c:scaling>
        <c:delete val="0"/>
        <c:axPos val="b"/>
        <c:numFmt formatCode="General" sourceLinked="0"/>
        <c:majorTickMark val="out"/>
        <c:minorTickMark val="none"/>
        <c:tickLblPos val="nextTo"/>
        <c:txPr>
          <a:bodyPr/>
          <a:lstStyle/>
          <a:p>
            <a:pPr>
              <a:defRPr sz="1000"/>
            </a:pPr>
            <a:endParaRPr lang="en-US"/>
          </a:p>
        </c:txPr>
        <c:crossAx val="74457088"/>
        <c:crosses val="autoZero"/>
        <c:auto val="1"/>
        <c:lblAlgn val="ctr"/>
        <c:lblOffset val="100"/>
        <c:noMultiLvlLbl val="0"/>
      </c:catAx>
      <c:valAx>
        <c:axId val="74457088"/>
        <c:scaling>
          <c:orientation val="minMax"/>
          <c:min val="0.3"/>
        </c:scaling>
        <c:delete val="0"/>
        <c:axPos val="l"/>
        <c:majorGridlines/>
        <c:numFmt formatCode="0%" sourceLinked="0"/>
        <c:majorTickMark val="out"/>
        <c:minorTickMark val="none"/>
        <c:tickLblPos val="nextTo"/>
        <c:crossAx val="74455296"/>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Small company revenues</a:t>
            </a:r>
          </a:p>
        </c:rich>
      </c:tx>
      <c:layout>
        <c:manualLayout>
          <c:xMode val="edge"/>
          <c:yMode val="edge"/>
          <c:x val="0.32229515478796511"/>
          <c:y val="1.3367281316014109E-2"/>
        </c:manualLayout>
      </c:layout>
      <c:overlay val="0"/>
    </c:title>
    <c:autoTitleDeleted val="0"/>
    <c:plotArea>
      <c:layout>
        <c:manualLayout>
          <c:layoutTarget val="inner"/>
          <c:xMode val="edge"/>
          <c:yMode val="edge"/>
          <c:x val="0.12313423056407005"/>
          <c:y val="0.21759372797336929"/>
          <c:w val="0.84907168478383543"/>
          <c:h val="0.61498580998181562"/>
        </c:manualLayout>
      </c:layout>
      <c:lineChart>
        <c:grouping val="standard"/>
        <c:varyColors val="0"/>
        <c:ser>
          <c:idx val="7"/>
          <c:order val="0"/>
          <c:tx>
            <c:strRef>
              <c:f>'Network equip'!$B$15</c:f>
              <c:strCache>
                <c:ptCount val="1"/>
                <c:pt idx="0">
                  <c:v>Infinera</c:v>
                </c:pt>
              </c:strCache>
            </c:strRef>
          </c:tx>
          <c:marker>
            <c:symbol val="circle"/>
            <c:size val="6"/>
          </c:marker>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equip'!$C$15:$U$15</c:f>
              <c:numCache>
                <c:formatCode>"$"#,##0_);\("$"#,##0\)</c:formatCode>
                <c:ptCount val="11"/>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equip'!$C$9:$U$9</c:f>
              <c:numCache>
                <c:formatCode>"$"#,##0_);\("$"#,##0\)</c:formatCode>
                <c:ptCount val="11"/>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'Network equip'!$C$8:$U$8</c:f>
              <c:numCache>
                <c:formatCode>"$"#,##0_);\("$"#,##0\)</c:formatCode>
                <c:ptCount val="11"/>
              </c:numCache>
            </c:numRef>
          </c:val>
          <c:smooth val="0"/>
          <c:extLst>
            <c:ext xmlns:c16="http://schemas.microsoft.com/office/drawing/2014/chart" uri="{C3380CC4-5D6E-409C-BE32-E72D297353CC}">
              <c16:uniqueId val="{00000002-8969-A14C-ACB3-9AD25998A77E}"/>
            </c:ext>
          </c:extLst>
        </c:ser>
        <c:dLbls>
          <c:showLegendKey val="0"/>
          <c:showVal val="0"/>
          <c:showCatName val="0"/>
          <c:showSerName val="0"/>
          <c:showPercent val="0"/>
          <c:showBubbleSize val="0"/>
        </c:dLbls>
        <c:marker val="1"/>
        <c:smooth val="0"/>
        <c:axId val="74470144"/>
        <c:axId val="74471680"/>
      </c:lineChart>
      <c:dateAx>
        <c:axId val="74470144"/>
        <c:scaling>
          <c:orientation val="minMax"/>
        </c:scaling>
        <c:delete val="0"/>
        <c:axPos val="b"/>
        <c:numFmt formatCode="General" sourceLinked="0"/>
        <c:majorTickMark val="out"/>
        <c:minorTickMark val="none"/>
        <c:tickLblPos val="nextTo"/>
        <c:txPr>
          <a:bodyPr rot="0"/>
          <a:lstStyle/>
          <a:p>
            <a:pPr>
              <a:defRPr/>
            </a:pPr>
            <a:endParaRPr lang="en-US"/>
          </a:p>
        </c:txPr>
        <c:crossAx val="74471680"/>
        <c:crosses val="autoZero"/>
        <c:auto val="0"/>
        <c:lblOffset val="100"/>
        <c:baseTimeUnit val="days"/>
        <c:majorUnit val="1"/>
      </c:dateAx>
      <c:valAx>
        <c:axId val="74471680"/>
        <c:scaling>
          <c:orientation val="minMax"/>
        </c:scaling>
        <c:delete val="0"/>
        <c:axPos val="l"/>
        <c:majorGridlines/>
        <c:title>
          <c:tx>
            <c:rich>
              <a:bodyPr rot="-5400000" vert="horz"/>
              <a:lstStyle/>
              <a:p>
                <a:pPr>
                  <a:defRPr/>
                </a:pPr>
                <a:r>
                  <a:rPr lang="en-US"/>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crossAx val="74470144"/>
        <c:crosses val="autoZero"/>
        <c:crossBetween val="between"/>
      </c:valAx>
    </c:plotArea>
    <c:legend>
      <c:legendPos val="t"/>
      <c:layout>
        <c:manualLayout>
          <c:xMode val="edge"/>
          <c:yMode val="edge"/>
          <c:x val="0.29921673757307488"/>
          <c:y val="9.1476761805923221E-2"/>
          <c:w val="0.39740294864660414"/>
          <c:h val="0.11893196474826884"/>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56334453413372"/>
          <c:y val="0.11829457063995701"/>
          <c:w val="0.83694398042353291"/>
          <c:h val="0.66787534788649716"/>
        </c:manualLayout>
      </c:layout>
      <c:barChart>
        <c:barDir val="col"/>
        <c:grouping val="clustered"/>
        <c:varyColors val="0"/>
        <c:ser>
          <c:idx val="0"/>
          <c:order val="0"/>
          <c:tx>
            <c:strRef>
              <c:f>Summary!$B$174</c:f>
              <c:strCache>
                <c:ptCount val="1"/>
                <c:pt idx="0">
                  <c:v>DWDM 10G</c:v>
                </c:pt>
              </c:strCache>
            </c:strRef>
          </c:tx>
          <c:invertIfNegative val="0"/>
          <c:cat>
            <c:strRef>
              <c:f>Summary!$S$171:$AH$171</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Summary!$S$174:$AH$174</c:f>
              <c:numCache>
                <c:formatCode>_("$"* #,##0.0_);_("$"* \(#,##0.0\);_("$"* "-"??_);_(@_)</c:formatCode>
                <c:ptCount val="16"/>
                <c:pt idx="0">
                  <c:v>61.883428881190348</c:v>
                </c:pt>
                <c:pt idx="1">
                  <c:v>61.156011132712379</c:v>
                </c:pt>
                <c:pt idx="2">
                  <c:v>56.969980131121275</c:v>
                </c:pt>
                <c:pt idx="3">
                  <c:v>51.812621765972771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1AA-AF46-A7CA-A7D6308B3917}"/>
            </c:ext>
          </c:extLst>
        </c:ser>
        <c:ser>
          <c:idx val="2"/>
          <c:order val="1"/>
          <c:tx>
            <c:strRef>
              <c:f>Summary!$B$176</c:f>
              <c:strCache>
                <c:ptCount val="1"/>
                <c:pt idx="0">
                  <c:v>DWDM 100G and above</c:v>
                </c:pt>
              </c:strCache>
            </c:strRef>
          </c:tx>
          <c:invertIfNegative val="0"/>
          <c:cat>
            <c:strRef>
              <c:f>Summary!$S$171:$AH$171</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Summary!$S$176:$AH$176</c:f>
              <c:numCache>
                <c:formatCode>_("$"* #,##0.0_);_("$"* \(#,##0.0\);_("$"* "-"??_);_(@_)</c:formatCode>
                <c:ptCount val="16"/>
                <c:pt idx="0">
                  <c:v>184.87078</c:v>
                </c:pt>
                <c:pt idx="1">
                  <c:v>176.35138000000001</c:v>
                </c:pt>
                <c:pt idx="2">
                  <c:v>174.736537</c:v>
                </c:pt>
                <c:pt idx="3">
                  <c:v>154.51026200000001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A1AA-AF46-A7CA-A7D6308B3917}"/>
            </c:ext>
          </c:extLst>
        </c:ser>
        <c:dLbls>
          <c:showLegendKey val="0"/>
          <c:showVal val="0"/>
          <c:showCatName val="0"/>
          <c:showSerName val="0"/>
          <c:showPercent val="0"/>
          <c:showBubbleSize val="0"/>
        </c:dLbls>
        <c:gapWidth val="150"/>
        <c:axId val="129458560"/>
        <c:axId val="129460480"/>
      </c:barChart>
      <c:catAx>
        <c:axId val="12945856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29460480"/>
        <c:crosses val="autoZero"/>
        <c:auto val="1"/>
        <c:lblAlgn val="ctr"/>
        <c:lblOffset val="100"/>
        <c:noMultiLvlLbl val="0"/>
      </c:catAx>
      <c:valAx>
        <c:axId val="129460480"/>
        <c:scaling>
          <c:orientation val="minMax"/>
          <c:max val="200"/>
        </c:scaling>
        <c:delete val="0"/>
        <c:axPos val="l"/>
        <c:majorGridlines/>
        <c:title>
          <c:tx>
            <c:rich>
              <a:bodyPr rot="-5400000" vert="horz"/>
              <a:lstStyle/>
              <a:p>
                <a:pPr>
                  <a:defRPr sz="1400" b="0"/>
                </a:pPr>
                <a:r>
                  <a:rPr lang="en-US" sz="1400" b="0"/>
                  <a:t>Sales ($M)</a:t>
                </a:r>
              </a:p>
            </c:rich>
          </c:tx>
          <c:layout>
            <c:manualLayout>
              <c:xMode val="edge"/>
              <c:yMode val="edge"/>
              <c:x val="1.6116921553103351E-2"/>
              <c:y val="0.34053694374219839"/>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29458560"/>
        <c:crosses val="autoZero"/>
        <c:crossBetween val="between"/>
        <c:majorUnit val="50"/>
      </c:valAx>
    </c:plotArea>
    <c:legend>
      <c:legendPos val="t"/>
      <c:layout>
        <c:manualLayout>
          <c:xMode val="edge"/>
          <c:yMode val="edge"/>
          <c:x val="0.15669755109036501"/>
          <c:y val="2.11640152858628E-2"/>
          <c:w val="0.77864921814350696"/>
          <c:h val="6.4318897637795303E-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79232484931"/>
          <c:y val="5.4590071946599428E-2"/>
          <c:w val="0.81881220302782964"/>
          <c:h val="0.7428611358114392"/>
        </c:manualLayout>
      </c:layout>
      <c:barChart>
        <c:barDir val="col"/>
        <c:grouping val="clustered"/>
        <c:varyColors val="0"/>
        <c:ser>
          <c:idx val="0"/>
          <c:order val="0"/>
          <c:tx>
            <c:strRef>
              <c:f>'Charts for slides'!$E$70</c:f>
              <c:strCache>
                <c:ptCount val="1"/>
                <c:pt idx="0">
                  <c:v>Revenues ($ bn)</c:v>
                </c:pt>
              </c:strCache>
            </c:strRef>
          </c:tx>
          <c:invertIfNegative val="0"/>
          <c:trendline>
            <c:spPr>
              <a:ln w="25400"/>
            </c:spPr>
            <c:trendlineType val="linear"/>
            <c:dispRSqr val="0"/>
            <c:dispEq val="0"/>
          </c:trendline>
          <c:cat>
            <c:strRef>
              <c:f>'Charts for slides'!$AD$69:$AV$69</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'Charts for slides'!$AD$70:$AV$70</c:f>
              <c:numCache>
                <c:formatCode>_("$"* #,##0_);_("$"* \(#,##0\);_("$"* "-"??_);_(@_)</c:formatCode>
                <c:ptCount val="19"/>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74489856"/>
        <c:axId val="74491392"/>
      </c:barChart>
      <c:dateAx>
        <c:axId val="74489856"/>
        <c:scaling>
          <c:orientation val="minMax"/>
        </c:scaling>
        <c:delete val="0"/>
        <c:axPos val="b"/>
        <c:numFmt formatCode="General" sourceLinked="0"/>
        <c:majorTickMark val="out"/>
        <c:minorTickMark val="none"/>
        <c:tickLblPos val="nextTo"/>
        <c:txPr>
          <a:bodyPr/>
          <a:lstStyle/>
          <a:p>
            <a:pPr>
              <a:defRPr sz="1100"/>
            </a:pPr>
            <a:endParaRPr lang="en-US"/>
          </a:p>
        </c:txPr>
        <c:crossAx val="74491392"/>
        <c:crosses val="autoZero"/>
        <c:auto val="0"/>
        <c:lblOffset val="100"/>
        <c:baseTimeUnit val="days"/>
        <c:majorUnit val="1"/>
      </c:dateAx>
      <c:valAx>
        <c:axId val="74491392"/>
        <c:scaling>
          <c:orientation val="minMax"/>
        </c:scaling>
        <c:delete val="0"/>
        <c:axPos val="l"/>
        <c:majorGridlines/>
        <c:title>
          <c:tx>
            <c:rich>
              <a:bodyPr rot="-5400000" vert="horz"/>
              <a:lstStyle/>
              <a:p>
                <a:pPr>
                  <a:defRPr sz="1200" b="0"/>
                </a:pPr>
                <a:r>
                  <a:rPr lang="en-US" sz="1200" b="0"/>
                  <a:t>$ billion</a:t>
                </a:r>
              </a:p>
            </c:rich>
          </c:tx>
          <c:layout>
            <c:manualLayout>
              <c:xMode val="edge"/>
              <c:yMode val="edge"/>
              <c:x val="1.8874890638670198E-2"/>
              <c:y val="0.376925123942841"/>
            </c:manualLayout>
          </c:layout>
          <c:overlay val="0"/>
        </c:title>
        <c:numFmt formatCode="&quot;$&quot;#,##0_);\(&quot;$&quot;#,##0\)" sourceLinked="0"/>
        <c:majorTickMark val="out"/>
        <c:minorTickMark val="none"/>
        <c:tickLblPos val="nextTo"/>
        <c:txPr>
          <a:bodyPr/>
          <a:lstStyle/>
          <a:p>
            <a:pPr>
              <a:defRPr sz="1200"/>
            </a:pPr>
            <a:endParaRPr lang="en-US"/>
          </a:p>
        </c:txPr>
        <c:crossAx val="74489856"/>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41893880969601"/>
          <c:y val="5.1400554097404488E-2"/>
          <c:w val="0.80934234577059871"/>
          <c:h val="0.88331000291630213"/>
        </c:manualLayout>
      </c:layout>
      <c:lineChart>
        <c:grouping val="standard"/>
        <c:varyColors val="0"/>
        <c:ser>
          <c:idx val="0"/>
          <c:order val="0"/>
          <c:cat>
            <c:strRef>
              <c:f>'Charts for slides'!$AD$129:$AV$129</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'Charts for slides'!$AD$145:$AV$145</c:f>
              <c:numCache>
                <c:formatCode>0%</c:formatCode>
                <c:ptCount val="19"/>
                <c:pt idx="0">
                  <c:v>2.8290971668309961E-2</c:v>
                </c:pt>
                <c:pt idx="1">
                  <c:v>1.5166896186935785E-2</c:v>
                </c:pt>
                <c:pt idx="2">
                  <c:v>5.4293604723014921E-2</c:v>
                </c:pt>
                <c:pt idx="3">
                  <c:v>0.11071350638015387</c:v>
                </c:pt>
                <c:pt idx="4">
                  <c:v>6.8843086116063601E-2</c:v>
                </c:pt>
                <c:pt idx="5">
                  <c:v>8.5502815549127309E-2</c:v>
                </c:pt>
                <c:pt idx="6">
                  <c:v>9.8189974210571185E-2</c:v>
                </c:pt>
                <c:pt idx="7">
                  <c:v>0.12120278158017661</c:v>
                </c:pt>
                <c:pt idx="8">
                  <c:v>-1</c:v>
                </c:pt>
                <c:pt idx="9">
                  <c:v>-1</c:v>
                </c:pt>
                <c:pt idx="10">
                  <c:v>-1</c:v>
                </c:pt>
                <c:pt idx="11">
                  <c:v>-1</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4937-BB42-A263-0AE8B9130224}"/>
            </c:ext>
          </c:extLst>
        </c:ser>
        <c:dLbls>
          <c:showLegendKey val="0"/>
          <c:showVal val="0"/>
          <c:showCatName val="0"/>
          <c:showSerName val="0"/>
          <c:showPercent val="0"/>
          <c:showBubbleSize val="0"/>
        </c:dLbls>
        <c:marker val="1"/>
        <c:smooth val="0"/>
        <c:axId val="74601984"/>
        <c:axId val="74603520"/>
      </c:lineChart>
      <c:catAx>
        <c:axId val="74601984"/>
        <c:scaling>
          <c:orientation val="minMax"/>
        </c:scaling>
        <c:delete val="0"/>
        <c:axPos val="b"/>
        <c:numFmt formatCode="General" sourceLinked="0"/>
        <c:majorTickMark val="out"/>
        <c:minorTickMark val="none"/>
        <c:tickLblPos val="nextTo"/>
        <c:crossAx val="74603520"/>
        <c:crosses val="autoZero"/>
        <c:auto val="1"/>
        <c:lblAlgn val="ctr"/>
        <c:lblOffset val="100"/>
        <c:noMultiLvlLbl val="0"/>
      </c:catAx>
      <c:valAx>
        <c:axId val="74603520"/>
        <c:scaling>
          <c:orientation val="minMax"/>
        </c:scaling>
        <c:delete val="0"/>
        <c:axPos val="l"/>
        <c:majorGridlines/>
        <c:title>
          <c:tx>
            <c:rich>
              <a:bodyPr rot="-5400000" vert="horz"/>
              <a:lstStyle/>
              <a:p>
                <a:pPr>
                  <a:defRPr/>
                </a:pPr>
                <a:r>
                  <a:rPr lang="en-US"/>
                  <a:t>Quarterly sales growth (y-o-y)</a:t>
                </a:r>
              </a:p>
            </c:rich>
          </c:tx>
          <c:layout>
            <c:manualLayout>
              <c:xMode val="edge"/>
              <c:yMode val="edge"/>
              <c:x val="1.9577474308621477E-2"/>
              <c:y val="0.18680555555555556"/>
            </c:manualLayout>
          </c:layout>
          <c:overlay val="0"/>
        </c:title>
        <c:numFmt formatCode="0%" sourceLinked="1"/>
        <c:majorTickMark val="out"/>
        <c:minorTickMark val="none"/>
        <c:tickLblPos val="nextTo"/>
        <c:crossAx val="7460198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growth rate</a:t>
            </a:r>
          </a:p>
        </c:rich>
      </c:tx>
      <c:overlay val="0"/>
    </c:title>
    <c:autoTitleDeleted val="0"/>
    <c:plotArea>
      <c:layout>
        <c:manualLayout>
          <c:layoutTarget val="inner"/>
          <c:xMode val="edge"/>
          <c:yMode val="edge"/>
          <c:x val="0.14653739182351272"/>
          <c:y val="0.16066819857018899"/>
          <c:w val="0.82474947241795138"/>
          <c:h val="0.64720981300038938"/>
        </c:manualLayout>
      </c:layout>
      <c:barChart>
        <c:barDir val="col"/>
        <c:grouping val="clustered"/>
        <c:varyColors val="0"/>
        <c:ser>
          <c:idx val="0"/>
          <c:order val="0"/>
          <c:invertIfNegative val="0"/>
          <c:trendline>
            <c:trendlineType val="movingAvg"/>
            <c:period val="2"/>
            <c:dispRSqr val="0"/>
            <c:dispEq val="0"/>
          </c:trendline>
          <c:cat>
            <c:strRef>
              <c:f>'Charts for slides'!$J$93:$AV$93</c:f>
              <c:strCache>
                <c:ptCount val="3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strCache>
            </c:strRef>
          </c:cat>
          <c:val>
            <c:numRef>
              <c:f>'Charts for slides'!$J$98:$AV$98</c:f>
              <c:numCache>
                <c:formatCode>0.0%</c:formatCode>
                <c:ptCount val="39"/>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5.1063029884380162E-2</c:v>
                </c:pt>
                <c:pt idx="21">
                  <c:v>6.1951958225011428E-2</c:v>
                </c:pt>
                <c:pt idx="22">
                  <c:v>8.1946618196579779E-2</c:v>
                </c:pt>
                <c:pt idx="23">
                  <c:v>0.11559605524701944</c:v>
                </c:pt>
                <c:pt idx="24">
                  <c:v>0.15189720603821577</c:v>
                </c:pt>
                <c:pt idx="25">
                  <c:v>0.19349786286257364</c:v>
                </c:pt>
                <c:pt idx="26">
                  <c:v>0.2530713214778435</c:v>
                </c:pt>
                <c:pt idx="27">
                  <c:v>0.25778983275021705</c:v>
                </c:pt>
                <c:pt idx="28">
                  <c:v>-1</c:v>
                </c:pt>
                <c:pt idx="29">
                  <c:v>-1</c:v>
                </c:pt>
                <c:pt idx="30">
                  <c:v>-1</c:v>
                </c:pt>
                <c:pt idx="31">
                  <c:v>-1</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74633216"/>
        <c:axId val="74634752"/>
      </c:barChart>
      <c:catAx>
        <c:axId val="74633216"/>
        <c:scaling>
          <c:orientation val="minMax"/>
        </c:scaling>
        <c:delete val="0"/>
        <c:axPos val="b"/>
        <c:numFmt formatCode="General" sourceLinked="0"/>
        <c:majorTickMark val="out"/>
        <c:minorTickMark val="none"/>
        <c:tickLblPos val="nextTo"/>
        <c:crossAx val="74634752"/>
        <c:crossesAt val="0"/>
        <c:auto val="1"/>
        <c:lblAlgn val="ctr"/>
        <c:lblOffset val="100"/>
        <c:noMultiLvlLbl val="0"/>
      </c:catAx>
      <c:valAx>
        <c:axId val="74634752"/>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74633216"/>
        <c:crossesAt val="1"/>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3372295154288999"/>
          <c:y val="0.16066819857018899"/>
          <c:w val="0.83756401853973295"/>
          <c:h val="0.67036217993338998"/>
        </c:manualLayout>
      </c:layout>
      <c:barChart>
        <c:barDir val="col"/>
        <c:grouping val="clustered"/>
        <c:varyColors val="0"/>
        <c:ser>
          <c:idx val="0"/>
          <c:order val="0"/>
          <c:invertIfNegative val="0"/>
          <c:trendline>
            <c:trendlineType val="linear"/>
            <c:dispRSqr val="0"/>
            <c:dispEq val="0"/>
          </c:trendline>
          <c:cat>
            <c:strRef>
              <c:f>'Charts for slides'!$AD$93:$AV$93</c:f>
              <c:strCache>
                <c:ptCount val="1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strCache>
            </c:strRef>
          </c:cat>
          <c:val>
            <c:numRef>
              <c:f>'Charts for slides'!$AD$95:$AV$95</c:f>
              <c:numCache>
                <c:formatCode>_("$"* #,##0.0_);_("$"* \(#,##0.0\);_("$"* "-"??_);_(@_)</c:formatCode>
                <c:ptCount val="19"/>
                <c:pt idx="0">
                  <c:v>10.911260571218886</c:v>
                </c:pt>
                <c:pt idx="1">
                  <c:v>12.02631732035149</c:v>
                </c:pt>
                <c:pt idx="2">
                  <c:v>13.921135684273708</c:v>
                </c:pt>
                <c:pt idx="3">
                  <c:v>14.792237460642893</c:v>
                </c:pt>
                <c:pt idx="4">
                  <c:v>12.171444705882351</c:v>
                </c:pt>
                <c:pt idx="5">
                  <c:v>14.736698085308058</c:v>
                </c:pt>
                <c:pt idx="6">
                  <c:v>16.563925575311728</c:v>
                </c:pt>
                <c:pt idx="7">
                  <c:v>19.590559576800128</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74714112"/>
        <c:axId val="74724096"/>
      </c:barChart>
      <c:dateAx>
        <c:axId val="74714112"/>
        <c:scaling>
          <c:orientation val="minMax"/>
        </c:scaling>
        <c:delete val="0"/>
        <c:axPos val="b"/>
        <c:numFmt formatCode="General" sourceLinked="0"/>
        <c:majorTickMark val="out"/>
        <c:minorTickMark val="none"/>
        <c:tickLblPos val="nextTo"/>
        <c:crossAx val="74724096"/>
        <c:crosses val="autoZero"/>
        <c:auto val="0"/>
        <c:lblOffset val="100"/>
        <c:baseTimeUnit val="days"/>
        <c:majorUnit val="1"/>
      </c:dateAx>
      <c:valAx>
        <c:axId val="74724096"/>
        <c:scaling>
          <c:orientation val="minMax"/>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7471411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OC vendor sales growth (y-o-y)</a:t>
            </a:r>
          </a:p>
        </c:rich>
      </c:tx>
      <c:layout>
        <c:manualLayout>
          <c:xMode val="edge"/>
          <c:yMode val="edge"/>
          <c:x val="0.21789218655360387"/>
          <c:y val="2.7777777777777776E-2"/>
        </c:manualLayout>
      </c:layout>
      <c:overlay val="0"/>
    </c:title>
    <c:autoTitleDeleted val="0"/>
    <c:plotArea>
      <c:layout>
        <c:manualLayout>
          <c:layoutTarget val="inner"/>
          <c:xMode val="edge"/>
          <c:yMode val="edge"/>
          <c:x val="0.10547965526918276"/>
          <c:y val="0.14862277631962673"/>
          <c:w val="0.86215246052046002"/>
          <c:h val="0.67149360746979647"/>
        </c:manualLayout>
      </c:layout>
      <c:lineChart>
        <c:grouping val="standard"/>
        <c:varyColors val="0"/>
        <c:ser>
          <c:idx val="1"/>
          <c:order val="0"/>
          <c:cat>
            <c:strRef>
              <c:f>'OC vendors'!$C$7:$U$7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'OC vendors'!$C$25:$U$25</c:f>
              <c:numCache>
                <c:formatCode>0.0%</c:formatCode>
                <c:ptCount val="11"/>
                <c:pt idx="0">
                  <c:v>-1</c:v>
                </c:pt>
                <c:pt idx="1">
                  <c:v>-1</c:v>
                </c:pt>
                <c:pt idx="2">
                  <c:v>-1</c:v>
                </c:pt>
                <c:pt idx="3" formatCode="0.00%">
                  <c:v>-1</c:v>
                </c:pt>
                <c:pt idx="4" formatCode="0.00%">
                  <c:v>0</c:v>
                </c:pt>
                <c:pt idx="5" formatCode="0.00%">
                  <c:v>0</c:v>
                </c:pt>
                <c:pt idx="6" formatCode="0.00%">
                  <c:v>0</c:v>
                </c:pt>
                <c:pt idx="7" formatCode="0.00%">
                  <c:v>0</c:v>
                </c:pt>
                <c:pt idx="8" formatCode="0.00%">
                  <c:v>0</c:v>
                </c:pt>
                <c:pt idx="9" formatCode="0.00%">
                  <c:v>0</c:v>
                </c:pt>
                <c:pt idx="10" formatCode="0.00%">
                  <c:v>0</c:v>
                </c:pt>
              </c:numCache>
            </c:numRef>
          </c:val>
          <c:smooth val="0"/>
          <c:extLst>
            <c:ext xmlns:c16="http://schemas.microsoft.com/office/drawing/2014/chart" uri="{C3380CC4-5D6E-409C-BE32-E72D297353CC}">
              <c16:uniqueId val="{00000000-8895-E14B-B167-2089D0933672}"/>
            </c:ext>
          </c:extLst>
        </c:ser>
        <c:dLbls>
          <c:showLegendKey val="0"/>
          <c:showVal val="0"/>
          <c:showCatName val="0"/>
          <c:showSerName val="0"/>
          <c:showPercent val="0"/>
          <c:showBubbleSize val="0"/>
        </c:dLbls>
        <c:marker val="1"/>
        <c:smooth val="0"/>
        <c:axId val="74749056"/>
        <c:axId val="74750592"/>
      </c:lineChart>
      <c:catAx>
        <c:axId val="74749056"/>
        <c:scaling>
          <c:orientation val="minMax"/>
        </c:scaling>
        <c:delete val="0"/>
        <c:axPos val="b"/>
        <c:numFmt formatCode="General" sourceLinked="0"/>
        <c:majorTickMark val="out"/>
        <c:minorTickMark val="none"/>
        <c:tickLblPos val="nextTo"/>
        <c:txPr>
          <a:bodyPr/>
          <a:lstStyle/>
          <a:p>
            <a:pPr>
              <a:defRPr sz="1050"/>
            </a:pPr>
            <a:endParaRPr lang="en-US"/>
          </a:p>
        </c:txPr>
        <c:crossAx val="74750592"/>
        <c:crossesAt val="-10"/>
        <c:auto val="1"/>
        <c:lblAlgn val="ctr"/>
        <c:lblOffset val="100"/>
        <c:noMultiLvlLbl val="0"/>
      </c:catAx>
      <c:valAx>
        <c:axId val="74750592"/>
        <c:scaling>
          <c:orientation val="minMax"/>
        </c:scaling>
        <c:delete val="0"/>
        <c:axPos val="l"/>
        <c:majorGridlines/>
        <c:numFmt formatCode="0%" sourceLinked="0"/>
        <c:majorTickMark val="out"/>
        <c:minorTickMark val="none"/>
        <c:tickLblPos val="nextTo"/>
        <c:crossAx val="74749056"/>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a:t>
            </a:r>
            <a:r>
              <a:rPr lang="en-US" baseline="0"/>
              <a:t> vendors publicly reported</a:t>
            </a:r>
            <a:r>
              <a:rPr lang="en-US"/>
              <a:t> revenue</a:t>
            </a:r>
          </a:p>
        </c:rich>
      </c:tx>
      <c:overlay val="0"/>
    </c:title>
    <c:autoTitleDeleted val="0"/>
    <c:plotArea>
      <c:layout>
        <c:manualLayout>
          <c:layoutTarget val="inner"/>
          <c:xMode val="edge"/>
          <c:yMode val="edge"/>
          <c:x val="0.13691990240681798"/>
          <c:y val="0.13842500062475988"/>
          <c:w val="0.84128051925541303"/>
          <c:h val="0.68489280825643528"/>
        </c:manualLayout>
      </c:layout>
      <c:barChart>
        <c:barDir val="col"/>
        <c:grouping val="clustered"/>
        <c:varyColors val="0"/>
        <c:ser>
          <c:idx val="0"/>
          <c:order val="0"/>
          <c:tx>
            <c:strRef>
              <c:f>'Charts for slides'!$C$181</c:f>
              <c:strCache>
                <c:ptCount val="1"/>
              </c:strCache>
            </c:strRef>
          </c:tx>
          <c:invertIfNegative val="0"/>
          <c:trendline>
            <c:spPr>
              <a:ln w="25400"/>
            </c:spPr>
            <c:trendlineType val="linear"/>
            <c:dispRSqr val="0"/>
            <c:dispEq val="0"/>
          </c:trendline>
          <c:cat>
            <c:strRef>
              <c:f>'Charts for slides'!$F$205:$AV$205</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slides'!$F$206:$AV$206</c:f>
              <c:numCache>
                <c:formatCode>_("$"* #,##0_);_("$"* \(#,##0\);_("$"* "-"??_);_(@_)</c:formatCode>
                <c:ptCount val="43"/>
                <c:pt idx="0">
                  <c:v>782.66649051720151</c:v>
                </c:pt>
                <c:pt idx="1">
                  <c:v>844.47937446327171</c:v>
                </c:pt>
                <c:pt idx="2">
                  <c:v>918.2353832067231</c:v>
                </c:pt>
                <c:pt idx="3">
                  <c:v>953.37931347401945</c:v>
                </c:pt>
                <c:pt idx="4">
                  <c:v>998.65377838823838</c:v>
                </c:pt>
                <c:pt idx="5">
                  <c:v>961.63580952857819</c:v>
                </c:pt>
                <c:pt idx="6">
                  <c:v>964.65833034758225</c:v>
                </c:pt>
                <c:pt idx="7">
                  <c:v>887.30927303615294</c:v>
                </c:pt>
                <c:pt idx="8">
                  <c:v>927.75510048342403</c:v>
                </c:pt>
                <c:pt idx="9">
                  <c:v>937.1449263838922</c:v>
                </c:pt>
                <c:pt idx="10">
                  <c:v>1047.7851355298735</c:v>
                </c:pt>
                <c:pt idx="11">
                  <c:v>1092.216521001684</c:v>
                </c:pt>
                <c:pt idx="12">
                  <c:v>1032.7659757055728</c:v>
                </c:pt>
                <c:pt idx="13">
                  <c:v>1091.8086004037664</c:v>
                </c:pt>
                <c:pt idx="14">
                  <c:v>1172.6348561590248</c:v>
                </c:pt>
                <c:pt idx="15">
                  <c:v>1163.3599349237134</c:v>
                </c:pt>
                <c:pt idx="16">
                  <c:v>1214.4991146116922</c:v>
                </c:pt>
                <c:pt idx="17">
                  <c:v>1282.8694446661834</c:v>
                </c:pt>
                <c:pt idx="18">
                  <c:v>1273.246710497277</c:v>
                </c:pt>
                <c:pt idx="19">
                  <c:v>1248.9394279741052</c:v>
                </c:pt>
                <c:pt idx="20">
                  <c:v>1384.7728501657371</c:v>
                </c:pt>
                <c:pt idx="21">
                  <c:v>1428.6422188218664</c:v>
                </c:pt>
                <c:pt idx="22">
                  <c:v>1485.5126752494002</c:v>
                </c:pt>
                <c:pt idx="23">
                  <c:v>1548.2086242711546</c:v>
                </c:pt>
                <c:pt idx="24">
                  <c:v>1566.69136891165</c:v>
                </c:pt>
                <c:pt idx="25">
                  <c:v>1727.7775767555424</c:v>
                </c:pt>
                <c:pt idx="26">
                  <c:v>1872.674595488051</c:v>
                </c:pt>
                <c:pt idx="27">
                  <c:v>2016.5542926265146</c:v>
                </c:pt>
                <c:pt idx="28">
                  <c:v>1943.1173789361212</c:v>
                </c:pt>
                <c:pt idx="29">
                  <c:v>1828.7595391162131</c:v>
                </c:pt>
                <c:pt idx="30">
                  <c:v>1898.158459285751</c:v>
                </c:pt>
                <c:pt idx="31">
                  <c:v>2060.3825524820263</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1-BB19-7240-A267-7102DED64286}"/>
            </c:ext>
          </c:extLst>
        </c:ser>
        <c:dLbls>
          <c:showLegendKey val="0"/>
          <c:showVal val="0"/>
          <c:showCatName val="0"/>
          <c:showSerName val="0"/>
          <c:showPercent val="0"/>
          <c:showBubbleSize val="0"/>
        </c:dLbls>
        <c:gapWidth val="150"/>
        <c:axId val="74776576"/>
        <c:axId val="74778112"/>
      </c:barChart>
      <c:catAx>
        <c:axId val="7477657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4778112"/>
        <c:crosses val="autoZero"/>
        <c:auto val="1"/>
        <c:lblAlgn val="ctr"/>
        <c:lblOffset val="100"/>
        <c:tickLblSkip val="2"/>
        <c:noMultiLvlLbl val="0"/>
      </c:catAx>
      <c:valAx>
        <c:axId val="74778112"/>
        <c:scaling>
          <c:orientation val="minMax"/>
        </c:scaling>
        <c:delete val="0"/>
        <c:axPos val="l"/>
        <c:majorGridlines/>
        <c:title>
          <c:tx>
            <c:rich>
              <a:bodyPr rot="-5400000" vert="horz"/>
              <a:lstStyle/>
              <a:p>
                <a:pPr>
                  <a:defRPr sz="1400" b="0"/>
                </a:pPr>
                <a:r>
                  <a:rPr lang="en-US" sz="1400" b="0"/>
                  <a:t>Quarterly Revenue ($M)</a:t>
                </a:r>
              </a:p>
            </c:rich>
          </c:tx>
          <c:layout>
            <c:manualLayout>
              <c:xMode val="edge"/>
              <c:yMode val="edge"/>
              <c:x val="1.3347251079757184E-2"/>
              <c:y val="0.26139867178950416"/>
            </c:manualLayout>
          </c:layout>
          <c:overlay val="0"/>
        </c:title>
        <c:numFmt formatCode="&quot;$&quot;#,##0" sourceLinked="0"/>
        <c:majorTickMark val="out"/>
        <c:minorTickMark val="none"/>
        <c:tickLblPos val="nextTo"/>
        <c:txPr>
          <a:bodyPr/>
          <a:lstStyle/>
          <a:p>
            <a:pPr>
              <a:defRPr sz="1200"/>
            </a:pPr>
            <a:endParaRPr lang="en-US"/>
          </a:p>
        </c:txPr>
        <c:crossAx val="74776576"/>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57333655904956093"/>
          <c:h val="0.72055920093321668"/>
        </c:manualLayout>
      </c:layout>
      <c:lineChart>
        <c:grouping val="standard"/>
        <c:varyColors val="0"/>
        <c:ser>
          <c:idx val="0"/>
          <c:order val="0"/>
          <c:tx>
            <c:strRef>
              <c:f>CSPs!$B$10</c:f>
              <c:strCache>
                <c:ptCount val="1"/>
                <c:pt idx="0">
                  <c:v>China Mobile</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CSPs!$C$10:$Q$10</c:f>
              <c:numCache>
                <c:formatCode>"$"#,##0_);\("$"#,##0\)</c:formatCode>
                <c:ptCount val="7"/>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CSPs!$C$11:$Q$11</c:f>
              <c:numCache>
                <c:formatCode>"$"#,##0_);\("$"#,##0\)</c:formatCode>
                <c:ptCount val="7"/>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CSPs!$C$12:$Q$12</c:f>
              <c:numCache>
                <c:formatCode>"$"#,##0_);\("$"#,##0\)</c:formatCode>
                <c:ptCount val="7"/>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74909568"/>
        <c:axId val="74911104"/>
      </c:lineChart>
      <c:catAx>
        <c:axId val="74909568"/>
        <c:scaling>
          <c:orientation val="minMax"/>
        </c:scaling>
        <c:delete val="0"/>
        <c:axPos val="b"/>
        <c:numFmt formatCode="General" sourceLinked="0"/>
        <c:majorTickMark val="out"/>
        <c:minorTickMark val="none"/>
        <c:tickLblPos val="nextTo"/>
        <c:crossAx val="74911104"/>
        <c:crosses val="autoZero"/>
        <c:auto val="1"/>
        <c:lblAlgn val="ctr"/>
        <c:lblOffset val="100"/>
        <c:noMultiLvlLbl val="0"/>
      </c:catAx>
      <c:valAx>
        <c:axId val="74911104"/>
        <c:scaling>
          <c:orientation val="minMax"/>
        </c:scaling>
        <c:delete val="0"/>
        <c:axPos val="l"/>
        <c:majorGridlines/>
        <c:numFmt formatCode="&quot;$&quot;#,##0_);\(&quot;$&quot;#,##0\)" sourceLinked="1"/>
        <c:majorTickMark val="out"/>
        <c:minorTickMark val="none"/>
        <c:tickLblPos val="nextTo"/>
        <c:crossAx val="74909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capex</a:t>
            </a:r>
          </a:p>
        </c:rich>
      </c:tx>
      <c:overlay val="1"/>
    </c:title>
    <c:autoTitleDeleted val="0"/>
    <c:plotArea>
      <c:layout>
        <c:manualLayout>
          <c:layoutTarget val="inner"/>
          <c:xMode val="edge"/>
          <c:yMode val="edge"/>
          <c:x val="0.12658041685357987"/>
          <c:y val="0.10695610965296004"/>
          <c:w val="0.57876890357884947"/>
          <c:h val="0.72055920093321668"/>
        </c:manualLayout>
      </c:layout>
      <c:lineChart>
        <c:grouping val="standard"/>
        <c:varyColors val="0"/>
        <c:ser>
          <c:idx val="0"/>
          <c:order val="0"/>
          <c:tx>
            <c:strRef>
              <c:f>CSPs!$B$10</c:f>
              <c:strCache>
                <c:ptCount val="1"/>
                <c:pt idx="0">
                  <c:v>China Mobile</c:v>
                </c:pt>
              </c:strCache>
            </c:strRef>
          </c:tx>
          <c:cat>
            <c:strRef>
              <c:f>CSPs!$C$7:$T$7</c:f>
              <c:strCache>
                <c:ptCount val="10"/>
                <c:pt idx="0">
                  <c:v>1Q 18</c:v>
                </c:pt>
                <c:pt idx="1">
                  <c:v>2Q 18</c:v>
                </c:pt>
                <c:pt idx="2">
                  <c:v>3Q 18</c:v>
                </c:pt>
                <c:pt idx="3">
                  <c:v>4Q 18</c:v>
                </c:pt>
                <c:pt idx="4">
                  <c:v>1Q 19</c:v>
                </c:pt>
                <c:pt idx="5">
                  <c:v>2Q 19</c:v>
                </c:pt>
                <c:pt idx="6">
                  <c:v>3Q 19</c:v>
                </c:pt>
                <c:pt idx="7">
                  <c:v>4Q 19</c:v>
                </c:pt>
                <c:pt idx="8">
                  <c:v>1Q 20</c:v>
                </c:pt>
                <c:pt idx="9">
                  <c:v>2Q 20</c:v>
                </c:pt>
              </c:strCache>
            </c:strRef>
          </c:cat>
          <c:val>
            <c:numRef>
              <c:f>CSPs!$C$32:$T$32</c:f>
              <c:numCache>
                <c:formatCode>"$"#,##0_);\("$"#,##0\)</c:formatCode>
                <c:ptCount val="10"/>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CSPs!$C$7:$T$7</c:f>
              <c:strCache>
                <c:ptCount val="10"/>
                <c:pt idx="0">
                  <c:v>1Q 18</c:v>
                </c:pt>
                <c:pt idx="1">
                  <c:v>2Q 18</c:v>
                </c:pt>
                <c:pt idx="2">
                  <c:v>3Q 18</c:v>
                </c:pt>
                <c:pt idx="3">
                  <c:v>4Q 18</c:v>
                </c:pt>
                <c:pt idx="4">
                  <c:v>1Q 19</c:v>
                </c:pt>
                <c:pt idx="5">
                  <c:v>2Q 19</c:v>
                </c:pt>
                <c:pt idx="6">
                  <c:v>3Q 19</c:v>
                </c:pt>
                <c:pt idx="7">
                  <c:v>4Q 19</c:v>
                </c:pt>
                <c:pt idx="8">
                  <c:v>1Q 20</c:v>
                </c:pt>
                <c:pt idx="9">
                  <c:v>2Q 20</c:v>
                </c:pt>
              </c:strCache>
            </c:strRef>
          </c:cat>
          <c:val>
            <c:numRef>
              <c:f>CSPs!$C$33:$T$33</c:f>
              <c:numCache>
                <c:formatCode>"$"#,##0_);\("$"#,##0\)</c:formatCode>
                <c:ptCount val="10"/>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CSPs!$C$7:$T$7</c:f>
              <c:strCache>
                <c:ptCount val="10"/>
                <c:pt idx="0">
                  <c:v>1Q 18</c:v>
                </c:pt>
                <c:pt idx="1">
                  <c:v>2Q 18</c:v>
                </c:pt>
                <c:pt idx="2">
                  <c:v>3Q 18</c:v>
                </c:pt>
                <c:pt idx="3">
                  <c:v>4Q 18</c:v>
                </c:pt>
                <c:pt idx="4">
                  <c:v>1Q 19</c:v>
                </c:pt>
                <c:pt idx="5">
                  <c:v>2Q 19</c:v>
                </c:pt>
                <c:pt idx="6">
                  <c:v>3Q 19</c:v>
                </c:pt>
                <c:pt idx="7">
                  <c:v>4Q 19</c:v>
                </c:pt>
                <c:pt idx="8">
                  <c:v>1Q 20</c:v>
                </c:pt>
                <c:pt idx="9">
                  <c:v>2Q 20</c:v>
                </c:pt>
              </c:strCache>
            </c:strRef>
          </c:cat>
          <c:val>
            <c:numRef>
              <c:f>CSPs!$C$34:$T$34</c:f>
              <c:numCache>
                <c:formatCode>"$"#,##0_);\("$"#,##0\)</c:formatCode>
                <c:ptCount val="10"/>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74934528"/>
        <c:axId val="74936320"/>
      </c:lineChart>
      <c:catAx>
        <c:axId val="74934528"/>
        <c:scaling>
          <c:orientation val="minMax"/>
        </c:scaling>
        <c:delete val="0"/>
        <c:axPos val="b"/>
        <c:numFmt formatCode="General" sourceLinked="0"/>
        <c:majorTickMark val="out"/>
        <c:minorTickMark val="none"/>
        <c:tickLblPos val="nextTo"/>
        <c:crossAx val="74936320"/>
        <c:crosses val="autoZero"/>
        <c:auto val="1"/>
        <c:lblAlgn val="ctr"/>
        <c:lblOffset val="100"/>
        <c:noMultiLvlLbl val="0"/>
      </c:catAx>
      <c:valAx>
        <c:axId val="74936320"/>
        <c:scaling>
          <c:orientation val="minMax"/>
        </c:scaling>
        <c:delete val="0"/>
        <c:axPos val="l"/>
        <c:majorGridlines/>
        <c:numFmt formatCode="&quot;$&quot;#,##0_);\(&quot;$&quot;#,##0\)" sourceLinked="1"/>
        <c:majorTickMark val="out"/>
        <c:minorTickMark val="none"/>
        <c:tickLblPos val="nextTo"/>
        <c:crossAx val="7493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equip'!$C$7:$S$7</c:f>
              <c:strCache>
                <c:ptCount val="9"/>
                <c:pt idx="0">
                  <c:v>1Q 18</c:v>
                </c:pt>
                <c:pt idx="1">
                  <c:v>2Q 18</c:v>
                </c:pt>
                <c:pt idx="2">
                  <c:v>3Q 18</c:v>
                </c:pt>
                <c:pt idx="3">
                  <c:v>4Q 18</c:v>
                </c:pt>
                <c:pt idx="4">
                  <c:v>1Q 19</c:v>
                </c:pt>
                <c:pt idx="5">
                  <c:v>2Q 19</c:v>
                </c:pt>
                <c:pt idx="6">
                  <c:v>3Q 19</c:v>
                </c:pt>
                <c:pt idx="7">
                  <c:v>4Q 19</c:v>
                </c:pt>
                <c:pt idx="8">
                  <c:v>1Q 20</c:v>
                </c:pt>
              </c:strCache>
            </c:strRef>
          </c:cat>
          <c:val>
            <c:numRef>
              <c:f>'Datacom equip'!$C$23:$S$23</c:f>
              <c:numCache>
                <c:formatCode>0.0%</c:formatCode>
                <c:ptCount val="9"/>
                <c:pt idx="0">
                  <c:v>-1</c:v>
                </c:pt>
                <c:pt idx="1">
                  <c:v>-1</c:v>
                </c:pt>
                <c:pt idx="2">
                  <c:v>-1</c:v>
                </c:pt>
                <c:pt idx="3">
                  <c:v>-1</c:v>
                </c:pt>
                <c:pt idx="4">
                  <c:v>0</c:v>
                </c:pt>
                <c:pt idx="5">
                  <c:v>0</c:v>
                </c:pt>
                <c:pt idx="6">
                  <c:v>0</c:v>
                </c:pt>
                <c:pt idx="7">
                  <c:v>0</c:v>
                </c:pt>
                <c:pt idx="8">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75240960"/>
        <c:axId val="75242496"/>
      </c:lineChart>
      <c:catAx>
        <c:axId val="75240960"/>
        <c:scaling>
          <c:orientation val="minMax"/>
        </c:scaling>
        <c:delete val="0"/>
        <c:axPos val="b"/>
        <c:numFmt formatCode="General" sourceLinked="0"/>
        <c:majorTickMark val="out"/>
        <c:minorTickMark val="none"/>
        <c:tickLblPos val="nextTo"/>
        <c:crossAx val="75242496"/>
        <c:crosses val="autoZero"/>
        <c:auto val="1"/>
        <c:lblAlgn val="ctr"/>
        <c:lblOffset val="100"/>
        <c:noMultiLvlLbl val="0"/>
      </c:catAx>
      <c:valAx>
        <c:axId val="75242496"/>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7524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9480351414406533"/>
          <c:w val="0.76264025732740992"/>
          <c:h val="0.59662401574803148"/>
        </c:manualLayout>
      </c:layout>
      <c:lineChart>
        <c:grouping val="standard"/>
        <c:varyColors val="0"/>
        <c:ser>
          <c:idx val="0"/>
          <c:order val="0"/>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equip'!$G$31:$U$31</c:f>
              <c:numCache>
                <c:formatCode>0%</c:formatCode>
                <c:ptCount val="11"/>
                <c:pt idx="0">
                  <c:v>-1</c:v>
                </c:pt>
                <c:pt idx="1">
                  <c:v>-1</c:v>
                </c:pt>
                <c:pt idx="2">
                  <c:v>-1</c:v>
                </c:pt>
                <c:pt idx="3">
                  <c:v>-1</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1B2-1C4A-B62A-22049FC4D684}"/>
            </c:ext>
          </c:extLst>
        </c:ser>
        <c:ser>
          <c:idx val="1"/>
          <c:order val="1"/>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equip'!$G$33:$U$33</c:f>
              <c:numCache>
                <c:formatCode>0%</c:formatCode>
                <c:ptCount val="11"/>
                <c:pt idx="0">
                  <c:v>-1</c:v>
                </c:pt>
                <c:pt idx="1">
                  <c:v>-1</c:v>
                </c:pt>
                <c:pt idx="2">
                  <c:v>-1</c:v>
                </c:pt>
                <c:pt idx="3">
                  <c:v>-1</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75260288"/>
        <c:axId val="75261824"/>
      </c:lineChart>
      <c:catAx>
        <c:axId val="75260288"/>
        <c:scaling>
          <c:orientation val="minMax"/>
        </c:scaling>
        <c:delete val="0"/>
        <c:axPos val="b"/>
        <c:numFmt formatCode="General" sourceLinked="0"/>
        <c:majorTickMark val="out"/>
        <c:minorTickMark val="none"/>
        <c:tickLblPos val="nextTo"/>
        <c:crossAx val="75261824"/>
        <c:crossesAt val="-20"/>
        <c:auto val="1"/>
        <c:lblAlgn val="ctr"/>
        <c:lblOffset val="100"/>
        <c:noMultiLvlLbl val="0"/>
      </c:catAx>
      <c:valAx>
        <c:axId val="75261824"/>
        <c:scaling>
          <c:orientation val="minMax"/>
        </c:scaling>
        <c:delete val="0"/>
        <c:axPos val="l"/>
        <c:majorGridlines/>
        <c:numFmt formatCode="0%" sourceLinked="1"/>
        <c:majorTickMark val="out"/>
        <c:minorTickMark val="none"/>
        <c:tickLblPos val="nextTo"/>
        <c:crossAx val="75260288"/>
        <c:crosses val="autoZero"/>
        <c:crossBetween val="between"/>
      </c:valAx>
    </c:plotArea>
    <c:legend>
      <c:legendPos val="r"/>
      <c:layout>
        <c:manualLayout>
          <c:xMode val="edge"/>
          <c:yMode val="edge"/>
          <c:x val="0.65874603674540677"/>
          <c:y val="0.22872484689413827"/>
          <c:w val="0.22392062992125986"/>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04186241257"/>
          <c:y val="5.5769043180438731E-2"/>
          <c:w val="0.83432358452545896"/>
          <c:h val="0.78921464493193449"/>
        </c:manualLayout>
      </c:layout>
      <c:barChart>
        <c:barDir val="col"/>
        <c:grouping val="clustered"/>
        <c:varyColors val="0"/>
        <c:ser>
          <c:idx val="0"/>
          <c:order val="0"/>
          <c:tx>
            <c:strRef>
              <c:f>Summary!$B$103</c:f>
              <c:strCache>
                <c:ptCount val="1"/>
                <c:pt idx="0">
                  <c:v>1G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Summary!$S$103:$AH$103</c:f>
              <c:numCache>
                <c:formatCode>_("$"* #,##0.0_);_("$"* \(#,##0.0\);_("$"* "-"??_);_(@_)</c:formatCode>
                <c:ptCount val="16"/>
                <c:pt idx="0">
                  <c:v>33.297403659236629</c:v>
                </c:pt>
                <c:pt idx="1">
                  <c:v>33.428760640543643</c:v>
                </c:pt>
                <c:pt idx="2">
                  <c:v>28.923273631481926</c:v>
                </c:pt>
                <c:pt idx="3">
                  <c:v>32.842078360689506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10G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Summary!$S$104:$AH$104</c:f>
              <c:numCache>
                <c:formatCode>_("$"* #,##0.0_);_("$"* \(#,##0.0\);_("$"* "-"??_);_(@_)</c:formatCode>
                <c:ptCount val="16"/>
                <c:pt idx="0">
                  <c:v>140.41921813236263</c:v>
                </c:pt>
                <c:pt idx="1">
                  <c:v>130.09519990940558</c:v>
                </c:pt>
                <c:pt idx="2">
                  <c:v>112.15860396815739</c:v>
                </c:pt>
                <c:pt idx="3">
                  <c:v>113.66451400697137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40G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Summary!$S$106:$AH$106</c:f>
              <c:numCache>
                <c:formatCode>_("$"* #,##0.0_);_("$"* \(#,##0.0\);_("$"* "-"??_);_(@_)</c:formatCode>
                <c:ptCount val="16"/>
                <c:pt idx="0">
                  <c:v>188.62716260855163</c:v>
                </c:pt>
                <c:pt idx="1">
                  <c:v>220.74000209289019</c:v>
                </c:pt>
                <c:pt idx="2">
                  <c:v>213.7126016833657</c:v>
                </c:pt>
                <c:pt idx="3">
                  <c:v>196.25707449739417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31-ED45-975D-B62D2D3BCA15}"/>
            </c:ext>
          </c:extLst>
        </c:ser>
        <c:ser>
          <c:idx val="2"/>
          <c:order val="3"/>
          <c:tx>
            <c:strRef>
              <c:f>Summary!$B$108</c:f>
              <c:strCache>
                <c:ptCount val="1"/>
                <c:pt idx="0">
                  <c:v>100G </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Summary!$S$108:$AH$108</c:f>
              <c:numCache>
                <c:formatCode>_("$"* #,##0.0_);_("$"* \(#,##0.0\);_("$"* "-"??_);_(@_)</c:formatCode>
                <c:ptCount val="16"/>
                <c:pt idx="0">
                  <c:v>335.93431384868904</c:v>
                </c:pt>
                <c:pt idx="1">
                  <c:v>418.56961418235812</c:v>
                </c:pt>
                <c:pt idx="2">
                  <c:v>437.80703940519845</c:v>
                </c:pt>
                <c:pt idx="3">
                  <c:v>447.41225315027708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31-ED45-975D-B62D2D3BCA15}"/>
            </c:ext>
          </c:extLst>
        </c:ser>
        <c:ser>
          <c:idx val="4"/>
          <c:order val="4"/>
          <c:tx>
            <c:strRef>
              <c:f>Summary!$B$109</c:f>
              <c:strCache>
                <c:ptCount val="1"/>
                <c:pt idx="0">
                  <c:v>200G, 2x200G, 400G</c:v>
                </c:pt>
              </c:strCache>
            </c:strRef>
          </c:tx>
          <c:invertIfNegative val="0"/>
          <c:cat>
            <c:strRef>
              <c:f>Summary!$S$102:$AH$102</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Summary!$S$109:$AH$109</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33837568"/>
        <c:axId val="133839488"/>
      </c:barChart>
      <c:catAx>
        <c:axId val="13383756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33839488"/>
        <c:crosses val="autoZero"/>
        <c:auto val="1"/>
        <c:lblAlgn val="ctr"/>
        <c:lblOffset val="100"/>
        <c:noMultiLvlLbl val="0"/>
      </c:catAx>
      <c:valAx>
        <c:axId val="133839488"/>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133837568"/>
        <c:crosses val="autoZero"/>
        <c:crossBetween val="between"/>
      </c:valAx>
    </c:plotArea>
    <c:legend>
      <c:legendPos val="r"/>
      <c:layout>
        <c:manualLayout>
          <c:xMode val="edge"/>
          <c:yMode val="edge"/>
          <c:x val="0.15061685026357532"/>
          <c:y val="7.2226812306732141E-2"/>
          <c:w val="0.7706234144851799"/>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overlay val="0"/>
    </c:title>
    <c:autoTitleDeleted val="0"/>
    <c:plotArea>
      <c:layout/>
      <c:lineChart>
        <c:grouping val="standard"/>
        <c:varyColors val="0"/>
        <c:ser>
          <c:idx val="0"/>
          <c:order val="0"/>
          <c:tx>
            <c:strRef>
              <c:f>'Datacom equip'!$X$30</c:f>
              <c:strCache>
                <c:ptCount val="1"/>
                <c:pt idx="0">
                  <c:v>Chinese: H3C, Inspur, Lenovo</c:v>
                </c:pt>
              </c:strCache>
            </c:strRef>
          </c:tx>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equip'!$G$30:$U$30</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F2F-374D-8AC4-0E0FAE68C242}"/>
            </c:ext>
          </c:extLst>
        </c:ser>
        <c:ser>
          <c:idx val="1"/>
          <c:order val="1"/>
          <c:tx>
            <c:strRef>
              <c:f>'Datacom equip'!$X$32</c:f>
              <c:strCache>
                <c:ptCount val="1"/>
                <c:pt idx="0">
                  <c:v>Total less China</c:v>
                </c:pt>
              </c:strCache>
            </c:strRef>
          </c:tx>
          <c:cat>
            <c:strRef>
              <c:f>'Datacom equip'!$G$7:$U$7</c:f>
              <c:strCache>
                <c:ptCount val="11"/>
                <c:pt idx="0">
                  <c:v>1Q 18</c:v>
                </c:pt>
                <c:pt idx="1">
                  <c:v>2Q 18</c:v>
                </c:pt>
                <c:pt idx="2">
                  <c:v>3Q 18</c:v>
                </c:pt>
                <c:pt idx="3">
                  <c:v>4Q 18</c:v>
                </c:pt>
                <c:pt idx="4">
                  <c:v>1Q 19</c:v>
                </c:pt>
                <c:pt idx="5">
                  <c:v>2Q 19</c:v>
                </c:pt>
                <c:pt idx="6">
                  <c:v>3Q 19</c:v>
                </c:pt>
                <c:pt idx="7">
                  <c:v>4Q 19</c:v>
                </c:pt>
                <c:pt idx="8">
                  <c:v>1Q 20</c:v>
                </c:pt>
                <c:pt idx="9">
                  <c:v>2Q 20</c:v>
                </c:pt>
                <c:pt idx="10">
                  <c:v>3Q 20</c:v>
                </c:pt>
              </c:strCache>
            </c:strRef>
          </c:cat>
          <c:val>
            <c:numRef>
              <c:f>'Datacom equip'!$G$32:$U$32</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75275648"/>
        <c:axId val="75277440"/>
      </c:lineChart>
      <c:catAx>
        <c:axId val="75275648"/>
        <c:scaling>
          <c:orientation val="minMax"/>
        </c:scaling>
        <c:delete val="0"/>
        <c:axPos val="b"/>
        <c:numFmt formatCode="General" sourceLinked="0"/>
        <c:majorTickMark val="out"/>
        <c:minorTickMark val="none"/>
        <c:tickLblPos val="nextTo"/>
        <c:crossAx val="75277440"/>
        <c:crosses val="autoZero"/>
        <c:auto val="1"/>
        <c:lblAlgn val="ctr"/>
        <c:lblOffset val="100"/>
        <c:noMultiLvlLbl val="0"/>
      </c:catAx>
      <c:valAx>
        <c:axId val="75277440"/>
        <c:scaling>
          <c:orientation val="minMax"/>
        </c:scaling>
        <c:delete val="0"/>
        <c:axPos val="l"/>
        <c:majorGridlines/>
        <c:numFmt formatCode="&quot;$&quot;#,##0_);\(&quot;$&quot;#,##0\)" sourceLinked="1"/>
        <c:majorTickMark val="out"/>
        <c:minorTickMark val="none"/>
        <c:tickLblPos val="nextTo"/>
        <c:crossAx val="75275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2021974268623334"/>
        </c:manualLayout>
      </c:layout>
      <c:barChart>
        <c:barDir val="col"/>
        <c:grouping val="clustered"/>
        <c:varyColors val="0"/>
        <c:ser>
          <c:idx val="0"/>
          <c:order val="0"/>
          <c:tx>
            <c:strRef>
              <c:f>Summary!$B$137</c:f>
              <c:strCache>
                <c:ptCount val="1"/>
                <c:pt idx="0">
                  <c:v>4G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Summary!$S$137:$AH$137</c:f>
              <c:numCache>
                <c:formatCode>_("$"* #,##0.0_);_("$"* \(#,##0.0\);_("$"* "-"??_);_(@_)</c:formatCode>
                <c:ptCount val="16"/>
                <c:pt idx="0">
                  <c:v>4.2239630000000004</c:v>
                </c:pt>
                <c:pt idx="1">
                  <c:v>3.814257</c:v>
                </c:pt>
                <c:pt idx="2">
                  <c:v>3.4903749999999936</c:v>
                </c:pt>
                <c:pt idx="3">
                  <c:v>3.4328349999999976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Summary!$S$138:$AH$138</c:f>
              <c:numCache>
                <c:formatCode>_("$"* #,##0.0_);_("$"* \(#,##0.0\);_("$"* "-"??_);_(@_)</c:formatCode>
                <c:ptCount val="16"/>
                <c:pt idx="0">
                  <c:v>10.408296999999999</c:v>
                </c:pt>
                <c:pt idx="1">
                  <c:v>8.2756279999999993</c:v>
                </c:pt>
                <c:pt idx="2">
                  <c:v>7.8125869999999953</c:v>
                </c:pt>
                <c:pt idx="3">
                  <c:v>8.1308419999999924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Summary!$S$139:$AH$139</c:f>
              <c:numCache>
                <c:formatCode>_("$"* #,##0.0_);_("$"* \(#,##0.0\);_("$"* "-"??_);_(@_)</c:formatCode>
                <c:ptCount val="16"/>
                <c:pt idx="0">
                  <c:v>30.385957000000001</c:v>
                </c:pt>
                <c:pt idx="1">
                  <c:v>40.019958000000003</c:v>
                </c:pt>
                <c:pt idx="2">
                  <c:v>40.938776999999952</c:v>
                </c:pt>
                <c:pt idx="3">
                  <c:v>38.331254000000001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Summary!$S$136:$AH$136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Summary!$S$140:$AH$140</c:f>
              <c:numCache>
                <c:formatCode>_("$"* #,##0.0_);_("$"* \(#,##0.0\);_("$"* "-"??_);_(@_)</c:formatCode>
                <c:ptCount val="16"/>
                <c:pt idx="0">
                  <c:v>11.636746</c:v>
                </c:pt>
                <c:pt idx="1">
                  <c:v>10.602931</c:v>
                </c:pt>
                <c:pt idx="2">
                  <c:v>11.128902</c:v>
                </c:pt>
                <c:pt idx="3">
                  <c:v>13.501274999999994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2F-7645-B76D-048AD1E72D02}"/>
            </c:ext>
          </c:extLst>
        </c:ser>
        <c:dLbls>
          <c:showLegendKey val="0"/>
          <c:showVal val="0"/>
          <c:showCatName val="0"/>
          <c:showSerName val="0"/>
          <c:showPercent val="0"/>
          <c:showBubbleSize val="0"/>
        </c:dLbls>
        <c:gapWidth val="150"/>
        <c:axId val="139087872"/>
        <c:axId val="139089408"/>
      </c:barChart>
      <c:catAx>
        <c:axId val="13908787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9089408"/>
        <c:crosses val="autoZero"/>
        <c:auto val="1"/>
        <c:lblAlgn val="ctr"/>
        <c:lblOffset val="100"/>
        <c:noMultiLvlLbl val="0"/>
      </c:catAx>
      <c:valAx>
        <c:axId val="13908940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139087872"/>
        <c:crosses val="autoZero"/>
        <c:crossBetween val="between"/>
        <c:majorUnit val="10"/>
      </c:valAx>
    </c:plotArea>
    <c:legend>
      <c:legendPos val="r"/>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3960467623400383"/>
        </c:manualLayout>
      </c:layout>
      <c:barChart>
        <c:barDir val="col"/>
        <c:grouping val="clustered"/>
        <c:varyColors val="0"/>
        <c:ser>
          <c:idx val="0"/>
          <c:order val="0"/>
          <c:tx>
            <c:strRef>
              <c:f>Summary!$B$207</c:f>
              <c:strCache>
                <c:ptCount val="1"/>
                <c:pt idx="0">
                  <c:v>GPON TxRx</c:v>
                </c:pt>
              </c:strCache>
            </c:strRef>
          </c:tx>
          <c:invertIfNegative val="0"/>
          <c:cat>
            <c:strRef>
              <c:f>Summary!$S$206:$AH$206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Summary!$S$207:$AH$207</c:f>
              <c:numCache>
                <c:formatCode>_([$$-409]* #,##0.0_);_([$$-409]* \(#,##0.0\);_([$$-409]* "-"??_);_(@_)</c:formatCode>
                <c:ptCount val="16"/>
                <c:pt idx="0" formatCode="_(&quot;$&quot;* #,##0.0_);_(&quot;$&quot;* \(#,##0.0\);_(&quot;$&quot;* &quot;-&quot;??_);_(@_)">
                  <c:v>42.358738866214217</c:v>
                </c:pt>
                <c:pt idx="1">
                  <c:v>40.05249577750309</c:v>
                </c:pt>
                <c:pt idx="2" formatCode="_(&quot;$&quot;* #,##0.0_);_(&quot;$&quot;* \(#,##0.0\);_(&quot;$&quot;* &quot;-&quot;??_);_(@_)">
                  <c:v>23.797203172784918</c:v>
                </c:pt>
                <c:pt idx="3">
                  <c:v>22.386996712731104</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Summary!$S$206:$AH$206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Summary!$S$209:$AH$209</c:f>
              <c:numCache>
                <c:formatCode>_([$$-409]* #,##0.0_);_([$$-409]* \(#,##0.0\);_([$$-409]* "-"??_);_(@_)</c:formatCode>
                <c:ptCount val="16"/>
                <c:pt idx="0" formatCode="_(&quot;$&quot;* #,##0.0_);_(&quot;$&quot;* \(#,##0.0\);_(&quot;$&quot;* &quot;-&quot;??_);_(@_)">
                  <c:v>41.710343829459205</c:v>
                </c:pt>
                <c:pt idx="1">
                  <c:v>37.707258920689007</c:v>
                </c:pt>
                <c:pt idx="2" formatCode="_(&quot;$&quot;* #,##0.0_);_(&quot;$&quot;* \(#,##0.0\);_(&quot;$&quot;* &quot;-&quot;??_);_(@_)">
                  <c:v>27.961599199999998</c:v>
                </c:pt>
                <c:pt idx="3">
                  <c:v>28.627988800000001</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Summary!$S$206:$AH$206</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Summary!$S$210:$AH$210</c:f>
              <c:numCache>
                <c:formatCode>_([$$-409]* #,##0.0_);_([$$-409]* \(#,##0.0\);_([$$-409]* "-"??_);_(@_)</c:formatCode>
                <c:ptCount val="16"/>
                <c:pt idx="0" formatCode="_(&quot;$&quot;* #,##0.0_);_(&quot;$&quot;* \(#,##0.0\);_(&quot;$&quot;* &quot;-&quot;??_);_(@_)">
                  <c:v>49.133252173356389</c:v>
                </c:pt>
                <c:pt idx="1">
                  <c:v>47.183203027214283</c:v>
                </c:pt>
                <c:pt idx="2" formatCode="_(&quot;$&quot;* #,##0.0_);_(&quot;$&quot;* \(#,##0.0\);_(&quot;$&quot;* &quot;-&quot;??_);_(@_)">
                  <c:v>45.997064740121814</c:v>
                </c:pt>
                <c:pt idx="3">
                  <c:v>53.393212550242957</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formatCode="_(&quot;$&quot;* #,##0.0_);_(&quot;$&quot;* \(#,##0.0\);_(&quot;$&quot;* &quot;-&quot;??_);_(@_)">
                  <c:v>0</c:v>
                </c:pt>
                <c:pt idx="13">
                  <c:v>0</c:v>
                </c:pt>
                <c:pt idx="14" formatCode="_(&quot;$&quot;* #,##0.0_);_(&quot;$&quot;* \(#,##0.0\);_(&quot;$&quot;* &quot;-&quot;??_);_(@_)">
                  <c:v>0</c:v>
                </c:pt>
                <c:pt idx="15">
                  <c:v>0</c:v>
                </c:pt>
              </c:numCache>
            </c:numRef>
          </c:val>
          <c:extLs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147896576"/>
        <c:axId val="157344512"/>
      </c:barChart>
      <c:catAx>
        <c:axId val="14789657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57344512"/>
        <c:crosses val="autoZero"/>
        <c:auto val="1"/>
        <c:lblAlgn val="ctr"/>
        <c:lblOffset val="100"/>
        <c:noMultiLvlLbl val="0"/>
      </c:catAx>
      <c:valAx>
        <c:axId val="157344512"/>
        <c:scaling>
          <c:orientation val="minMax"/>
          <c:max val="100"/>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47896576"/>
        <c:crosses val="autoZero"/>
        <c:crossBetween val="between"/>
        <c:majorUnit val="20"/>
      </c:valAx>
    </c:plotArea>
    <c:legend>
      <c:legendPos val="t"/>
      <c:layout>
        <c:manualLayout>
          <c:xMode val="edge"/>
          <c:yMode val="edge"/>
          <c:x val="0.23613909465371163"/>
          <c:y val="9.529562569736455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5746329191663"/>
          <c:y val="0.110655959144385"/>
          <c:w val="0.84604722970889512"/>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Summary!$S$69:$AH$69</c:f>
              <c:numCache>
                <c:formatCode>_("$"* #,##0_);_("$"* \(#,##0\);_("$"* "-"??_);_(@_)</c:formatCode>
                <c:ptCount val="16"/>
                <c:pt idx="0">
                  <c:v>715.72646777793818</c:v>
                </c:pt>
                <c:pt idx="1">
                  <c:v>820.4964072612147</c:v>
                </c:pt>
                <c:pt idx="2">
                  <c:v>809.58724973224446</c:v>
                </c:pt>
                <c:pt idx="3">
                  <c:v>814.82450627820526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Summary!$S$70:$AH$70</c:f>
              <c:numCache>
                <c:formatCode>_("$"* #,##0_);_("$"* \(#,##0\);_("$"* "-"??_);_(@_)</c:formatCode>
                <c:ptCount val="16"/>
                <c:pt idx="0">
                  <c:v>56.739276800113608</c:v>
                </c:pt>
                <c:pt idx="1">
                  <c:v>62.871894432037813</c:v>
                </c:pt>
                <c:pt idx="2">
                  <c:v>63.370640999999942</c:v>
                </c:pt>
                <c:pt idx="3">
                  <c:v>63.396205999999985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Summary!$S$68:$AH$68</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Summary!$S$71:$AH$71</c:f>
              <c:numCache>
                <c:formatCode>_("$"* #,##0_);_("$"* \(#,##0\);_("$"* "-"??_);_(@_)</c:formatCode>
                <c:ptCount val="16"/>
                <c:pt idx="0">
                  <c:v>63.957993999999999</c:v>
                </c:pt>
                <c:pt idx="1">
                  <c:v>62.745559</c:v>
                </c:pt>
                <c:pt idx="2">
                  <c:v>64.137828949999971</c:v>
                </c:pt>
                <c:pt idx="3">
                  <c:v>62.059159623799992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57759360"/>
        <c:axId val="157760896"/>
      </c:barChart>
      <c:catAx>
        <c:axId val="15775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57760896"/>
        <c:crosses val="autoZero"/>
        <c:auto val="1"/>
        <c:lblAlgn val="ctr"/>
        <c:lblOffset val="100"/>
        <c:tickLblSkip val="1"/>
        <c:tickMarkSkip val="1"/>
        <c:noMultiLvlLbl val="0"/>
      </c:catAx>
      <c:valAx>
        <c:axId val="157760896"/>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57759360"/>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026213742439"/>
          <c:y val="5.246265161089652E-2"/>
          <c:w val="0.8501401661164999"/>
          <c:h val="0.74925910477904856"/>
        </c:manualLayout>
      </c:layout>
      <c:barChart>
        <c:barDir val="col"/>
        <c:grouping val="clustered"/>
        <c:varyColors val="0"/>
        <c:ser>
          <c:idx val="0"/>
          <c:order val="0"/>
          <c:tx>
            <c:strRef>
              <c:f>Summary!$B$280</c:f>
              <c:strCache>
                <c:ptCount val="1"/>
                <c:pt idx="0">
                  <c:v>6 Gbps grey optics</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Summary!$S$280:$AH$280</c:f>
              <c:numCache>
                <c:formatCode>_([$$-409]* #,##0.0_);_([$$-409]* \(#,##0.0\);_([$$-409]* "-"??_);_(@_)</c:formatCode>
                <c:ptCount val="16"/>
                <c:pt idx="0">
                  <c:v>26.299306999999999</c:v>
                </c:pt>
                <c:pt idx="1">
                  <c:v>24.424315</c:v>
                </c:pt>
                <c:pt idx="2">
                  <c:v>15.23078900000001</c:v>
                </c:pt>
                <c:pt idx="3">
                  <c:v>14.707728000000014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9370-0849-B149-3C224E0EDC34}"/>
            </c:ext>
          </c:extLst>
        </c:ser>
        <c:ser>
          <c:idx val="2"/>
          <c:order val="1"/>
          <c:tx>
            <c:strRef>
              <c:f>Summary!$B$281</c:f>
              <c:strCache>
                <c:ptCount val="1"/>
                <c:pt idx="0">
                  <c:v>10 Gbps grey optics</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Summary!$S$281:$AH$281</c:f>
              <c:numCache>
                <c:formatCode>_([$$-409]* #,##0.0_);_([$$-409]* \(#,##0.0\);_([$$-409]* "-"??_);_(@_)</c:formatCode>
                <c:ptCount val="16"/>
                <c:pt idx="0">
                  <c:v>18.218484</c:v>
                </c:pt>
                <c:pt idx="1">
                  <c:v>22.168453</c:v>
                </c:pt>
                <c:pt idx="2">
                  <c:v>13.795248777510615</c:v>
                </c:pt>
                <c:pt idx="3">
                  <c:v>14.366928396244528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370-0849-B149-3C224E0EDC34}"/>
            </c:ext>
          </c:extLst>
        </c:ser>
        <c:ser>
          <c:idx val="4"/>
          <c:order val="2"/>
          <c:tx>
            <c:strRef>
              <c:f>Summary!$B$282</c:f>
              <c:strCache>
                <c:ptCount val="1"/>
                <c:pt idx="0">
                  <c:v>25 Gbps grey optics</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Summary!$S$282:$AH$282</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370-0849-B149-3C224E0EDC34}"/>
            </c:ext>
          </c:extLst>
        </c:ser>
        <c:ser>
          <c:idx val="5"/>
          <c:order val="3"/>
          <c:tx>
            <c:strRef>
              <c:f>Summary!$B$284</c:f>
              <c:strCache>
                <c:ptCount val="1"/>
                <c:pt idx="0">
                  <c:v>10/25G CWDM/DWDM </c:v>
                </c:pt>
              </c:strCache>
            </c:strRef>
          </c:tx>
          <c:invertIfNegative val="0"/>
          <c:cat>
            <c:strRef>
              <c:f>Summary!$S$277:$AH$277</c:f>
              <c:strCache>
                <c:ptCount val="16"/>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20E</c:v>
                </c:pt>
                <c:pt idx="15">
                  <c:v>4Q 20E</c:v>
                </c:pt>
              </c:strCache>
            </c:strRef>
          </c:cat>
          <c:val>
            <c:numRef>
              <c:f>Summary!$S$284:$AH$284</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70555264"/>
        <c:axId val="170556800"/>
      </c:barChart>
      <c:catAx>
        <c:axId val="170555264"/>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70556800"/>
        <c:crosses val="autoZero"/>
        <c:auto val="1"/>
        <c:lblAlgn val="ctr"/>
        <c:lblOffset val="100"/>
        <c:noMultiLvlLbl val="0"/>
      </c:catAx>
      <c:valAx>
        <c:axId val="170556800"/>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170555264"/>
        <c:crosses val="autoZero"/>
        <c:crossBetween val="between"/>
        <c:majorUnit val="20"/>
      </c:valAx>
    </c:plotArea>
    <c:legend>
      <c:legendPos val="t"/>
      <c:layout>
        <c:manualLayout>
          <c:xMode val="edge"/>
          <c:yMode val="edge"/>
          <c:x val="0.13096633538810812"/>
          <c:y val="6.535710543371534E-2"/>
          <c:w val="0.27271005759234346"/>
          <c:h val="0.3307321741126351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7.xml"/><Relationship Id="rId1" Type="http://schemas.openxmlformats.org/officeDocument/2006/relationships/chart" Target="../charts/chart4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image" Target="../media/image1.png"/><Relationship Id="rId1" Type="http://schemas.openxmlformats.org/officeDocument/2006/relationships/chart" Target="../charts/chart48.xml"/><Relationship Id="rId4" Type="http://schemas.openxmlformats.org/officeDocument/2006/relationships/chart" Target="../charts/chart5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34" Type="http://schemas.openxmlformats.org/officeDocument/2006/relationships/chart" Target="../charts/chart4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29" Type="http://schemas.openxmlformats.org/officeDocument/2006/relationships/chart" Target="../charts/chart40.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 Id="rId30" Type="http://schemas.openxmlformats.org/officeDocument/2006/relationships/image" Target="../media/image1.png"/><Relationship Id="rId35" Type="http://schemas.openxmlformats.org/officeDocument/2006/relationships/chart" Target="../charts/chart45.xml"/><Relationship Id="rId8"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1.xml><?xml version="1.0" encoding="utf-8"?>
<c:userShapes xmlns:c="http://schemas.openxmlformats.org/drawingml/2006/chart">
  <cdr:relSizeAnchor xmlns:cdr="http://schemas.openxmlformats.org/drawingml/2006/chartDrawing">
    <cdr:from>
      <cdr:x>0.44348</cdr:x>
      <cdr:y>0.23661</cdr:y>
    </cdr:from>
    <cdr:to>
      <cdr:x>0.55111</cdr:x>
      <cdr:y>0.39294</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491998" y="738185"/>
          <a:ext cx="847478" cy="487724"/>
        </a:xfrm>
        <a:prstGeom xmlns:a="http://schemas.openxmlformats.org/drawingml/2006/main" prst="rect">
          <a:avLst/>
        </a:prstGeom>
      </cdr:spPr>
    </cdr:pic>
  </cdr:relSizeAnchor>
  <cdr:relSizeAnchor xmlns:cdr="http://schemas.openxmlformats.org/drawingml/2006/chartDrawing">
    <cdr:from>
      <cdr:x>0.63472</cdr:x>
      <cdr:y>0.50642</cdr:y>
    </cdr:from>
    <cdr:to>
      <cdr:x>0.88488</cdr:x>
      <cdr:y>0.84226</cdr:y>
    </cdr:to>
    <cdr:sp macro="" textlink="">
      <cdr:nvSpPr>
        <cdr:cNvPr id="2" name="TextBox 1"/>
        <cdr:cNvSpPr txBox="1"/>
      </cdr:nvSpPr>
      <cdr:spPr>
        <a:xfrm xmlns:a="http://schemas.openxmlformats.org/drawingml/2006/main">
          <a:off x="4997808" y="1579960"/>
          <a:ext cx="1969760" cy="104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r>
            <a:rPr lang="en-US" sz="1800" baseline="0">
              <a:solidFill>
                <a:schemeClr val="tx1"/>
              </a:solidFill>
            </a:rPr>
            <a:t>Equipment</a:t>
          </a:r>
        </a:p>
        <a:p xmlns:a="http://schemas.openxmlformats.org/drawingml/2006/main">
          <a:pPr algn="l"/>
          <a:endParaRPr lang="en-US" sz="1800">
            <a:solidFill>
              <a:schemeClr val="tx1"/>
            </a:solidFill>
          </a:endParaRPr>
        </a:p>
        <a:p xmlns:a="http://schemas.openxmlformats.org/drawingml/2006/main">
          <a:pPr algn="l"/>
          <a:endParaRPr lang="en-US" sz="1200">
            <a:solidFill>
              <a:schemeClr val="tx1"/>
            </a:solidFill>
          </a:endParaRPr>
        </a:p>
      </cdr:txBody>
    </cdr:sp>
  </cdr:relSizeAnchor>
  <cdr:relSizeAnchor xmlns:cdr="http://schemas.openxmlformats.org/drawingml/2006/chartDrawing">
    <cdr:from>
      <cdr:x>0.40323</cdr:x>
      <cdr:y>0.73782</cdr:y>
    </cdr:from>
    <cdr:to>
      <cdr:x>0.59137</cdr:x>
      <cdr:y>0.89415</cdr:y>
    </cdr:to>
    <cdr:pic>
      <cdr:nvPicPr>
        <cdr:cNvPr id="4"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3175030" y="2301875"/>
          <a:ext cx="1481415" cy="487724"/>
        </a:xfrm>
        <a:prstGeom xmlns:a="http://schemas.openxmlformats.org/drawingml/2006/main" prst="rect">
          <a:avLst/>
        </a:prstGeom>
      </cdr:spPr>
    </cdr:pic>
  </cdr:relSizeAnchor>
  <cdr:relSizeAnchor xmlns:cdr="http://schemas.openxmlformats.org/drawingml/2006/chartDrawing">
    <cdr:from>
      <cdr:x>0.36127</cdr:x>
      <cdr:y>0.51578</cdr:y>
    </cdr:from>
    <cdr:to>
      <cdr:x>0.4774</cdr:x>
      <cdr:y>0.61246</cdr:y>
    </cdr:to>
    <cdr:sp macro="" textlink="">
      <cdr:nvSpPr>
        <cdr:cNvPr id="7" name="TextBox 6"/>
        <cdr:cNvSpPr txBox="1"/>
      </cdr:nvSpPr>
      <cdr:spPr>
        <a:xfrm xmlns:a="http://schemas.openxmlformats.org/drawingml/2006/main">
          <a:off x="2844664" y="1611890"/>
          <a:ext cx="914408" cy="3021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a:t>Equipment</a:t>
          </a:r>
        </a:p>
      </cdr:txBody>
    </cdr:sp>
  </cdr:relSizeAnchor>
</c:userShapes>
</file>

<file path=xl/drawings/drawing12.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2</xdr:col>
      <xdr:colOff>182562</xdr:colOff>
      <xdr:row>61</xdr:row>
      <xdr:rowOff>37874</xdr:rowOff>
    </xdr:from>
    <xdr:to>
      <xdr:col>9</xdr:col>
      <xdr:colOff>322035</xdr:colOff>
      <xdr:row>78</xdr:row>
      <xdr:rowOff>82324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643391</xdr:colOff>
      <xdr:row>61</xdr:row>
      <xdr:rowOff>40595</xdr:rowOff>
    </xdr:from>
    <xdr:to>
      <xdr:col>16</xdr:col>
      <xdr:colOff>476249</xdr:colOff>
      <xdr:row>78</xdr:row>
      <xdr:rowOff>85045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387802</xdr:colOff>
      <xdr:row>1</xdr:row>
      <xdr:rowOff>48759</xdr:rowOff>
    </xdr:from>
    <xdr:to>
      <xdr:col>20</xdr:col>
      <xdr:colOff>667665</xdr:colOff>
      <xdr:row>4</xdr:row>
      <xdr:rowOff>72228</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6110740" y="207509"/>
          <a:ext cx="3073863" cy="5870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261938</xdr:colOff>
      <xdr:row>1</xdr:row>
      <xdr:rowOff>55563</xdr:rowOff>
    </xdr:from>
    <xdr:to>
      <xdr:col>20</xdr:col>
      <xdr:colOff>629114</xdr:colOff>
      <xdr:row>4</xdr:row>
      <xdr:rowOff>79032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6064251" y="214313"/>
          <a:ext cx="3097676" cy="59496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444500</xdr:colOff>
      <xdr:row>0</xdr:row>
      <xdr:rowOff>142877</xdr:rowOff>
    </xdr:from>
    <xdr:to>
      <xdr:col>20</xdr:col>
      <xdr:colOff>430676</xdr:colOff>
      <xdr:row>4</xdr:row>
      <xdr:rowOff>7596</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6151563" y="142877"/>
          <a:ext cx="2843676" cy="5870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412750</xdr:colOff>
      <xdr:row>7</xdr:row>
      <xdr:rowOff>65090</xdr:rowOff>
    </xdr:from>
    <xdr:to>
      <xdr:col>36</xdr:col>
      <xdr:colOff>127000</xdr:colOff>
      <xdr:row>20</xdr:row>
      <xdr:rowOff>180977</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142875</xdr:colOff>
      <xdr:row>0</xdr:row>
      <xdr:rowOff>134938</xdr:rowOff>
    </xdr:from>
    <xdr:to>
      <xdr:col>20</xdr:col>
      <xdr:colOff>510051</xdr:colOff>
      <xdr:row>3</xdr:row>
      <xdr:rowOff>174282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6310313" y="134938"/>
          <a:ext cx="2843676" cy="587032"/>
        </a:xfrm>
        <a:prstGeom prst="rect">
          <a:avLst/>
        </a:prstGeom>
      </xdr:spPr>
    </xdr:pic>
    <xdr:clientData/>
  </xdr:twoCellAnchor>
  <xdr:twoCellAnchor>
    <xdr:from>
      <xdr:col>5</xdr:col>
      <xdr:colOff>214312</xdr:colOff>
      <xdr:row>34</xdr:row>
      <xdr:rowOff>5556</xdr:rowOff>
    </xdr:from>
    <xdr:to>
      <xdr:col>13</xdr:col>
      <xdr:colOff>428625</xdr:colOff>
      <xdr:row>51</xdr:row>
      <xdr:rowOff>50006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69057</xdr:colOff>
      <xdr:row>34</xdr:row>
      <xdr:rowOff>15081</xdr:rowOff>
    </xdr:from>
    <xdr:to>
      <xdr:col>25</xdr:col>
      <xdr:colOff>307182</xdr:colOff>
      <xdr:row>51</xdr:row>
      <xdr:rowOff>59531</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270756</xdr:colOff>
      <xdr:row>1</xdr:row>
      <xdr:rowOff>36161</xdr:rowOff>
    </xdr:from>
    <xdr:to>
      <xdr:col>20</xdr:col>
      <xdr:colOff>633522</xdr:colOff>
      <xdr:row>4</xdr:row>
      <xdr:rowOff>59630</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6311194" y="194911"/>
          <a:ext cx="3252016" cy="5870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269875</xdr:colOff>
      <xdr:row>0</xdr:row>
      <xdr:rowOff>150814</xdr:rowOff>
    </xdr:from>
    <xdr:to>
      <xdr:col>20</xdr:col>
      <xdr:colOff>637051</xdr:colOff>
      <xdr:row>4</xdr:row>
      <xdr:rowOff>15533</xdr:rowOff>
    </xdr:to>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6310313" y="150814"/>
          <a:ext cx="3256426" cy="587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105833</xdr:colOff>
      <xdr:row>9</xdr:row>
      <xdr:rowOff>30239</xdr:rowOff>
    </xdr:from>
    <xdr:to>
      <xdr:col>12</xdr:col>
      <xdr:colOff>433917</xdr:colOff>
      <xdr:row>34</xdr:row>
      <xdr:rowOff>12096</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84667</xdr:colOff>
      <xdr:row>44</xdr:row>
      <xdr:rowOff>30238</xdr:rowOff>
    </xdr:from>
    <xdr:to>
      <xdr:col>9</xdr:col>
      <xdr:colOff>603250</xdr:colOff>
      <xdr:row>65</xdr:row>
      <xdr:rowOff>94343</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42333</xdr:colOff>
      <xdr:row>217</xdr:row>
      <xdr:rowOff>31750</xdr:rowOff>
    </xdr:from>
    <xdr:to>
      <xdr:col>9</xdr:col>
      <xdr:colOff>825500</xdr:colOff>
      <xdr:row>239</xdr:row>
      <xdr:rowOff>22114</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63500</xdr:colOff>
      <xdr:row>146</xdr:row>
      <xdr:rowOff>63501</xdr:rowOff>
    </xdr:from>
    <xdr:to>
      <xdr:col>8</xdr:col>
      <xdr:colOff>211667</xdr:colOff>
      <xdr:row>167</xdr:row>
      <xdr:rowOff>127001</xdr:rowOff>
    </xdr:to>
    <xdr:graphicFrame macro="">
      <xdr:nvGraphicFramePr>
        <xdr:cNvPr id="5" name="Chart 4">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39013</xdr:colOff>
      <xdr:row>80</xdr:row>
      <xdr:rowOff>122464</xdr:rowOff>
    </xdr:from>
    <xdr:to>
      <xdr:col>8</xdr:col>
      <xdr:colOff>613834</xdr:colOff>
      <xdr:row>99</xdr:row>
      <xdr:rowOff>21167</xdr:rowOff>
    </xdr:to>
    <xdr:graphicFrame macro="">
      <xdr:nvGraphicFramePr>
        <xdr:cNvPr id="6" name="Chart 5">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95250</xdr:colOff>
      <xdr:row>114</xdr:row>
      <xdr:rowOff>43543</xdr:rowOff>
    </xdr:from>
    <xdr:to>
      <xdr:col>9</xdr:col>
      <xdr:colOff>687917</xdr:colOff>
      <xdr:row>132</xdr:row>
      <xdr:rowOff>137584</xdr:rowOff>
    </xdr:to>
    <xdr:graphicFrame macro="">
      <xdr:nvGraphicFramePr>
        <xdr:cNvPr id="7" name="Chart 6">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264583</xdr:colOff>
      <xdr:row>180</xdr:row>
      <xdr:rowOff>78620</xdr:rowOff>
    </xdr:from>
    <xdr:to>
      <xdr:col>10</xdr:col>
      <xdr:colOff>21166</xdr:colOff>
      <xdr:row>202</xdr:row>
      <xdr:rowOff>84063</xdr:rowOff>
    </xdr:to>
    <xdr:graphicFrame macro="">
      <xdr:nvGraphicFramePr>
        <xdr:cNvPr id="8" name="Chart 7">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47850</xdr:colOff>
      <xdr:row>43</xdr:row>
      <xdr:rowOff>116606</xdr:rowOff>
    </xdr:from>
    <xdr:to>
      <xdr:col>28</xdr:col>
      <xdr:colOff>344713</xdr:colOff>
      <xdr:row>64</xdr:row>
      <xdr:rowOff>145143</xdr:rowOff>
    </xdr:to>
    <xdr:graphicFrame macro="">
      <xdr:nvGraphicFramePr>
        <xdr:cNvPr id="9" name="Chart 4">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63500</xdr:colOff>
      <xdr:row>251</xdr:row>
      <xdr:rowOff>67846</xdr:rowOff>
    </xdr:from>
    <xdr:to>
      <xdr:col>9</xdr:col>
      <xdr:colOff>730250</xdr:colOff>
      <xdr:row>273</xdr:row>
      <xdr:rowOff>82927</xdr:rowOff>
    </xdr:to>
    <xdr:graphicFrame macro="">
      <xdr:nvGraphicFramePr>
        <xdr:cNvPr id="11" name="Chart 10">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589644</xdr:colOff>
      <xdr:row>0</xdr:row>
      <xdr:rowOff>127000</xdr:rowOff>
    </xdr:from>
    <xdr:to>
      <xdr:col>18</xdr:col>
      <xdr:colOff>466961</xdr:colOff>
      <xdr:row>4</xdr:row>
      <xdr:rowOff>121104</xdr:rowOff>
    </xdr:to>
    <xdr:pic>
      <xdr:nvPicPr>
        <xdr:cNvPr id="13" name="Picture 12">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0"/>
        <a:stretch>
          <a:fillRect/>
        </a:stretch>
      </xdr:blipFill>
      <xdr:spPr>
        <a:xfrm>
          <a:off x="12797519" y="127000"/>
          <a:ext cx="4163567" cy="889000"/>
        </a:xfrm>
        <a:prstGeom prst="rect">
          <a:avLst/>
        </a:prstGeom>
      </xdr:spPr>
    </xdr:pic>
    <xdr:clientData/>
  </xdr:twoCellAnchor>
  <xdr:twoCellAnchor>
    <xdr:from>
      <xdr:col>9</xdr:col>
      <xdr:colOff>290284</xdr:colOff>
      <xdr:row>81</xdr:row>
      <xdr:rowOff>16329</xdr:rowOff>
    </xdr:from>
    <xdr:to>
      <xdr:col>16</xdr:col>
      <xdr:colOff>707571</xdr:colOff>
      <xdr:row>98</xdr:row>
      <xdr:rowOff>127000</xdr:rowOff>
    </xdr:to>
    <xdr:graphicFrame macro="">
      <xdr:nvGraphicFramePr>
        <xdr:cNvPr id="14" name="Chart 1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117930</xdr:colOff>
      <xdr:row>81</xdr:row>
      <xdr:rowOff>18144</xdr:rowOff>
    </xdr:from>
    <xdr:to>
      <xdr:col>25</xdr:col>
      <xdr:colOff>136071</xdr:colOff>
      <xdr:row>98</xdr:row>
      <xdr:rowOff>108857</xdr:rowOff>
    </xdr:to>
    <xdr:graphicFrame macro="">
      <xdr:nvGraphicFramePr>
        <xdr:cNvPr id="15" name="Chart 14">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705305</xdr:colOff>
      <xdr:row>0</xdr:row>
      <xdr:rowOff>208643</xdr:rowOff>
    </xdr:from>
    <xdr:to>
      <xdr:col>18</xdr:col>
      <xdr:colOff>72356</xdr:colOff>
      <xdr:row>4</xdr:row>
      <xdr:rowOff>89237</xdr:rowOff>
    </xdr:to>
    <xdr:pic>
      <xdr:nvPicPr>
        <xdr:cNvPr id="2"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97430" y="208643"/>
          <a:ext cx="4113676" cy="88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766535</xdr:colOff>
      <xdr:row>0</xdr:row>
      <xdr:rowOff>182562</xdr:rowOff>
    </xdr:from>
    <xdr:to>
      <xdr:col>17</xdr:col>
      <xdr:colOff>725497</xdr:colOff>
      <xdr:row>4</xdr:row>
      <xdr:rowOff>63156</xdr:rowOff>
    </xdr:to>
    <xdr:pic>
      <xdr:nvPicPr>
        <xdr:cNvPr id="2" name="Picture 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4855598" y="182562"/>
          <a:ext cx="4126149" cy="888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953633</xdr:colOff>
      <xdr:row>0</xdr:row>
      <xdr:rowOff>230188</xdr:rowOff>
    </xdr:from>
    <xdr:to>
      <xdr:col>16</xdr:col>
      <xdr:colOff>819612</xdr:colOff>
      <xdr:row>4</xdr:row>
      <xdr:rowOff>109648</xdr:rowOff>
    </xdr:to>
    <xdr:pic>
      <xdr:nvPicPr>
        <xdr:cNvPr id="2" name="Picture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844008" y="230188"/>
          <a:ext cx="4104604" cy="8875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588508</xdr:colOff>
      <xdr:row>0</xdr:row>
      <xdr:rowOff>99786</xdr:rowOff>
    </xdr:from>
    <xdr:to>
      <xdr:col>18</xdr:col>
      <xdr:colOff>122245</xdr:colOff>
      <xdr:row>3</xdr:row>
      <xdr:rowOff>128925</xdr:rowOff>
    </xdr:to>
    <xdr:pic>
      <xdr:nvPicPr>
        <xdr:cNvPr id="2" name="Picture 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3491708" y="99786"/>
          <a:ext cx="4132724" cy="880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875393</xdr:colOff>
      <xdr:row>0</xdr:row>
      <xdr:rowOff>185964</xdr:rowOff>
    </xdr:from>
    <xdr:to>
      <xdr:col>17</xdr:col>
      <xdr:colOff>37200</xdr:colOff>
      <xdr:row>4</xdr:row>
      <xdr:rowOff>64290</xdr:rowOff>
    </xdr:to>
    <xdr:pic>
      <xdr:nvPicPr>
        <xdr:cNvPr id="2"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46643" y="185964"/>
          <a:ext cx="4090995" cy="8863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392339</xdr:colOff>
      <xdr:row>0</xdr:row>
      <xdr:rowOff>238125</xdr:rowOff>
    </xdr:from>
    <xdr:to>
      <xdr:col>15</xdr:col>
      <xdr:colOff>628675</xdr:colOff>
      <xdr:row>4</xdr:row>
      <xdr:rowOff>118719</xdr:rowOff>
    </xdr:to>
    <xdr:pic>
      <xdr:nvPicPr>
        <xdr:cNvPr id="2" name="Picture 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584214" y="238125"/>
          <a:ext cx="4108003" cy="8886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97519</xdr:colOff>
      <xdr:row>289</xdr:row>
      <xdr:rowOff>55928</xdr:rowOff>
    </xdr:from>
    <xdr:to>
      <xdr:col>11</xdr:col>
      <xdr:colOff>320146</xdr:colOff>
      <xdr:row>307</xdr:row>
      <xdr:rowOff>42333</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457539</xdr:colOff>
      <xdr:row>216</xdr:row>
      <xdr:rowOff>118267</xdr:rowOff>
    </xdr:from>
    <xdr:to>
      <xdr:col>12</xdr:col>
      <xdr:colOff>841375</xdr:colOff>
      <xdr:row>232</xdr:row>
      <xdr:rowOff>79374</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210910</xdr:colOff>
      <xdr:row>74</xdr:row>
      <xdr:rowOff>15875</xdr:rowOff>
    </xdr:from>
    <xdr:to>
      <xdr:col>10</xdr:col>
      <xdr:colOff>83344</xdr:colOff>
      <xdr:row>89</xdr:row>
      <xdr:rowOff>39668</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71438</xdr:colOff>
      <xdr:row>74</xdr:row>
      <xdr:rowOff>15874</xdr:rowOff>
    </xdr:from>
    <xdr:to>
      <xdr:col>17</xdr:col>
      <xdr:colOff>7938</xdr:colOff>
      <xdr:row>89</xdr:row>
      <xdr:rowOff>39686</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738185</xdr:colOff>
      <xdr:row>50</xdr:row>
      <xdr:rowOff>86178</xdr:rowOff>
    </xdr:from>
    <xdr:to>
      <xdr:col>20</xdr:col>
      <xdr:colOff>55563</xdr:colOff>
      <xdr:row>66</xdr:row>
      <xdr:rowOff>158296</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25650</xdr:colOff>
      <xdr:row>21</xdr:row>
      <xdr:rowOff>158385</xdr:rowOff>
    </xdr:from>
    <xdr:to>
      <xdr:col>17</xdr:col>
      <xdr:colOff>412750</xdr:colOff>
      <xdr:row>37</xdr:row>
      <xdr:rowOff>121582</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158750</xdr:colOff>
      <xdr:row>21</xdr:row>
      <xdr:rowOff>158385</xdr:rowOff>
    </xdr:from>
    <xdr:to>
      <xdr:col>11</xdr:col>
      <xdr:colOff>95249</xdr:colOff>
      <xdr:row>37</xdr:row>
      <xdr:rowOff>119061</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184264</xdr:colOff>
      <xdr:row>103</xdr:row>
      <xdr:rowOff>107157</xdr:rowOff>
    </xdr:from>
    <xdr:to>
      <xdr:col>23</xdr:col>
      <xdr:colOff>158750</xdr:colOff>
      <xdr:row>122</xdr:row>
      <xdr:rowOff>103187</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730250</xdr:colOff>
      <xdr:row>308</xdr:row>
      <xdr:rowOff>51595</xdr:rowOff>
    </xdr:from>
    <xdr:to>
      <xdr:col>18</xdr:col>
      <xdr:colOff>202406</xdr:colOff>
      <xdr:row>322</xdr:row>
      <xdr:rowOff>146844</xdr:rowOff>
    </xdr:to>
    <xdr:graphicFrame macro="">
      <xdr:nvGraphicFramePr>
        <xdr:cNvPr id="37" name="Chart 36">
          <a:extLst>
            <a:ext uri="{FF2B5EF4-FFF2-40B4-BE49-F238E27FC236}">
              <a16:creationId xmlns:a16="http://schemas.microsoft.com/office/drawing/2014/main" id="{00000000-0008-0000-0B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134937</xdr:colOff>
      <xdr:row>308</xdr:row>
      <xdr:rowOff>11907</xdr:rowOff>
    </xdr:from>
    <xdr:to>
      <xdr:col>11</xdr:col>
      <xdr:colOff>555626</xdr:colOff>
      <xdr:row>322</xdr:row>
      <xdr:rowOff>95250</xdr:rowOff>
    </xdr:to>
    <xdr:graphicFrame macro="">
      <xdr:nvGraphicFramePr>
        <xdr:cNvPr id="22" name="Chart 21">
          <a:extLst>
            <a:ext uri="{FF2B5EF4-FFF2-40B4-BE49-F238E27FC236}">
              <a16:creationId xmlns:a16="http://schemas.microsoft.com/office/drawing/2014/main" id="{00000000-0008-0000-0B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603251</xdr:colOff>
      <xdr:row>182</xdr:row>
      <xdr:rowOff>33113</xdr:rowOff>
    </xdr:from>
    <xdr:to>
      <xdr:col>30</xdr:col>
      <xdr:colOff>455084</xdr:colOff>
      <xdr:row>199</xdr:row>
      <xdr:rowOff>79375</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115094</xdr:colOff>
      <xdr:row>245</xdr:row>
      <xdr:rowOff>99219</xdr:rowOff>
    </xdr:from>
    <xdr:to>
      <xdr:col>13</xdr:col>
      <xdr:colOff>579437</xdr:colOff>
      <xdr:row>262</xdr:row>
      <xdr:rowOff>111125</xdr:rowOff>
    </xdr:to>
    <xdr:graphicFrame macro="">
      <xdr:nvGraphicFramePr>
        <xdr:cNvPr id="24" name="Chart 23">
          <a:extLst>
            <a:ext uri="{FF2B5EF4-FFF2-40B4-BE49-F238E27FC236}">
              <a16:creationId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111125</xdr:colOff>
      <xdr:row>218</xdr:row>
      <xdr:rowOff>7937</xdr:rowOff>
    </xdr:from>
    <xdr:to>
      <xdr:col>25</xdr:col>
      <xdr:colOff>769938</xdr:colOff>
      <xdr:row>231</xdr:row>
      <xdr:rowOff>95249</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452436</xdr:colOff>
      <xdr:row>7</xdr:row>
      <xdr:rowOff>78977</xdr:rowOff>
    </xdr:from>
    <xdr:to>
      <xdr:col>23</xdr:col>
      <xdr:colOff>515936</xdr:colOff>
      <xdr:row>15</xdr:row>
      <xdr:rowOff>134937</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29</xdr:col>
      <xdr:colOff>269873</xdr:colOff>
      <xdr:row>74</xdr:row>
      <xdr:rowOff>57151</xdr:rowOff>
    </xdr:from>
    <xdr:to>
      <xdr:col>37</xdr:col>
      <xdr:colOff>404811</xdr:colOff>
      <xdr:row>89</xdr:row>
      <xdr:rowOff>80964</xdr:rowOff>
    </xdr:to>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232833</xdr:colOff>
      <xdr:row>21</xdr:row>
      <xdr:rowOff>5293</xdr:rowOff>
    </xdr:from>
    <xdr:to>
      <xdr:col>39</xdr:col>
      <xdr:colOff>26458</xdr:colOff>
      <xdr:row>36</xdr:row>
      <xdr:rowOff>93135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417245</xdr:colOff>
      <xdr:row>104</xdr:row>
      <xdr:rowOff>26534</xdr:rowOff>
    </xdr:from>
    <xdr:to>
      <xdr:col>11</xdr:col>
      <xdr:colOff>769939</xdr:colOff>
      <xdr:row>122</xdr:row>
      <xdr:rowOff>42333</xdr:rowOff>
    </xdr:to>
    <xdr:graphicFrame macro="">
      <xdr:nvGraphicFramePr>
        <xdr:cNvPr id="32" name="Chart 31">
          <a:extLst>
            <a:ext uri="{FF2B5EF4-FFF2-40B4-BE49-F238E27FC236}">
              <a16:creationId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23</xdr:col>
      <xdr:colOff>225537</xdr:colOff>
      <xdr:row>103</xdr:row>
      <xdr:rowOff>129167</xdr:rowOff>
    </xdr:from>
    <xdr:to>
      <xdr:col>34</xdr:col>
      <xdr:colOff>15875</xdr:colOff>
      <xdr:row>122</xdr:row>
      <xdr:rowOff>127001</xdr:rowOff>
    </xdr:to>
    <xdr:graphicFrame macro="">
      <xdr:nvGraphicFramePr>
        <xdr:cNvPr id="33" name="Chart 32">
          <a:extLst>
            <a:ext uri="{FF2B5EF4-FFF2-40B4-BE49-F238E27FC236}">
              <a16:creationId xmlns:a16="http://schemas.microsoft.com/office/drawing/2014/main" id="{00000000-0008-0000-0B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211362</xdr:colOff>
      <xdr:row>153</xdr:row>
      <xdr:rowOff>21622</xdr:rowOff>
    </xdr:from>
    <xdr:to>
      <xdr:col>12</xdr:col>
      <xdr:colOff>587375</xdr:colOff>
      <xdr:row>172</xdr:row>
      <xdr:rowOff>137132</xdr:rowOff>
    </xdr:to>
    <xdr:graphicFrame macro="">
      <xdr:nvGraphicFramePr>
        <xdr:cNvPr id="34" name="Chart 33">
          <a:extLst>
            <a:ext uri="{FF2B5EF4-FFF2-40B4-BE49-F238E27FC236}">
              <a16:creationId xmlns:a16="http://schemas.microsoft.com/office/drawing/2014/main" id="{00000000-0008-0000-0B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182563</xdr:colOff>
      <xdr:row>153</xdr:row>
      <xdr:rowOff>127001</xdr:rowOff>
    </xdr:from>
    <xdr:to>
      <xdr:col>23</xdr:col>
      <xdr:colOff>31750</xdr:colOff>
      <xdr:row>169</xdr:row>
      <xdr:rowOff>60326</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23</xdr:col>
      <xdr:colOff>650874</xdr:colOff>
      <xdr:row>154</xdr:row>
      <xdr:rowOff>116417</xdr:rowOff>
    </xdr:from>
    <xdr:to>
      <xdr:col>32</xdr:col>
      <xdr:colOff>476249</xdr:colOff>
      <xdr:row>167</xdr:row>
      <xdr:rowOff>158749</xdr:rowOff>
    </xdr:to>
    <xdr:graphicFrame macro="">
      <xdr:nvGraphicFramePr>
        <xdr:cNvPr id="39" name="Chart 38">
          <a:extLst>
            <a:ext uri="{FF2B5EF4-FFF2-40B4-BE49-F238E27FC236}">
              <a16:creationId xmlns:a16="http://schemas.microsoft.com/office/drawing/2014/main" id="{00000000-0008-0000-0B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33</xdr:col>
      <xdr:colOff>23813</xdr:colOff>
      <xdr:row>154</xdr:row>
      <xdr:rowOff>95250</xdr:rowOff>
    </xdr:from>
    <xdr:to>
      <xdr:col>41</xdr:col>
      <xdr:colOff>635000</xdr:colOff>
      <xdr:row>167</xdr:row>
      <xdr:rowOff>158750</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396764</xdr:colOff>
      <xdr:row>182</xdr:row>
      <xdr:rowOff>82552</xdr:rowOff>
    </xdr:from>
    <xdr:to>
      <xdr:col>22</xdr:col>
      <xdr:colOff>423334</xdr:colOff>
      <xdr:row>199</xdr:row>
      <xdr:rowOff>79375</xdr:rowOff>
    </xdr:to>
    <xdr:graphicFrame macro="">
      <xdr:nvGraphicFramePr>
        <xdr:cNvPr id="41" name="Chart 40">
          <a:extLst>
            <a:ext uri="{FF2B5EF4-FFF2-40B4-BE49-F238E27FC236}">
              <a16:creationId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341311</xdr:colOff>
      <xdr:row>50</xdr:row>
      <xdr:rowOff>119063</xdr:rowOff>
    </xdr:from>
    <xdr:to>
      <xdr:col>28</xdr:col>
      <xdr:colOff>508000</xdr:colOff>
      <xdr:row>67</xdr:row>
      <xdr:rowOff>23813</xdr:rowOff>
    </xdr:to>
    <xdr:graphicFrame macro="">
      <xdr:nvGraphicFramePr>
        <xdr:cNvPr id="42" name="Chart 41">
          <a:extLst>
            <a:ext uri="{FF2B5EF4-FFF2-40B4-BE49-F238E27FC236}">
              <a16:creationId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50</xdr:col>
      <xdr:colOff>412750</xdr:colOff>
      <xdr:row>21</xdr:row>
      <xdr:rowOff>47624</xdr:rowOff>
    </xdr:from>
    <xdr:to>
      <xdr:col>59</xdr:col>
      <xdr:colOff>553357</xdr:colOff>
      <xdr:row>36</xdr:row>
      <xdr:rowOff>177118</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52</xdr:col>
      <xdr:colOff>242360</xdr:colOff>
      <xdr:row>38</xdr:row>
      <xdr:rowOff>33336</xdr:rowOff>
    </xdr:from>
    <xdr:to>
      <xdr:col>62</xdr:col>
      <xdr:colOff>97896</xdr:colOff>
      <xdr:row>55</xdr:row>
      <xdr:rowOff>12019</xdr:rowOff>
    </xdr:to>
    <xdr:graphicFrame macro="">
      <xdr:nvGraphicFramePr>
        <xdr:cNvPr id="45" name="Chart 44">
          <a:extLst>
            <a:ext uri="{FF2B5EF4-FFF2-40B4-BE49-F238E27FC236}">
              <a16:creationId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40</xdr:col>
      <xdr:colOff>730249</xdr:colOff>
      <xdr:row>184</xdr:row>
      <xdr:rowOff>100541</xdr:rowOff>
    </xdr:from>
    <xdr:to>
      <xdr:col>47</xdr:col>
      <xdr:colOff>297657</xdr:colOff>
      <xdr:row>197</xdr:row>
      <xdr:rowOff>116812</xdr:rowOff>
    </xdr:to>
    <xdr:graphicFrame macro="">
      <xdr:nvGraphicFramePr>
        <xdr:cNvPr id="46" name="Chart 45">
          <a:extLst>
            <a:ext uri="{FF2B5EF4-FFF2-40B4-BE49-F238E27FC236}">
              <a16:creationId xmlns:a16="http://schemas.microsoft.com/office/drawing/2014/main" id="{00000000-0008-0000-0B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41</xdr:col>
      <xdr:colOff>153984</xdr:colOff>
      <xdr:row>50</xdr:row>
      <xdr:rowOff>136978</xdr:rowOff>
    </xdr:from>
    <xdr:to>
      <xdr:col>50</xdr:col>
      <xdr:colOff>261937</xdr:colOff>
      <xdr:row>67</xdr:row>
      <xdr:rowOff>50346</xdr:rowOff>
    </xdr:to>
    <xdr:graphicFrame macro="">
      <xdr:nvGraphicFramePr>
        <xdr:cNvPr id="44" name="Chart 43">
          <a:extLst>
            <a:ext uri="{FF2B5EF4-FFF2-40B4-BE49-F238E27FC236}">
              <a16:creationId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555625</xdr:colOff>
      <xdr:row>50</xdr:row>
      <xdr:rowOff>113694</xdr:rowOff>
    </xdr:from>
    <xdr:to>
      <xdr:col>11</xdr:col>
      <xdr:colOff>674687</xdr:colOff>
      <xdr:row>67</xdr:row>
      <xdr:rowOff>17537</xdr:rowOff>
    </xdr:to>
    <xdr:graphicFrame macro="">
      <xdr:nvGraphicFramePr>
        <xdr:cNvPr id="48" name="Chart 47">
          <a:extLst>
            <a:ext uri="{FF2B5EF4-FFF2-40B4-BE49-F238E27FC236}">
              <a16:creationId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15</xdr:col>
      <xdr:colOff>134937</xdr:colOff>
      <xdr:row>0</xdr:row>
      <xdr:rowOff>55562</xdr:rowOff>
    </xdr:from>
    <xdr:to>
      <xdr:col>19</xdr:col>
      <xdr:colOff>168738</xdr:colOff>
      <xdr:row>3</xdr:row>
      <xdr:rowOff>94906</xdr:rowOff>
    </xdr:to>
    <xdr:pic>
      <xdr:nvPicPr>
        <xdr:cNvPr id="51" name="Picture 50">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30"/>
        <a:stretch>
          <a:fillRect/>
        </a:stretch>
      </xdr:blipFill>
      <xdr:spPr>
        <a:xfrm>
          <a:off x="10882312" y="55562"/>
          <a:ext cx="3177051" cy="666407"/>
        </a:xfrm>
        <a:prstGeom prst="rect">
          <a:avLst/>
        </a:prstGeom>
      </xdr:spPr>
    </xdr:pic>
    <xdr:clientData/>
  </xdr:twoCellAnchor>
  <xdr:twoCellAnchor editAs="oneCell">
    <xdr:from>
      <xdr:col>37</xdr:col>
      <xdr:colOff>238124</xdr:colOff>
      <xdr:row>21</xdr:row>
      <xdr:rowOff>122003</xdr:rowOff>
    </xdr:from>
    <xdr:to>
      <xdr:col>38</xdr:col>
      <xdr:colOff>474667</xdr:colOff>
      <xdr:row>22</xdr:row>
      <xdr:rowOff>134594</xdr:rowOff>
    </xdr:to>
    <xdr:pic>
      <xdr:nvPicPr>
        <xdr:cNvPr id="52" name="Picture 51">
          <a:extLst>
            <a:ext uri="{FF2B5EF4-FFF2-40B4-BE49-F238E27FC236}">
              <a16:creationId xmlns:a16="http://schemas.microsoft.com/office/drawing/2014/main" id="{00000000-0008-0000-0B00-000034000000}"/>
            </a:ext>
          </a:extLst>
        </xdr:cNvPr>
        <xdr:cNvPicPr>
          <a:picLocks noChangeAspect="1"/>
        </xdr:cNvPicPr>
      </xdr:nvPicPr>
      <xdr:blipFill>
        <a:blip xmlns:r="http://schemas.openxmlformats.org/officeDocument/2006/relationships" r:embed="rId30"/>
        <a:stretch>
          <a:fillRect/>
        </a:stretch>
      </xdr:blipFill>
      <xdr:spPr>
        <a:xfrm>
          <a:off x="28328937" y="5964003"/>
          <a:ext cx="879480" cy="171341"/>
        </a:xfrm>
        <a:prstGeom prst="rect">
          <a:avLst/>
        </a:prstGeom>
      </xdr:spPr>
    </xdr:pic>
    <xdr:clientData/>
  </xdr:twoCellAnchor>
  <xdr:twoCellAnchor editAs="oneCell">
    <xdr:from>
      <xdr:col>15</xdr:col>
      <xdr:colOff>119063</xdr:colOff>
      <xdr:row>74</xdr:row>
      <xdr:rowOff>130298</xdr:rowOff>
    </xdr:from>
    <xdr:to>
      <xdr:col>16</xdr:col>
      <xdr:colOff>430676</xdr:colOff>
      <xdr:row>76</xdr:row>
      <xdr:rowOff>15531</xdr:rowOff>
    </xdr:to>
    <xdr:pic>
      <xdr:nvPicPr>
        <xdr:cNvPr id="53" name="Picture 52">
          <a:extLst>
            <a:ext uri="{FF2B5EF4-FFF2-40B4-BE49-F238E27FC236}">
              <a16:creationId xmlns:a16="http://schemas.microsoft.com/office/drawing/2014/main" id="{00000000-0008-0000-0B00-000035000000}"/>
            </a:ext>
          </a:extLst>
        </xdr:cNvPr>
        <xdr:cNvPicPr>
          <a:picLocks noChangeAspect="1"/>
        </xdr:cNvPicPr>
      </xdr:nvPicPr>
      <xdr:blipFill>
        <a:blip xmlns:r="http://schemas.openxmlformats.org/officeDocument/2006/relationships" r:embed="rId30"/>
        <a:stretch>
          <a:fillRect/>
        </a:stretch>
      </xdr:blipFill>
      <xdr:spPr>
        <a:xfrm>
          <a:off x="10985501" y="18426236"/>
          <a:ext cx="1097426" cy="226546"/>
        </a:xfrm>
        <a:prstGeom prst="rect">
          <a:avLst/>
        </a:prstGeom>
      </xdr:spPr>
    </xdr:pic>
    <xdr:clientData/>
  </xdr:twoCellAnchor>
  <xdr:twoCellAnchor editAs="oneCell">
    <xdr:from>
      <xdr:col>8</xdr:col>
      <xdr:colOff>485775</xdr:colOff>
      <xdr:row>74</xdr:row>
      <xdr:rowOff>52510</xdr:rowOff>
    </xdr:from>
    <xdr:to>
      <xdr:col>10</xdr:col>
      <xdr:colOff>11576</xdr:colOff>
      <xdr:row>75</xdr:row>
      <xdr:rowOff>120306</xdr:rowOff>
    </xdr:to>
    <xdr:pic>
      <xdr:nvPicPr>
        <xdr:cNvPr id="54" name="Picture 53">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30"/>
        <a:stretch>
          <a:fillRect/>
        </a:stretch>
      </xdr:blipFill>
      <xdr:spPr>
        <a:xfrm>
          <a:off x="6391275" y="18348448"/>
          <a:ext cx="1097426" cy="226546"/>
        </a:xfrm>
        <a:prstGeom prst="rect">
          <a:avLst/>
        </a:prstGeom>
      </xdr:spPr>
    </xdr:pic>
    <xdr:clientData/>
  </xdr:twoCellAnchor>
  <xdr:twoCellAnchor>
    <xdr:from>
      <xdr:col>34</xdr:col>
      <xdr:colOff>170655</xdr:colOff>
      <xdr:row>104</xdr:row>
      <xdr:rowOff>7938</xdr:rowOff>
    </xdr:from>
    <xdr:to>
      <xdr:col>43</xdr:col>
      <xdr:colOff>47625</xdr:colOff>
      <xdr:row>123</xdr:row>
      <xdr:rowOff>6350</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37</xdr:col>
      <xdr:colOff>543981</xdr:colOff>
      <xdr:row>73</xdr:row>
      <xdr:rowOff>148697</xdr:rowOff>
    </xdr:from>
    <xdr:to>
      <xdr:col>45</xdr:col>
      <xdr:colOff>330730</xdr:colOff>
      <xdr:row>89</xdr:row>
      <xdr:rowOff>74084</xdr:rowOff>
    </xdr:to>
    <xdr:graphicFrame macro="">
      <xdr:nvGraphicFramePr>
        <xdr:cNvPr id="47" name="Chart 46">
          <a:extLst>
            <a:ext uri="{FF2B5EF4-FFF2-40B4-BE49-F238E27FC236}">
              <a16:creationId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160338</xdr:colOff>
      <xdr:row>74</xdr:row>
      <xdr:rowOff>20108</xdr:rowOff>
    </xdr:from>
    <xdr:to>
      <xdr:col>22</xdr:col>
      <xdr:colOff>650875</xdr:colOff>
      <xdr:row>89</xdr:row>
      <xdr:rowOff>41275</xdr:rowOff>
    </xdr:to>
    <xdr:graphicFrame macro="">
      <xdr:nvGraphicFramePr>
        <xdr:cNvPr id="49" name="Chart 48">
          <a:extLst>
            <a:ext uri="{FF2B5EF4-FFF2-40B4-BE49-F238E27FC236}">
              <a16:creationId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30</xdr:col>
      <xdr:colOff>571500</xdr:colOff>
      <xdr:row>182</xdr:row>
      <xdr:rowOff>42333</xdr:rowOff>
    </xdr:from>
    <xdr:to>
      <xdr:col>39</xdr:col>
      <xdr:colOff>148167</xdr:colOff>
      <xdr:row>199</xdr:row>
      <xdr:rowOff>31748</xdr:rowOff>
    </xdr:to>
    <xdr:graphicFrame macro="">
      <xdr:nvGraphicFramePr>
        <xdr:cNvPr id="50" name="Chart 49">
          <a:extLst>
            <a:ext uri="{FF2B5EF4-FFF2-40B4-BE49-F238E27FC236}">
              <a16:creationId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46260</xdr:colOff>
      <xdr:row>182</xdr:row>
      <xdr:rowOff>86709</xdr:rowOff>
    </xdr:from>
    <xdr:to>
      <xdr:col>12</xdr:col>
      <xdr:colOff>41275</xdr:colOff>
      <xdr:row>199</xdr:row>
      <xdr:rowOff>173567</xdr:rowOff>
    </xdr:to>
    <xdr:graphicFrame macro="">
      <xdr:nvGraphicFramePr>
        <xdr:cNvPr id="56" name="Chart 55">
          <a:extLst>
            <a:ext uri="{FF2B5EF4-FFF2-40B4-BE49-F238E27FC236}">
              <a16:creationId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8" Type="http://schemas.openxmlformats.org/officeDocument/2006/relationships/hyperlink" Target="https://about.twitter.com/investor" TargetMode="External"/><Relationship Id="rId13" Type="http://schemas.openxmlformats.org/officeDocument/2006/relationships/printerSettings" Target="../printerSettings/printerSettings10.bin"/><Relationship Id="rId3" Type="http://schemas.openxmlformats.org/officeDocument/2006/relationships/hyperlink" Target="http://investor.apple.com/" TargetMode="External"/><Relationship Id="rId7" Type="http://schemas.openxmlformats.org/officeDocument/2006/relationships/hyperlink" Target="http://ir.netflix.com/results.cfm" TargetMode="External"/><Relationship Id="rId12" Type="http://schemas.openxmlformats.org/officeDocument/2006/relationships/hyperlink" Target="http://investor.groupon.com/releases.cfm?ReleasesType=Earnings%20Releases" TargetMode="External"/><Relationship Id="rId2" Type="http://schemas.openxmlformats.org/officeDocument/2006/relationships/hyperlink" Target="http://investor.ebayinc.com/" TargetMode="External"/><Relationship Id="rId16" Type="http://schemas.openxmlformats.org/officeDocument/2006/relationships/comments" Target="../comments7.xml"/><Relationship Id="rId1" Type="http://schemas.openxmlformats.org/officeDocument/2006/relationships/hyperlink" Target="http://phx.corporate-ir.net/phoenix.zhtml?c=97664&amp;p=irol-irhome" TargetMode="External"/><Relationship Id="rId6" Type="http://schemas.openxmlformats.org/officeDocument/2006/relationships/hyperlink" Target="http://www.microsoft.com/investor/Events/default.aspx" TargetMode="External"/><Relationship Id="rId11" Type="http://schemas.openxmlformats.org/officeDocument/2006/relationships/hyperlink" Target="http://www.sec.gov/Archives/edgar/data/1577552/000119312514184994/d709111df1.htm" TargetMode="External"/><Relationship Id="rId5" Type="http://schemas.openxmlformats.org/officeDocument/2006/relationships/hyperlink" Target="http://investor.google.com/" TargetMode="External"/><Relationship Id="rId15" Type="http://schemas.openxmlformats.org/officeDocument/2006/relationships/vmlDrawing" Target="../drawings/vmlDrawing7.vml"/><Relationship Id="rId10" Type="http://schemas.openxmlformats.org/officeDocument/2006/relationships/hyperlink" Target="http://tencent.com/en-us/at/pr/2013.shtml" TargetMode="External"/><Relationship Id="rId4" Type="http://schemas.openxmlformats.org/officeDocument/2006/relationships/hyperlink" Target="http://investor.fb.com/" TargetMode="External"/><Relationship Id="rId9" Type="http://schemas.openxmlformats.org/officeDocument/2006/relationships/hyperlink" Target="http://ir.baidu.com/phoenix.zhtml?c=188488&amp;p=irol-reportsAnnual" TargetMode="External"/><Relationship Id="rId14"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N62"/>
  <sheetViews>
    <sheetView showGridLines="0" tabSelected="1" zoomScale="80" zoomScaleNormal="80" zoomScalePageLayoutView="80" workbookViewId="0"/>
  </sheetViews>
  <sheetFormatPr defaultColWidth="8.6640625" defaultRowHeight="13.2"/>
  <cols>
    <col min="1" max="1" width="4.44140625" style="45" customWidth="1"/>
    <col min="2" max="2" width="36.21875" style="45" customWidth="1"/>
    <col min="3" max="3" width="55.33203125" style="45" customWidth="1"/>
    <col min="4" max="16384" width="8.6640625" style="45"/>
  </cols>
  <sheetData>
    <row r="1" spans="1:14" ht="15.6">
      <c r="A1" s="105"/>
      <c r="B1" s="107" t="s">
        <v>667</v>
      </c>
      <c r="C1" s="106"/>
      <c r="D1" s="106"/>
      <c r="E1" s="106"/>
      <c r="F1" s="106"/>
      <c r="G1" s="106"/>
      <c r="H1" s="105"/>
      <c r="I1" s="105"/>
    </row>
    <row r="2" spans="1:14">
      <c r="A2" s="105"/>
      <c r="B2" s="344" t="s">
        <v>666</v>
      </c>
      <c r="C2" s="106"/>
      <c r="D2" s="106"/>
      <c r="E2" s="106"/>
      <c r="F2" s="106"/>
      <c r="G2" s="106"/>
      <c r="H2" s="105"/>
      <c r="I2" s="105"/>
    </row>
    <row r="3" spans="1:14">
      <c r="A3" s="105"/>
      <c r="C3" s="106"/>
      <c r="D3" s="106"/>
      <c r="E3" s="106"/>
      <c r="F3" s="106"/>
      <c r="G3" s="106"/>
      <c r="H3" s="105"/>
      <c r="I3" s="105"/>
    </row>
    <row r="4" spans="1:14" ht="13.8">
      <c r="A4" s="105"/>
      <c r="B4" s="108" t="s">
        <v>187</v>
      </c>
      <c r="C4" s="105"/>
      <c r="D4" s="105"/>
      <c r="E4" s="105"/>
      <c r="F4" s="105"/>
      <c r="G4" s="105"/>
      <c r="H4" s="105"/>
      <c r="I4" s="105"/>
    </row>
    <row r="5" spans="1:14">
      <c r="A5" s="105"/>
      <c r="B5" s="105"/>
      <c r="C5" s="105"/>
      <c r="D5" s="105"/>
      <c r="E5" s="105"/>
      <c r="F5" s="105"/>
      <c r="G5" s="105"/>
      <c r="H5" s="105"/>
      <c r="I5" s="105"/>
    </row>
    <row r="6" spans="1:14">
      <c r="A6" s="105"/>
      <c r="B6" s="1849" t="s">
        <v>372</v>
      </c>
      <c r="C6" s="1850"/>
      <c r="D6" s="1850"/>
      <c r="E6" s="1850"/>
      <c r="F6" s="1850"/>
      <c r="G6" s="1850"/>
      <c r="H6" s="109"/>
      <c r="I6" s="109"/>
      <c r="J6" s="110"/>
      <c r="K6" s="110"/>
      <c r="L6" s="110"/>
      <c r="M6" s="110"/>
      <c r="N6" s="110"/>
    </row>
    <row r="7" spans="1:14">
      <c r="A7" s="105"/>
      <c r="B7" s="1850"/>
      <c r="C7" s="1850"/>
      <c r="D7" s="1850"/>
      <c r="E7" s="1850"/>
      <c r="F7" s="1850"/>
      <c r="G7" s="1850"/>
      <c r="H7" s="109"/>
      <c r="I7" s="109"/>
      <c r="J7" s="110"/>
      <c r="K7" s="110"/>
      <c r="L7" s="110"/>
      <c r="M7" s="110"/>
      <c r="N7" s="110"/>
    </row>
    <row r="8" spans="1:14">
      <c r="A8" s="105"/>
      <c r="B8" s="1850"/>
      <c r="C8" s="1850"/>
      <c r="D8" s="1850"/>
      <c r="E8" s="1850"/>
      <c r="F8" s="1850"/>
      <c r="G8" s="1850"/>
      <c r="H8" s="109"/>
      <c r="I8" s="109"/>
      <c r="J8" s="110"/>
      <c r="K8" s="110"/>
      <c r="L8" s="110"/>
      <c r="M8" s="110"/>
      <c r="N8" s="110"/>
    </row>
    <row r="9" spans="1:14">
      <c r="A9" s="105"/>
      <c r="B9" s="1850"/>
      <c r="C9" s="1850"/>
      <c r="D9" s="1850"/>
      <c r="E9" s="1850"/>
      <c r="F9" s="1850"/>
      <c r="G9" s="1850"/>
      <c r="H9" s="109"/>
      <c r="I9" s="109"/>
      <c r="J9" s="110"/>
      <c r="K9" s="110"/>
      <c r="L9" s="110"/>
      <c r="M9" s="110"/>
      <c r="N9" s="110"/>
    </row>
    <row r="10" spans="1:14">
      <c r="A10" s="105"/>
      <c r="B10" s="1850"/>
      <c r="C10" s="1850"/>
      <c r="D10" s="1850"/>
      <c r="E10" s="1850"/>
      <c r="F10" s="1850"/>
      <c r="G10" s="1850"/>
      <c r="H10" s="109"/>
      <c r="I10" s="109"/>
      <c r="J10" s="110"/>
      <c r="K10" s="110"/>
      <c r="L10" s="110"/>
      <c r="M10" s="110"/>
      <c r="N10" s="110"/>
    </row>
    <row r="11" spans="1:14">
      <c r="A11" s="105"/>
      <c r="B11" s="105"/>
      <c r="C11" s="105"/>
      <c r="D11" s="105"/>
      <c r="E11" s="105"/>
      <c r="F11" s="105"/>
      <c r="G11" s="105"/>
      <c r="H11" s="105"/>
      <c r="I11" s="105"/>
    </row>
    <row r="12" spans="1:14">
      <c r="A12" s="105"/>
      <c r="B12" s="111" t="s">
        <v>188</v>
      </c>
      <c r="C12" s="105"/>
      <c r="D12" s="105"/>
      <c r="E12" s="105"/>
      <c r="F12" s="105"/>
      <c r="G12" s="105"/>
      <c r="H12" s="105"/>
      <c r="I12" s="105"/>
    </row>
    <row r="13" spans="1:14">
      <c r="A13" s="105"/>
      <c r="B13" s="111" t="s">
        <v>189</v>
      </c>
      <c r="C13" s="105"/>
      <c r="D13" s="105"/>
      <c r="E13" s="105"/>
      <c r="F13" s="105"/>
      <c r="G13" s="105"/>
      <c r="H13" s="105"/>
      <c r="I13" s="105"/>
    </row>
    <row r="14" spans="1:14">
      <c r="A14" s="105"/>
      <c r="B14" s="111" t="s">
        <v>190</v>
      </c>
      <c r="C14" s="105"/>
      <c r="D14" s="105"/>
      <c r="E14" s="105"/>
      <c r="F14" s="105"/>
      <c r="G14" s="105"/>
      <c r="H14" s="105"/>
      <c r="I14" s="105"/>
    </row>
    <row r="15" spans="1:14">
      <c r="A15" s="105"/>
      <c r="B15" s="111"/>
      <c r="C15" s="105"/>
      <c r="D15" s="105"/>
      <c r="E15" s="105"/>
      <c r="F15" s="105"/>
      <c r="G15" s="105"/>
      <c r="H15" s="105"/>
      <c r="I15" s="105"/>
    </row>
    <row r="16" spans="1:14">
      <c r="A16" s="105"/>
      <c r="B16" s="105" t="s">
        <v>373</v>
      </c>
      <c r="C16" s="105"/>
      <c r="D16" s="105"/>
      <c r="E16" s="105"/>
      <c r="F16" s="105"/>
      <c r="G16" s="105"/>
      <c r="H16" s="105"/>
      <c r="I16" s="105"/>
    </row>
    <row r="17" spans="1:9">
      <c r="A17" s="105"/>
      <c r="B17" s="105"/>
      <c r="C17" s="105"/>
      <c r="D17" s="105"/>
      <c r="E17" s="105"/>
      <c r="F17" s="105"/>
      <c r="G17" s="105"/>
      <c r="H17" s="105"/>
      <c r="I17" s="105"/>
    </row>
    <row r="18" spans="1:9">
      <c r="A18" s="105"/>
      <c r="B18" s="112" t="s">
        <v>191</v>
      </c>
      <c r="C18" s="113" t="s">
        <v>192</v>
      </c>
      <c r="D18" s="105"/>
      <c r="E18" s="105"/>
      <c r="F18" s="105"/>
      <c r="G18" s="105"/>
      <c r="H18" s="105"/>
      <c r="I18" s="105"/>
    </row>
    <row r="19" spans="1:9">
      <c r="A19" s="105"/>
      <c r="B19" s="114" t="s">
        <v>156</v>
      </c>
      <c r="C19" s="115" t="s">
        <v>193</v>
      </c>
      <c r="D19" s="105"/>
      <c r="E19" s="105"/>
      <c r="G19" s="105"/>
      <c r="H19" s="105"/>
      <c r="I19" s="105"/>
    </row>
    <row r="20" spans="1:9">
      <c r="A20" s="105"/>
      <c r="B20" s="114" t="s">
        <v>45</v>
      </c>
      <c r="C20" s="116" t="s">
        <v>194</v>
      </c>
      <c r="D20" s="105"/>
      <c r="E20" s="105"/>
      <c r="G20" s="105"/>
      <c r="I20" s="105"/>
    </row>
    <row r="21" spans="1:9">
      <c r="A21" s="105"/>
      <c r="B21" s="117" t="s">
        <v>47</v>
      </c>
      <c r="C21" s="116" t="s">
        <v>194</v>
      </c>
      <c r="D21" s="105"/>
      <c r="G21" s="105"/>
      <c r="I21" s="105"/>
    </row>
    <row r="22" spans="1:9">
      <c r="A22" s="105"/>
      <c r="B22" s="118" t="s">
        <v>157</v>
      </c>
      <c r="C22" s="115" t="s">
        <v>193</v>
      </c>
      <c r="D22" s="105"/>
      <c r="E22" s="105"/>
      <c r="F22" s="119"/>
      <c r="G22" s="119"/>
      <c r="H22" s="105"/>
      <c r="I22" s="105"/>
    </row>
    <row r="23" spans="1:9">
      <c r="A23" s="105"/>
      <c r="B23" s="118" t="s">
        <v>158</v>
      </c>
      <c r="C23" s="115" t="s">
        <v>195</v>
      </c>
      <c r="D23" s="105"/>
      <c r="E23" s="105"/>
      <c r="F23" s="119"/>
      <c r="G23" s="119"/>
      <c r="H23" s="105"/>
      <c r="I23" s="105"/>
    </row>
    <row r="24" spans="1:9">
      <c r="A24" s="105"/>
      <c r="B24" s="118" t="s">
        <v>159</v>
      </c>
      <c r="C24" s="116" t="s">
        <v>195</v>
      </c>
      <c r="D24" s="105"/>
      <c r="E24" s="105"/>
      <c r="F24" s="119"/>
      <c r="G24" s="119"/>
      <c r="H24" s="105"/>
      <c r="I24" s="105"/>
    </row>
    <row r="25" spans="1:9">
      <c r="A25" s="105"/>
      <c r="B25" s="118" t="s">
        <v>50</v>
      </c>
      <c r="C25" s="115" t="s">
        <v>196</v>
      </c>
      <c r="D25" s="105"/>
      <c r="E25" s="105"/>
      <c r="F25" s="119"/>
      <c r="G25" s="119"/>
      <c r="H25" s="105"/>
      <c r="I25" s="105"/>
    </row>
    <row r="26" spans="1:9">
      <c r="A26" s="105"/>
      <c r="B26" s="118" t="s">
        <v>412</v>
      </c>
      <c r="C26" s="115" t="s">
        <v>196</v>
      </c>
      <c r="D26" s="105"/>
      <c r="E26" s="105"/>
      <c r="F26" s="119"/>
      <c r="G26" s="119"/>
      <c r="H26" s="105"/>
      <c r="I26" s="105"/>
    </row>
    <row r="27" spans="1:9">
      <c r="A27" s="105"/>
      <c r="B27" s="118" t="s">
        <v>9</v>
      </c>
      <c r="C27" s="116" t="s">
        <v>194</v>
      </c>
      <c r="D27" s="105"/>
      <c r="E27" s="105"/>
      <c r="F27" s="119"/>
      <c r="G27" s="119"/>
      <c r="H27" s="105"/>
      <c r="I27" s="105"/>
    </row>
    <row r="28" spans="1:9">
      <c r="A28" s="105"/>
      <c r="B28" s="118" t="s">
        <v>374</v>
      </c>
      <c r="C28" s="115" t="s">
        <v>193</v>
      </c>
      <c r="D28" s="105"/>
      <c r="E28" s="105"/>
      <c r="F28" s="119"/>
      <c r="G28" s="119"/>
      <c r="H28" s="105"/>
      <c r="I28" s="105"/>
    </row>
    <row r="29" spans="1:9">
      <c r="A29" s="105"/>
      <c r="B29" s="120" t="s">
        <v>160</v>
      </c>
      <c r="C29" s="116" t="s">
        <v>195</v>
      </c>
      <c r="D29" s="105"/>
      <c r="E29" s="105"/>
      <c r="F29" s="119"/>
      <c r="G29" s="119"/>
      <c r="H29" s="105"/>
      <c r="I29" s="105"/>
    </row>
    <row r="30" spans="1:9">
      <c r="A30" s="105"/>
      <c r="B30" s="120" t="s">
        <v>51</v>
      </c>
      <c r="C30" s="116" t="s">
        <v>194</v>
      </c>
      <c r="D30" s="105"/>
      <c r="E30" s="105"/>
      <c r="F30" s="119"/>
      <c r="G30" s="119"/>
      <c r="H30" s="105"/>
      <c r="I30" s="105"/>
    </row>
    <row r="31" spans="1:9">
      <c r="A31" s="105"/>
      <c r="B31" s="118" t="s">
        <v>161</v>
      </c>
      <c r="C31" s="115" t="s">
        <v>195</v>
      </c>
      <c r="D31" s="105"/>
      <c r="E31" s="105"/>
      <c r="F31" s="119"/>
      <c r="G31" s="119"/>
      <c r="H31" s="105"/>
      <c r="I31" s="105"/>
    </row>
    <row r="32" spans="1:9">
      <c r="A32" s="105"/>
      <c r="B32" s="120" t="s">
        <v>162</v>
      </c>
      <c r="C32" s="116" t="s">
        <v>194</v>
      </c>
      <c r="D32" s="105"/>
      <c r="E32" s="105"/>
      <c r="F32" s="119"/>
      <c r="G32" s="119"/>
      <c r="H32" s="105"/>
      <c r="I32" s="105"/>
    </row>
    <row r="33" spans="1:9">
      <c r="A33" s="105"/>
      <c r="B33" s="118" t="s">
        <v>314</v>
      </c>
      <c r="C33" s="116" t="s">
        <v>193</v>
      </c>
      <c r="D33" s="105"/>
      <c r="E33" s="105"/>
      <c r="F33" s="119"/>
      <c r="G33" s="119"/>
      <c r="H33" s="105"/>
      <c r="I33" s="105"/>
    </row>
    <row r="34" spans="1:9">
      <c r="A34" s="105"/>
      <c r="B34" s="118" t="s">
        <v>315</v>
      </c>
      <c r="C34" s="116" t="s">
        <v>196</v>
      </c>
      <c r="D34" s="105"/>
      <c r="E34" s="105"/>
      <c r="F34" s="119"/>
      <c r="G34" s="119"/>
      <c r="H34" s="105"/>
      <c r="I34" s="105"/>
    </row>
    <row r="35" spans="1:9">
      <c r="A35" s="105"/>
      <c r="B35" s="118" t="s">
        <v>454</v>
      </c>
      <c r="C35" s="116" t="s">
        <v>196</v>
      </c>
      <c r="D35" s="105"/>
      <c r="E35" s="105"/>
      <c r="F35" s="119"/>
      <c r="G35" s="119"/>
      <c r="H35" s="105"/>
      <c r="I35" s="105"/>
    </row>
    <row r="36" spans="1:9">
      <c r="A36" s="105"/>
      <c r="B36" s="118" t="s">
        <v>180</v>
      </c>
      <c r="C36" s="116" t="s">
        <v>196</v>
      </c>
      <c r="D36" s="105"/>
      <c r="E36" s="105"/>
      <c r="F36" s="119"/>
      <c r="G36" s="119"/>
      <c r="H36" s="105"/>
      <c r="I36" s="105"/>
    </row>
    <row r="37" spans="1:9">
      <c r="A37" s="105"/>
      <c r="B37" s="120" t="s">
        <v>163</v>
      </c>
      <c r="C37" s="116" t="s">
        <v>194</v>
      </c>
      <c r="D37" s="105"/>
      <c r="E37" s="105"/>
      <c r="F37" s="119"/>
      <c r="G37" s="119"/>
      <c r="H37" s="105"/>
      <c r="I37" s="105"/>
    </row>
    <row r="38" spans="1:9">
      <c r="A38" s="105"/>
      <c r="B38" s="120" t="s">
        <v>52</v>
      </c>
      <c r="C38" s="116" t="s">
        <v>195</v>
      </c>
      <c r="D38" s="105"/>
      <c r="E38" s="105"/>
      <c r="F38" s="119"/>
      <c r="G38" s="119"/>
      <c r="H38" s="105"/>
      <c r="I38" s="105"/>
    </row>
    <row r="39" spans="1:9">
      <c r="A39" s="105"/>
      <c r="B39" s="118" t="s">
        <v>164</v>
      </c>
      <c r="C39" s="115" t="s">
        <v>196</v>
      </c>
      <c r="D39" s="105"/>
      <c r="E39" s="105"/>
      <c r="F39" s="119"/>
      <c r="G39" s="121"/>
      <c r="H39" s="105"/>
      <c r="I39" s="105"/>
    </row>
    <row r="40" spans="1:9">
      <c r="A40" s="105"/>
      <c r="B40" s="118" t="s">
        <v>55</v>
      </c>
      <c r="C40" s="115" t="s">
        <v>193</v>
      </c>
      <c r="D40" s="105"/>
      <c r="E40" s="105"/>
      <c r="F40" s="119"/>
      <c r="G40" s="119"/>
      <c r="H40" s="105"/>
      <c r="I40" s="105"/>
    </row>
    <row r="41" spans="1:9">
      <c r="A41" s="105"/>
      <c r="B41" s="118" t="s">
        <v>165</v>
      </c>
      <c r="C41" s="116" t="s">
        <v>194</v>
      </c>
      <c r="D41" s="105"/>
      <c r="E41" s="105"/>
      <c r="F41" s="119"/>
      <c r="G41" s="119"/>
      <c r="H41" s="105"/>
      <c r="I41" s="105"/>
    </row>
    <row r="42" spans="1:9">
      <c r="A42" s="105"/>
      <c r="B42" s="120" t="s">
        <v>56</v>
      </c>
      <c r="C42" s="116" t="s">
        <v>194</v>
      </c>
      <c r="D42" s="105"/>
      <c r="E42" s="105"/>
      <c r="F42" s="119"/>
      <c r="G42" s="119"/>
      <c r="H42" s="105"/>
      <c r="I42" s="105"/>
    </row>
    <row r="43" spans="1:9">
      <c r="A43" s="105"/>
      <c r="B43" s="118" t="s">
        <v>455</v>
      </c>
      <c r="C43" s="116" t="s">
        <v>195</v>
      </c>
      <c r="D43" s="105"/>
      <c r="E43" s="105"/>
      <c r="F43" s="119"/>
      <c r="G43" s="119"/>
      <c r="H43" s="105"/>
      <c r="I43" s="105"/>
    </row>
    <row r="44" spans="1:9">
      <c r="A44" s="105"/>
      <c r="D44" s="105"/>
      <c r="E44" s="105"/>
      <c r="F44" s="119"/>
      <c r="G44" s="119"/>
      <c r="H44" s="105"/>
      <c r="I44" s="105"/>
    </row>
    <row r="45" spans="1:9">
      <c r="A45" s="105"/>
      <c r="D45" s="105"/>
      <c r="E45" s="105"/>
      <c r="F45" s="119"/>
      <c r="G45" s="119"/>
      <c r="H45" s="105"/>
      <c r="I45" s="105"/>
    </row>
    <row r="46" spans="1:9">
      <c r="A46" s="105"/>
      <c r="B46" s="105" t="s">
        <v>197</v>
      </c>
      <c r="C46" s="105"/>
      <c r="D46" s="105"/>
      <c r="E46" s="105"/>
      <c r="F46" s="119"/>
      <c r="G46" s="119"/>
      <c r="H46" s="105"/>
      <c r="I46" s="105"/>
    </row>
    <row r="47" spans="1:9">
      <c r="A47" s="105"/>
      <c r="B47" s="122" t="s">
        <v>198</v>
      </c>
      <c r="C47" s="105"/>
      <c r="D47" s="105"/>
      <c r="E47" s="105"/>
      <c r="F47" s="119"/>
      <c r="G47" s="119"/>
      <c r="H47" s="105"/>
      <c r="I47" s="105"/>
    </row>
    <row r="48" spans="1:9">
      <c r="A48" s="105"/>
      <c r="B48" s="122"/>
      <c r="C48" s="105"/>
      <c r="D48" s="105"/>
      <c r="E48" s="105"/>
      <c r="F48" s="119"/>
      <c r="G48" s="119"/>
      <c r="H48" s="105"/>
      <c r="I48" s="105"/>
    </row>
    <row r="49" spans="1:9" ht="18.75" customHeight="1">
      <c r="A49" s="105"/>
      <c r="B49" s="1851" t="s">
        <v>199</v>
      </c>
      <c r="C49" s="1852"/>
      <c r="D49" s="105"/>
      <c r="E49" s="105"/>
      <c r="F49" s="119"/>
      <c r="G49" s="119"/>
      <c r="H49" s="105"/>
      <c r="I49" s="105"/>
    </row>
    <row r="50" spans="1:9" ht="33" customHeight="1">
      <c r="A50" s="105"/>
      <c r="B50" s="1852"/>
      <c r="C50" s="1852"/>
      <c r="D50" s="105"/>
      <c r="E50" s="105"/>
      <c r="F50" s="119"/>
      <c r="G50" s="119"/>
      <c r="H50" s="105"/>
      <c r="I50" s="105"/>
    </row>
    <row r="51" spans="1:9">
      <c r="A51" s="105"/>
      <c r="B51" s="105"/>
      <c r="C51" s="105"/>
      <c r="D51" s="105"/>
      <c r="E51" s="105"/>
      <c r="F51" s="119"/>
      <c r="G51" s="119"/>
      <c r="H51" s="105"/>
      <c r="I51" s="105"/>
    </row>
    <row r="52" spans="1:9">
      <c r="A52" s="105"/>
      <c r="B52" s="105"/>
      <c r="C52" s="105"/>
      <c r="D52" s="105"/>
      <c r="E52" s="105"/>
      <c r="F52" s="119"/>
      <c r="G52" s="119"/>
      <c r="H52" s="105"/>
      <c r="I52" s="105"/>
    </row>
    <row r="53" spans="1:9">
      <c r="A53" s="105"/>
      <c r="B53" s="105"/>
      <c r="C53" s="105"/>
      <c r="D53" s="105"/>
      <c r="E53" s="105"/>
      <c r="F53" s="119"/>
      <c r="G53" s="119"/>
      <c r="H53" s="105"/>
      <c r="I53" s="105"/>
    </row>
    <row r="54" spans="1:9">
      <c r="A54" s="105"/>
      <c r="B54" s="105"/>
      <c r="C54" s="105"/>
      <c r="D54" s="105"/>
      <c r="E54" s="105"/>
      <c r="F54" s="119"/>
      <c r="G54" s="119"/>
      <c r="H54" s="105"/>
      <c r="I54" s="105"/>
    </row>
    <row r="55" spans="1:9">
      <c r="A55" s="105"/>
      <c r="B55" s="105"/>
      <c r="C55" s="105"/>
      <c r="D55" s="105"/>
      <c r="E55" s="105"/>
      <c r="F55" s="119"/>
      <c r="G55" s="119"/>
      <c r="H55" s="105"/>
      <c r="I55" s="105"/>
    </row>
    <row r="56" spans="1:9">
      <c r="F56" s="119"/>
      <c r="G56" s="119"/>
    </row>
    <row r="57" spans="1:9">
      <c r="F57" s="119"/>
      <c r="G57" s="119"/>
    </row>
    <row r="58" spans="1:9">
      <c r="F58" s="119"/>
      <c r="G58" s="119"/>
    </row>
    <row r="59" spans="1:9">
      <c r="F59" s="119"/>
      <c r="G59" s="119"/>
    </row>
    <row r="60" spans="1:9">
      <c r="F60" s="123"/>
      <c r="G60" s="123"/>
    </row>
    <row r="61" spans="1:9">
      <c r="F61" s="123"/>
      <c r="G61" s="123"/>
    </row>
    <row r="62" spans="1:9">
      <c r="F62" s="123"/>
      <c r="G62" s="123"/>
    </row>
  </sheetData>
  <mergeCells count="2">
    <mergeCell ref="B6:G10"/>
    <mergeCell ref="B49:C50"/>
  </mergeCells>
  <hyperlinks>
    <hyperlink ref="B47" r:id="rId1" xr:uid="{00000000-0004-0000-0000-000000000000}"/>
  </hyperlinks>
  <pageMargins left="0.75" right="0.75" top="1" bottom="1" header="0.5" footer="0.5"/>
  <pageSetup orientation="portrait"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D81"/>
  <sheetViews>
    <sheetView zoomScale="80" zoomScaleNormal="80" zoomScalePageLayoutView="80" workbookViewId="0">
      <pane xSplit="2" ySplit="7" topLeftCell="C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0" customWidth="1"/>
    <col min="3" max="9" width="9.33203125" hidden="1" customWidth="1" outlineLevel="1"/>
    <col min="10" max="10" width="10.77734375" hidden="1" customWidth="1" outlineLevel="1"/>
    <col min="11" max="11" width="9.33203125" customWidth="1" collapsed="1"/>
    <col min="12" max="12" width="9.33203125" customWidth="1"/>
    <col min="14" max="22" width="10" customWidth="1"/>
    <col min="26" max="26" width="9.21875" bestFit="1" customWidth="1"/>
    <col min="27" max="28" width="10.21875" bestFit="1" customWidth="1"/>
  </cols>
  <sheetData>
    <row r="1" spans="1:28">
      <c r="A1" s="67"/>
      <c r="B1" s="67"/>
      <c r="AB1" s="2"/>
    </row>
    <row r="2" spans="1:28" ht="17.399999999999999">
      <c r="A2" s="67"/>
      <c r="B2" s="68" t="str">
        <f>'Charts for slides'!B2</f>
        <v>Quarterly Market Update for the quarter ended December 31, 2021</v>
      </c>
    </row>
    <row r="3" spans="1:28">
      <c r="A3" s="67"/>
      <c r="B3" s="1508" t="str">
        <f>Introduction!$B$2</f>
        <v>Sample template as of March 2022</v>
      </c>
    </row>
    <row r="4" spans="1:28" ht="13.8">
      <c r="A4" s="67"/>
      <c r="B4" s="38" t="s">
        <v>421</v>
      </c>
    </row>
    <row r="5" spans="1:28" ht="13.8">
      <c r="B5" s="38" t="s">
        <v>423</v>
      </c>
      <c r="C5" s="45"/>
      <c r="D5" s="45"/>
      <c r="E5" s="45"/>
      <c r="F5" s="45"/>
      <c r="G5" s="45"/>
      <c r="H5" s="45"/>
      <c r="I5" s="45"/>
      <c r="J5" s="45"/>
      <c r="K5" s="45"/>
      <c r="L5" s="45"/>
      <c r="M5" s="45"/>
      <c r="N5" s="45"/>
      <c r="O5" s="45"/>
      <c r="P5" s="45"/>
      <c r="Q5" s="45"/>
      <c r="R5" s="45"/>
      <c r="S5" s="45"/>
      <c r="T5" s="45"/>
      <c r="U5" s="45"/>
      <c r="V5" s="45"/>
    </row>
    <row r="6" spans="1:28">
      <c r="B6" s="41" t="s">
        <v>75</v>
      </c>
      <c r="C6" s="126" t="s">
        <v>308</v>
      </c>
      <c r="D6" s="45"/>
      <c r="E6" s="45"/>
      <c r="F6" s="45"/>
      <c r="G6" s="126" t="s">
        <v>308</v>
      </c>
      <c r="H6" s="45"/>
      <c r="I6" s="45"/>
      <c r="J6" s="45"/>
      <c r="K6" s="126" t="s">
        <v>308</v>
      </c>
      <c r="L6" s="45"/>
      <c r="M6" s="45"/>
      <c r="N6" s="45"/>
      <c r="O6" s="126" t="s">
        <v>308</v>
      </c>
      <c r="P6" s="14"/>
      <c r="Q6" s="45"/>
      <c r="R6" s="45"/>
      <c r="S6" s="126" t="s">
        <v>308</v>
      </c>
      <c r="T6" s="14"/>
      <c r="U6" s="45"/>
      <c r="V6" s="45"/>
      <c r="W6" s="25" t="s">
        <v>334</v>
      </c>
      <c r="X6" s="25" t="s">
        <v>459</v>
      </c>
      <c r="Y6" s="25" t="s">
        <v>334</v>
      </c>
    </row>
    <row r="7" spans="1:28" ht="13.8">
      <c r="B7" s="541" t="s">
        <v>60</v>
      </c>
      <c r="C7" s="82" t="s">
        <v>126</v>
      </c>
      <c r="D7" s="83" t="s">
        <v>127</v>
      </c>
      <c r="E7" s="83" t="s">
        <v>128</v>
      </c>
      <c r="F7" s="413" t="s">
        <v>129</v>
      </c>
      <c r="G7" s="410" t="s">
        <v>130</v>
      </c>
      <c r="H7" s="83" t="s">
        <v>131</v>
      </c>
      <c r="I7" s="83" t="s">
        <v>132</v>
      </c>
      <c r="J7" s="84" t="s">
        <v>133</v>
      </c>
      <c r="K7" s="410" t="s">
        <v>134</v>
      </c>
      <c r="L7" s="83" t="s">
        <v>135</v>
      </c>
      <c r="M7" s="83" t="s">
        <v>136</v>
      </c>
      <c r="N7" s="84" t="s">
        <v>137</v>
      </c>
      <c r="O7" s="410" t="s">
        <v>138</v>
      </c>
      <c r="P7" s="584" t="s">
        <v>139</v>
      </c>
      <c r="Q7" s="83" t="s">
        <v>140</v>
      </c>
      <c r="R7" s="84" t="s">
        <v>141</v>
      </c>
      <c r="S7" s="410" t="s">
        <v>142</v>
      </c>
      <c r="T7" s="83" t="s">
        <v>143</v>
      </c>
      <c r="U7" s="83" t="s">
        <v>144</v>
      </c>
      <c r="V7" s="84" t="s">
        <v>145</v>
      </c>
      <c r="W7" s="402" t="s">
        <v>307</v>
      </c>
      <c r="X7" s="402" t="s">
        <v>460</v>
      </c>
      <c r="Y7" s="402" t="s">
        <v>350</v>
      </c>
    </row>
    <row r="8" spans="1:28" ht="17.25" customHeight="1">
      <c r="B8" s="542" t="s">
        <v>79</v>
      </c>
      <c r="C8" s="53">
        <v>40535</v>
      </c>
      <c r="D8" s="53">
        <v>40520</v>
      </c>
      <c r="E8" s="53">
        <v>40890</v>
      </c>
      <c r="F8" s="538">
        <v>41841</v>
      </c>
      <c r="G8" s="537">
        <v>39365</v>
      </c>
      <c r="H8" s="53">
        <v>39837</v>
      </c>
      <c r="I8" s="53">
        <v>39668</v>
      </c>
      <c r="J8" s="52">
        <v>41676</v>
      </c>
      <c r="K8" s="537"/>
      <c r="L8" s="53"/>
      <c r="M8" s="53"/>
      <c r="N8" s="52"/>
      <c r="O8" s="537"/>
      <c r="P8" s="53"/>
      <c r="Q8" s="53"/>
      <c r="R8" s="52"/>
      <c r="S8" s="537"/>
      <c r="T8" s="53"/>
      <c r="U8" s="53"/>
      <c r="V8" s="52"/>
      <c r="W8" s="666" t="e">
        <f t="shared" ref="W8:W24" si="0">U8/Q8-1</f>
        <v>#DIV/0!</v>
      </c>
      <c r="X8" s="667">
        <f t="shared" ref="X8:X24" si="1">U8-Q8</f>
        <v>0</v>
      </c>
      <c r="Y8" s="1509" t="e">
        <f t="shared" ref="Y8:Y24" si="2">U8/T8-1</f>
        <v>#DIV/0!</v>
      </c>
    </row>
    <row r="9" spans="1:28" ht="17.25" customHeight="1">
      <c r="B9" s="542" t="s">
        <v>80</v>
      </c>
      <c r="C9" s="53">
        <v>8090.4019453583178</v>
      </c>
      <c r="D9" s="53">
        <v>8277.1965027948972</v>
      </c>
      <c r="E9" s="53">
        <v>7885.2717248621684</v>
      </c>
      <c r="F9" s="538">
        <v>7606.7527308838144</v>
      </c>
      <c r="G9" s="537">
        <v>7586.1214374225519</v>
      </c>
      <c r="H9" s="53">
        <v>7473.7516005121633</v>
      </c>
      <c r="I9" s="53">
        <v>7784.6113582831722</v>
      </c>
      <c r="J9" s="52">
        <v>7919.8726452639949</v>
      </c>
      <c r="K9" s="537"/>
      <c r="L9" s="53"/>
      <c r="M9" s="53"/>
      <c r="N9" s="52"/>
      <c r="O9" s="537"/>
      <c r="P9" s="53"/>
      <c r="Q9" s="53"/>
      <c r="R9" s="52"/>
      <c r="S9" s="537"/>
      <c r="T9" s="53"/>
      <c r="U9" s="53"/>
      <c r="V9" s="52"/>
      <c r="W9" s="666" t="e">
        <f t="shared" si="0"/>
        <v>#DIV/0!</v>
      </c>
      <c r="X9" s="667">
        <f t="shared" si="1"/>
        <v>0</v>
      </c>
      <c r="Y9" s="1509" t="e">
        <f t="shared" si="2"/>
        <v>#DIV/0!</v>
      </c>
    </row>
    <row r="10" spans="1:28" ht="17.25" customHeight="1">
      <c r="B10" s="542" t="s">
        <v>81</v>
      </c>
      <c r="C10" s="53">
        <v>29523.131563638592</v>
      </c>
      <c r="D10" s="53">
        <v>29523.131563638592</v>
      </c>
      <c r="E10" s="53">
        <v>25862.695078031215</v>
      </c>
      <c r="F10" s="538">
        <v>29225.160453920671</v>
      </c>
      <c r="G10" s="537">
        <v>26724.763979665942</v>
      </c>
      <c r="H10" s="53">
        <v>29875.464819540648</v>
      </c>
      <c r="I10" s="53">
        <v>27085.276432395149</v>
      </c>
      <c r="J10" s="80">
        <v>25872.012102874432</v>
      </c>
      <c r="K10" s="537"/>
      <c r="L10" s="53"/>
      <c r="M10" s="53"/>
      <c r="N10" s="80"/>
      <c r="O10" s="537"/>
      <c r="P10" s="53"/>
      <c r="Q10" s="53"/>
      <c r="R10" s="52"/>
      <c r="S10" s="537"/>
      <c r="T10" s="53"/>
      <c r="U10" s="53"/>
      <c r="V10" s="80"/>
      <c r="W10" s="666" t="e">
        <f t="shared" si="0"/>
        <v>#DIV/0!</v>
      </c>
      <c r="X10" s="667">
        <f t="shared" si="1"/>
        <v>0</v>
      </c>
      <c r="Y10" s="1509" t="e">
        <f t="shared" si="2"/>
        <v>#DIV/0!</v>
      </c>
    </row>
    <row r="11" spans="1:28" ht="17.25" customHeight="1">
      <c r="B11" s="542" t="s">
        <v>82</v>
      </c>
      <c r="C11" s="53">
        <v>13839.441535776616</v>
      </c>
      <c r="D11" s="53">
        <v>13839.441535776616</v>
      </c>
      <c r="E11" s="53">
        <v>13053.421368547419</v>
      </c>
      <c r="F11" s="538">
        <v>13790.960592709789</v>
      </c>
      <c r="G11" s="537">
        <v>13279.30283224401</v>
      </c>
      <c r="H11" s="53">
        <v>13516.587677725118</v>
      </c>
      <c r="I11" s="53">
        <v>13583.049678357751</v>
      </c>
      <c r="J11" s="80">
        <v>13664.227369125183</v>
      </c>
      <c r="K11" s="537"/>
      <c r="L11" s="53"/>
      <c r="M11" s="53"/>
      <c r="N11" s="80"/>
      <c r="O11" s="537"/>
      <c r="P11" s="53"/>
      <c r="Q11" s="53"/>
      <c r="R11" s="936"/>
      <c r="S11" s="537"/>
      <c r="T11" s="53"/>
      <c r="U11" s="53"/>
      <c r="V11" s="80"/>
      <c r="W11" s="666" t="e">
        <f t="shared" si="0"/>
        <v>#DIV/0!</v>
      </c>
      <c r="X11" s="667">
        <f t="shared" si="1"/>
        <v>0</v>
      </c>
      <c r="Y11" s="1509" t="e">
        <f t="shared" si="2"/>
        <v>#DIV/0!</v>
      </c>
    </row>
    <row r="12" spans="1:28" ht="17.25" customHeight="1">
      <c r="B12" s="542" t="s">
        <v>83</v>
      </c>
      <c r="C12" s="53">
        <v>10703.132175989713</v>
      </c>
      <c r="D12" s="53">
        <v>10703.132175989713</v>
      </c>
      <c r="E12" s="53">
        <v>10036.614645858344</v>
      </c>
      <c r="F12" s="538">
        <v>10463.559275638336</v>
      </c>
      <c r="G12" s="537">
        <v>10022.512708787219</v>
      </c>
      <c r="H12" s="53">
        <v>10084.578928180825</v>
      </c>
      <c r="I12" s="53">
        <v>10139.303333383317</v>
      </c>
      <c r="J12" s="80">
        <v>10446.4447806354</v>
      </c>
      <c r="K12" s="537"/>
      <c r="L12" s="53"/>
      <c r="M12" s="53"/>
      <c r="N12" s="80"/>
      <c r="O12" s="537"/>
      <c r="P12" s="53"/>
      <c r="Q12" s="53"/>
      <c r="R12" s="936"/>
      <c r="S12" s="537"/>
      <c r="T12" s="53"/>
      <c r="U12" s="53"/>
      <c r="V12" s="80"/>
      <c r="W12" s="666" t="e">
        <f t="shared" si="0"/>
        <v>#DIV/0!</v>
      </c>
      <c r="X12" s="667">
        <f t="shared" si="1"/>
        <v>0</v>
      </c>
      <c r="Y12" s="1509" t="e">
        <f t="shared" si="2"/>
        <v>#DIV/0!</v>
      </c>
    </row>
    <row r="13" spans="1:28" ht="17.25" customHeight="1">
      <c r="B13" s="542" t="s">
        <v>84</v>
      </c>
      <c r="C13" s="53">
        <v>12204</v>
      </c>
      <c r="D13" s="53">
        <v>12444</v>
      </c>
      <c r="E13" s="53">
        <v>12557</v>
      </c>
      <c r="F13" s="538">
        <v>12843</v>
      </c>
      <c r="G13" s="537">
        <v>12912</v>
      </c>
      <c r="H13" s="53">
        <v>13122</v>
      </c>
      <c r="I13" s="53">
        <v>13203</v>
      </c>
      <c r="J13" s="52">
        <v>13282</v>
      </c>
      <c r="K13" s="537"/>
      <c r="L13" s="53"/>
      <c r="M13" s="53"/>
      <c r="N13" s="52"/>
      <c r="O13" s="537"/>
      <c r="P13" s="53"/>
      <c r="Q13" s="53"/>
      <c r="R13" s="52"/>
      <c r="S13" s="537"/>
      <c r="T13" s="53"/>
      <c r="U13" s="53"/>
      <c r="V13" s="52"/>
      <c r="W13" s="666" t="e">
        <f t="shared" si="0"/>
        <v>#DIV/0!</v>
      </c>
      <c r="X13" s="667">
        <f t="shared" si="1"/>
        <v>0</v>
      </c>
      <c r="Y13" s="1509" t="e">
        <f t="shared" si="2"/>
        <v>#DIV/0!</v>
      </c>
    </row>
    <row r="14" spans="1:28" ht="17.25" customHeight="1">
      <c r="B14" s="542" t="s">
        <v>85</v>
      </c>
      <c r="C14" s="53">
        <v>19431.279620853078</v>
      </c>
      <c r="D14" s="53">
        <v>20116.292198261261</v>
      </c>
      <c r="E14" s="53">
        <v>20204.218279209908</v>
      </c>
      <c r="F14" s="538">
        <v>21070.619946091643</v>
      </c>
      <c r="G14" s="537">
        <v>19874.227243658068</v>
      </c>
      <c r="H14" s="53">
        <v>20815.42699724518</v>
      </c>
      <c r="I14" s="53">
        <v>21433.940105695827</v>
      </c>
      <c r="J14" s="52">
        <v>22554.443790464979</v>
      </c>
      <c r="K14" s="537"/>
      <c r="L14" s="53"/>
      <c r="M14" s="53"/>
      <c r="N14" s="52"/>
      <c r="O14" s="537"/>
      <c r="P14" s="53"/>
      <c r="Q14" s="53"/>
      <c r="R14" s="52"/>
      <c r="S14" s="537"/>
      <c r="T14" s="53"/>
      <c r="U14" s="53"/>
      <c r="V14" s="52"/>
      <c r="W14" s="666" t="e">
        <f t="shared" si="0"/>
        <v>#DIV/0!</v>
      </c>
      <c r="X14" s="667">
        <f t="shared" si="1"/>
        <v>0</v>
      </c>
      <c r="Y14" s="1509" t="e">
        <f t="shared" si="2"/>
        <v>#DIV/0!</v>
      </c>
    </row>
    <row r="15" spans="1:28" ht="17.25" customHeight="1">
      <c r="B15" s="542" t="s">
        <v>86</v>
      </c>
      <c r="C15" s="53">
        <v>11031.632315661853</v>
      </c>
      <c r="D15" s="53">
        <v>11369.538218358361</v>
      </c>
      <c r="E15" s="53">
        <v>11519.919651824574</v>
      </c>
      <c r="F15" s="538">
        <v>11129.919137466306</v>
      </c>
      <c r="G15" s="537">
        <v>10733.319121722447</v>
      </c>
      <c r="H15" s="53">
        <v>11246.280991735537</v>
      </c>
      <c r="I15" s="53">
        <v>12065.766294773926</v>
      </c>
      <c r="J15" s="52">
        <v>12414.361389052383</v>
      </c>
      <c r="K15" s="537"/>
      <c r="L15" s="53"/>
      <c r="M15" s="53"/>
      <c r="N15" s="52"/>
      <c r="O15" s="537"/>
      <c r="P15" s="53"/>
      <c r="Q15" s="53"/>
      <c r="R15" s="52"/>
      <c r="S15" s="537"/>
      <c r="T15" s="53"/>
      <c r="U15" s="53"/>
      <c r="V15" s="52"/>
      <c r="W15" s="666" t="e">
        <f t="shared" si="0"/>
        <v>#DIV/0!</v>
      </c>
      <c r="X15" s="667">
        <f t="shared" si="1"/>
        <v>0</v>
      </c>
      <c r="Y15" s="1509" t="e">
        <f t="shared" si="2"/>
        <v>#DIV/0!</v>
      </c>
    </row>
    <row r="16" spans="1:28" ht="17.25" customHeight="1">
      <c r="B16" s="542" t="s">
        <v>87</v>
      </c>
      <c r="C16" s="53">
        <v>10131.990624186128</v>
      </c>
      <c r="D16" s="53">
        <v>10478.586828967151</v>
      </c>
      <c r="E16" s="53">
        <v>11441.064928518255</v>
      </c>
      <c r="F16" s="538">
        <v>11158.44572790914</v>
      </c>
      <c r="G16" s="537">
        <v>10796.217044433877</v>
      </c>
      <c r="H16" s="53">
        <v>10781.736280262936</v>
      </c>
      <c r="I16" s="53">
        <v>10968.651060371531</v>
      </c>
      <c r="J16" s="52">
        <v>11906.475903614459</v>
      </c>
      <c r="K16" s="537"/>
      <c r="L16" s="53"/>
      <c r="M16" s="53"/>
      <c r="N16" s="52"/>
      <c r="O16" s="537"/>
      <c r="P16" s="53"/>
      <c r="Q16" s="53"/>
      <c r="R16" s="52"/>
      <c r="S16" s="537"/>
      <c r="T16" s="53"/>
      <c r="U16" s="53"/>
      <c r="V16" s="52"/>
      <c r="W16" s="666" t="e">
        <f t="shared" si="0"/>
        <v>#DIV/0!</v>
      </c>
      <c r="X16" s="667">
        <f t="shared" si="1"/>
        <v>0</v>
      </c>
      <c r="Y16" s="1509" t="e">
        <f t="shared" si="2"/>
        <v>#DIV/0!</v>
      </c>
    </row>
    <row r="17" spans="2:30" ht="17.25" customHeight="1">
      <c r="B17" s="542" t="s">
        <v>88</v>
      </c>
      <c r="C17" s="53">
        <v>26440.116329542485</v>
      </c>
      <c r="D17" s="53">
        <v>25182.458273932123</v>
      </c>
      <c r="E17" s="53">
        <v>27428.09329261502</v>
      </c>
      <c r="F17" s="538">
        <v>25926.827885921561</v>
      </c>
      <c r="G17" s="537">
        <v>26686.004121096845</v>
      </c>
      <c r="H17" s="53">
        <v>25273.369336437132</v>
      </c>
      <c r="I17" s="53">
        <v>25723.177168270122</v>
      </c>
      <c r="J17" s="52">
        <v>27083.628632175758</v>
      </c>
      <c r="K17" s="537"/>
      <c r="L17" s="53"/>
      <c r="M17" s="53"/>
      <c r="N17" s="52"/>
      <c r="O17" s="537"/>
      <c r="P17" s="53"/>
      <c r="Q17" s="53"/>
      <c r="R17" s="52"/>
      <c r="S17" s="537"/>
      <c r="T17" s="53"/>
      <c r="U17" s="53"/>
      <c r="V17" s="52"/>
      <c r="W17" s="666" t="e">
        <f t="shared" si="0"/>
        <v>#DIV/0!</v>
      </c>
      <c r="X17" s="667">
        <f t="shared" si="1"/>
        <v>0</v>
      </c>
      <c r="Y17" s="1509" t="e">
        <f t="shared" si="2"/>
        <v>#DIV/0!</v>
      </c>
    </row>
    <row r="18" spans="2:30" ht="17.25" customHeight="1">
      <c r="B18" s="542" t="s">
        <v>89</v>
      </c>
      <c r="C18" s="53">
        <v>20343.285007379112</v>
      </c>
      <c r="D18" s="53">
        <v>19711.509405629473</v>
      </c>
      <c r="E18" s="53">
        <v>20958.14063449451</v>
      </c>
      <c r="F18" s="538">
        <v>21113.469614613216</v>
      </c>
      <c r="G18" s="537">
        <v>20425.300716789068</v>
      </c>
      <c r="H18" s="53">
        <v>19663.118526007504</v>
      </c>
      <c r="I18" s="53">
        <v>20047.644189445116</v>
      </c>
      <c r="J18" s="52">
        <v>21262.74805102764</v>
      </c>
      <c r="K18" s="537"/>
      <c r="L18" s="53"/>
      <c r="M18" s="53"/>
      <c r="N18" s="52"/>
      <c r="O18" s="537"/>
      <c r="P18" s="53"/>
      <c r="Q18" s="53"/>
      <c r="R18" s="52"/>
      <c r="S18" s="537"/>
      <c r="T18" s="53"/>
      <c r="U18" s="53"/>
      <c r="V18" s="52"/>
      <c r="W18" s="666" t="e">
        <f t="shared" si="0"/>
        <v>#DIV/0!</v>
      </c>
      <c r="X18" s="667">
        <f t="shared" si="1"/>
        <v>0</v>
      </c>
      <c r="Y18" s="1509" t="e">
        <f t="shared" si="2"/>
        <v>#DIV/0!</v>
      </c>
    </row>
    <row r="19" spans="2:30" ht="17.25" customHeight="1">
      <c r="B19" s="542" t="s">
        <v>90</v>
      </c>
      <c r="C19" s="53">
        <v>4893.6404717293062</v>
      </c>
      <c r="D19" s="53">
        <v>5256.858981596477</v>
      </c>
      <c r="E19" s="53">
        <v>5404.53074433657</v>
      </c>
      <c r="F19" s="538">
        <v>4544.907391486423</v>
      </c>
      <c r="G19" s="537">
        <v>5136.4314645065015</v>
      </c>
      <c r="H19" s="53">
        <v>5457.8512396694214</v>
      </c>
      <c r="I19" s="53">
        <v>5762.7715795654722</v>
      </c>
      <c r="J19" s="52">
        <v>6061.212477928193</v>
      </c>
      <c r="K19" s="537"/>
      <c r="L19" s="53"/>
      <c r="M19" s="53"/>
      <c r="N19" s="52"/>
      <c r="O19" s="537"/>
      <c r="P19" s="53"/>
      <c r="Q19" s="53"/>
      <c r="R19" s="52"/>
      <c r="S19" s="537"/>
      <c r="T19" s="53"/>
      <c r="U19" s="53"/>
      <c r="V19" s="52"/>
      <c r="W19" s="666" t="e">
        <f t="shared" si="0"/>
        <v>#DIV/0!</v>
      </c>
      <c r="X19" s="667">
        <f t="shared" si="1"/>
        <v>0</v>
      </c>
      <c r="Y19" s="1509" t="e">
        <f t="shared" si="2"/>
        <v>#DIV/0!</v>
      </c>
    </row>
    <row r="20" spans="2:30" ht="17.25" customHeight="1">
      <c r="B20" s="542" t="s">
        <v>91</v>
      </c>
      <c r="C20" s="53">
        <v>11885.815055659648</v>
      </c>
      <c r="D20" s="53">
        <v>14364.90911143728</v>
      </c>
      <c r="E20" s="53">
        <v>14596.58520254436</v>
      </c>
      <c r="F20" s="538">
        <v>14793.530997304581</v>
      </c>
      <c r="G20" s="537">
        <v>13132</v>
      </c>
      <c r="H20" s="53">
        <v>14280.991735537191</v>
      </c>
      <c r="I20" s="53">
        <v>14978.273634762183</v>
      </c>
      <c r="J20" s="52">
        <v>15493.819894055327</v>
      </c>
      <c r="K20" s="537"/>
      <c r="L20" s="53"/>
      <c r="M20" s="53"/>
      <c r="N20" s="52"/>
      <c r="O20" s="537"/>
      <c r="P20" s="53"/>
      <c r="Q20" s="53"/>
      <c r="R20" s="52"/>
      <c r="S20" s="537"/>
      <c r="T20" s="53"/>
      <c r="U20" s="53"/>
      <c r="V20" s="52"/>
      <c r="W20" s="666" t="e">
        <f t="shared" si="0"/>
        <v>#DIV/0!</v>
      </c>
      <c r="X20" s="667">
        <f t="shared" si="1"/>
        <v>0</v>
      </c>
      <c r="Y20" s="1509" t="e">
        <f t="shared" si="2"/>
        <v>#DIV/0!</v>
      </c>
    </row>
    <row r="21" spans="2:30" ht="17.25" customHeight="1">
      <c r="B21" s="542" t="s">
        <v>634</v>
      </c>
      <c r="C21" s="1144">
        <v>16670</v>
      </c>
      <c r="D21" s="1144">
        <v>17234</v>
      </c>
      <c r="E21" s="1144">
        <v>17493</v>
      </c>
      <c r="F21" s="538">
        <v>18724</v>
      </c>
      <c r="G21" s="537">
        <v>18152</v>
      </c>
      <c r="H21" s="1144">
        <v>18370</v>
      </c>
      <c r="I21" s="1144">
        <v>17946</v>
      </c>
      <c r="J21" s="52">
        <v>18998</v>
      </c>
      <c r="K21" s="537"/>
      <c r="L21" s="1144"/>
      <c r="M21" s="1144"/>
      <c r="N21" s="52"/>
      <c r="O21" s="537"/>
      <c r="P21" s="1144"/>
      <c r="Q21" s="1144"/>
      <c r="R21" s="52"/>
      <c r="S21" s="537"/>
      <c r="T21" s="1144"/>
      <c r="U21" s="1144"/>
      <c r="V21" s="52"/>
      <c r="W21" s="666" t="e">
        <f t="shared" si="0"/>
        <v>#DIV/0!</v>
      </c>
      <c r="X21" s="667">
        <f t="shared" si="1"/>
        <v>0</v>
      </c>
      <c r="Y21" s="1509" t="e">
        <f t="shared" si="2"/>
        <v>#DIV/0!</v>
      </c>
    </row>
    <row r="22" spans="2:30" ht="17.25" customHeight="1">
      <c r="B22" s="542" t="s">
        <v>92</v>
      </c>
      <c r="C22" s="54">
        <v>32171</v>
      </c>
      <c r="D22" s="53">
        <v>30532</v>
      </c>
      <c r="E22" s="54">
        <v>30937</v>
      </c>
      <c r="F22" s="416">
        <v>32340</v>
      </c>
      <c r="G22" s="414">
        <v>29814</v>
      </c>
      <c r="H22" s="53">
        <v>30548</v>
      </c>
      <c r="I22" s="54">
        <v>31717</v>
      </c>
      <c r="J22" s="55">
        <v>33955</v>
      </c>
      <c r="K22" s="414"/>
      <c r="L22" s="53"/>
      <c r="M22" s="54"/>
      <c r="N22" s="55"/>
      <c r="O22" s="414"/>
      <c r="P22" s="53"/>
      <c r="Q22" s="54"/>
      <c r="R22" s="55"/>
      <c r="S22" s="414"/>
      <c r="T22" s="53"/>
      <c r="U22" s="54"/>
      <c r="V22" s="55"/>
      <c r="W22" s="666" t="e">
        <f t="shared" si="0"/>
        <v>#DIV/0!</v>
      </c>
      <c r="X22" s="667">
        <f t="shared" si="1"/>
        <v>0</v>
      </c>
      <c r="Y22" s="1509" t="e">
        <f t="shared" si="2"/>
        <v>#DIV/0!</v>
      </c>
    </row>
    <row r="23" spans="2:30" ht="17.25" customHeight="1">
      <c r="B23" s="542" t="s">
        <v>93</v>
      </c>
      <c r="C23" s="54">
        <v>14910.599342011157</v>
      </c>
      <c r="D23" s="53">
        <v>15103.308117872868</v>
      </c>
      <c r="E23" s="54">
        <v>15262.805490458655</v>
      </c>
      <c r="F23" s="416">
        <v>14756.87331536388</v>
      </c>
      <c r="G23" s="414">
        <v>12088.040929439352</v>
      </c>
      <c r="H23" s="53">
        <v>12643.526170798899</v>
      </c>
      <c r="I23" s="54">
        <v>13624.192601291836</v>
      </c>
      <c r="J23" s="55">
        <v>13886.992348440259</v>
      </c>
      <c r="K23" s="414"/>
      <c r="L23" s="53"/>
      <c r="M23" s="54"/>
      <c r="N23" s="55"/>
      <c r="O23" s="414"/>
      <c r="P23" s="53"/>
      <c r="Q23" s="54"/>
      <c r="R23" s="55"/>
      <c r="S23" s="414"/>
      <c r="T23" s="53"/>
      <c r="U23" s="54"/>
      <c r="V23" s="55"/>
      <c r="W23" s="666" t="e">
        <f t="shared" si="0"/>
        <v>#DIV/0!</v>
      </c>
      <c r="X23" s="667">
        <f t="shared" si="1"/>
        <v>0</v>
      </c>
      <c r="Y23" s="1509" t="e">
        <f t="shared" si="2"/>
        <v>#DIV/0!</v>
      </c>
    </row>
    <row r="24" spans="2:30" ht="17.25" customHeight="1">
      <c r="B24" s="543" t="s">
        <v>19</v>
      </c>
      <c r="C24" s="54">
        <f>SUM(C8:C23)</f>
        <v>282804.46598778595</v>
      </c>
      <c r="D24" s="54">
        <f>SUM(D8:D23)</f>
        <v>284656.36291425483</v>
      </c>
      <c r="E24" s="54">
        <f>SUM(E8:E23)</f>
        <v>285530.36104130105</v>
      </c>
      <c r="F24" s="416">
        <f t="shared" ref="F24:O24" si="3">SUM(F8:F23)</f>
        <v>291329.02706930938</v>
      </c>
      <c r="G24" s="54">
        <f t="shared" si="3"/>
        <v>276727.24159976584</v>
      </c>
      <c r="H24" s="54">
        <f t="shared" si="3"/>
        <v>282989.68430365261</v>
      </c>
      <c r="I24" s="54">
        <f t="shared" si="3"/>
        <v>285730.65743659541</v>
      </c>
      <c r="J24" s="55">
        <f t="shared" si="3"/>
        <v>296477.23938465805</v>
      </c>
      <c r="K24" s="54">
        <f t="shared" si="3"/>
        <v>0</v>
      </c>
      <c r="L24" s="54">
        <f t="shared" si="3"/>
        <v>0</v>
      </c>
      <c r="M24" s="54">
        <f t="shared" si="3"/>
        <v>0</v>
      </c>
      <c r="N24" s="54">
        <f t="shared" si="3"/>
        <v>0</v>
      </c>
      <c r="O24" s="54">
        <f t="shared" si="3"/>
        <v>0</v>
      </c>
      <c r="P24" s="54">
        <f t="shared" ref="P24:S24" si="4">SUM(P8:P23)</f>
        <v>0</v>
      </c>
      <c r="Q24" s="54">
        <f t="shared" si="4"/>
        <v>0</v>
      </c>
      <c r="R24" s="55">
        <f t="shared" si="4"/>
        <v>0</v>
      </c>
      <c r="S24" s="54">
        <f t="shared" si="4"/>
        <v>0</v>
      </c>
      <c r="T24" s="54">
        <f t="shared" ref="T24:U24" si="5">SUM(T8:T23)</f>
        <v>0</v>
      </c>
      <c r="U24" s="54">
        <f t="shared" si="5"/>
        <v>0</v>
      </c>
      <c r="V24" s="55"/>
      <c r="W24" s="666" t="e">
        <f t="shared" si="0"/>
        <v>#DIV/0!</v>
      </c>
      <c r="X24" s="667">
        <f t="shared" si="1"/>
        <v>0</v>
      </c>
      <c r="Y24" s="1509" t="e">
        <f t="shared" si="2"/>
        <v>#DIV/0!</v>
      </c>
    </row>
    <row r="25" spans="2:30" ht="13.8">
      <c r="B25" s="70" t="s">
        <v>94</v>
      </c>
      <c r="C25" s="49">
        <v>5.7098615583869972E-2</v>
      </c>
      <c r="D25" s="49">
        <v>6.8588673752922436E-2</v>
      </c>
      <c r="E25" s="49">
        <v>3.8374887672773861E-2</v>
      </c>
      <c r="F25" s="539">
        <v>4.4206551380093995E-2</v>
      </c>
      <c r="G25" s="49">
        <f t="shared" ref="G25:P25" si="6">G24/C24-1</f>
        <v>-2.1489138676765385E-2</v>
      </c>
      <c r="H25" s="49">
        <f t="shared" si="6"/>
        <v>-5.8550548230824617E-3</v>
      </c>
      <c r="I25" s="49">
        <f t="shared" si="6"/>
        <v>7.014889574752381E-4</v>
      </c>
      <c r="J25" s="607">
        <f t="shared" si="6"/>
        <v>1.7671470526429367E-2</v>
      </c>
      <c r="K25" s="49">
        <f t="shared" si="6"/>
        <v>-1</v>
      </c>
      <c r="L25" s="49">
        <f t="shared" si="6"/>
        <v>-1</v>
      </c>
      <c r="M25" s="49">
        <f t="shared" si="6"/>
        <v>-1</v>
      </c>
      <c r="N25" s="607">
        <f t="shared" si="6"/>
        <v>-1</v>
      </c>
      <c r="O25" s="49" t="e">
        <f t="shared" ref="O25" si="7">O24/K24-1</f>
        <v>#DIV/0!</v>
      </c>
      <c r="P25" s="49" t="e">
        <f t="shared" si="6"/>
        <v>#DIV/0!</v>
      </c>
      <c r="Q25" s="49" t="e">
        <f>Q24/M24-1</f>
        <v>#DIV/0!</v>
      </c>
      <c r="R25" s="607" t="e">
        <f>R24/N24-1</f>
        <v>#DIV/0!</v>
      </c>
      <c r="S25" s="49" t="e">
        <f>S24/O24-1</f>
        <v>#DIV/0!</v>
      </c>
      <c r="T25" s="49" t="e">
        <f t="shared" ref="T25:U25" si="8">T24/P24-1</f>
        <v>#DIV/0!</v>
      </c>
      <c r="U25" s="49" t="e">
        <f t="shared" si="8"/>
        <v>#DIV/0!</v>
      </c>
      <c r="V25" s="607"/>
      <c r="W25" s="25"/>
    </row>
    <row r="26" spans="2:30" s="51" customFormat="1" ht="13.8">
      <c r="F26" s="100">
        <f>SUM(C24:F24)</f>
        <v>1144320.2170126513</v>
      </c>
      <c r="J26" s="100">
        <f>SUM(G24:J24)</f>
        <v>1141924.822724672</v>
      </c>
      <c r="N26" s="100">
        <f>SUM(K24:P24)</f>
        <v>0</v>
      </c>
      <c r="R26" s="100">
        <f>SUM(O24:R24)</f>
        <v>0</v>
      </c>
      <c r="S26" s="49" t="e">
        <f>S24/R24-1</f>
        <v>#DIV/0!</v>
      </c>
      <c r="V26" s="100"/>
    </row>
    <row r="27" spans="2:30" ht="14.4">
      <c r="B27" s="38" t="s">
        <v>424</v>
      </c>
      <c r="C27" s="45"/>
      <c r="D27" s="45"/>
      <c r="E27" s="45"/>
      <c r="F27" s="49">
        <v>5.1885823764973971E-2</v>
      </c>
      <c r="G27" s="45"/>
      <c r="H27" s="45"/>
      <c r="I27" s="45"/>
      <c r="J27" s="49">
        <f>J26/F26-1</f>
        <v>-2.0932901930480474E-3</v>
      </c>
      <c r="K27" s="45"/>
      <c r="L27" s="45"/>
      <c r="M27" s="45"/>
      <c r="N27" s="49">
        <f>N26/J26-1</f>
        <v>-1</v>
      </c>
      <c r="O27" s="45"/>
      <c r="P27" s="45"/>
      <c r="Q27" s="45"/>
      <c r="R27" s="49" t="e">
        <f>R26/N26-1</f>
        <v>#DIV/0!</v>
      </c>
      <c r="S27" s="45"/>
      <c r="T27" s="45"/>
      <c r="U27" s="45"/>
      <c r="V27" s="49"/>
    </row>
    <row r="28" spans="2:30">
      <c r="B28" s="41" t="s">
        <v>75</v>
      </c>
      <c r="C28" s="45" t="s">
        <v>309</v>
      </c>
      <c r="D28" s="45"/>
      <c r="E28" s="45"/>
      <c r="F28" s="45"/>
      <c r="G28" s="45" t="s">
        <v>309</v>
      </c>
      <c r="H28" s="45"/>
      <c r="I28" s="45"/>
      <c r="J28" s="45"/>
      <c r="K28" s="45" t="s">
        <v>309</v>
      </c>
      <c r="L28" s="45"/>
      <c r="M28" s="45"/>
      <c r="N28" s="45"/>
      <c r="O28" s="45" t="s">
        <v>309</v>
      </c>
      <c r="P28" s="45"/>
      <c r="Q28" s="45"/>
      <c r="R28" s="45"/>
      <c r="S28" s="45" t="s">
        <v>309</v>
      </c>
      <c r="T28" s="45"/>
      <c r="U28" s="45"/>
      <c r="V28" s="45"/>
      <c r="W28" s="25" t="s">
        <v>334</v>
      </c>
      <c r="X28" s="25" t="s">
        <v>459</v>
      </c>
      <c r="Y28" s="25" t="s">
        <v>334</v>
      </c>
    </row>
    <row r="29" spans="2:30" ht="13.8">
      <c r="B29" s="540" t="s">
        <v>60</v>
      </c>
      <c r="C29" s="82" t="s">
        <v>126</v>
      </c>
      <c r="D29" s="83" t="s">
        <v>127</v>
      </c>
      <c r="E29" s="83" t="s">
        <v>128</v>
      </c>
      <c r="F29" s="413" t="s">
        <v>129</v>
      </c>
      <c r="G29" s="82" t="s">
        <v>130</v>
      </c>
      <c r="H29" s="83" t="s">
        <v>131</v>
      </c>
      <c r="I29" s="83" t="s">
        <v>132</v>
      </c>
      <c r="J29" s="84" t="s">
        <v>133</v>
      </c>
      <c r="K29" s="410" t="s">
        <v>134</v>
      </c>
      <c r="L29" s="83" t="s">
        <v>135</v>
      </c>
      <c r="M29" s="83" t="s">
        <v>136</v>
      </c>
      <c r="N29" s="84" t="s">
        <v>137</v>
      </c>
      <c r="O29" s="410" t="s">
        <v>138</v>
      </c>
      <c r="P29" s="83" t="s">
        <v>139</v>
      </c>
      <c r="Q29" s="83" t="s">
        <v>140</v>
      </c>
      <c r="R29" s="84" t="s">
        <v>141</v>
      </c>
      <c r="S29" s="410" t="s">
        <v>142</v>
      </c>
      <c r="T29" s="83" t="s">
        <v>143</v>
      </c>
      <c r="U29" s="83" t="s">
        <v>144</v>
      </c>
      <c r="V29" s="84" t="s">
        <v>145</v>
      </c>
      <c r="W29" s="402" t="s">
        <v>307</v>
      </c>
      <c r="X29" s="402" t="s">
        <v>460</v>
      </c>
      <c r="Y29" s="402" t="s">
        <v>350</v>
      </c>
    </row>
    <row r="30" spans="2:30" ht="16.5" customHeight="1">
      <c r="B30" s="542" t="str">
        <f t="shared" ref="B30:B45" si="9">B8</f>
        <v>AT&amp;T</v>
      </c>
      <c r="C30" s="537">
        <v>4451</v>
      </c>
      <c r="D30" s="53">
        <v>5251</v>
      </c>
      <c r="E30" s="53">
        <v>5581</v>
      </c>
      <c r="F30" s="538">
        <v>6233</v>
      </c>
      <c r="G30" s="53">
        <v>5784</v>
      </c>
      <c r="H30" s="53">
        <v>4966</v>
      </c>
      <c r="I30" s="53">
        <v>5006</v>
      </c>
      <c r="J30" s="52">
        <v>4891</v>
      </c>
      <c r="K30" s="53"/>
      <c r="L30" s="53"/>
      <c r="M30" s="53"/>
      <c r="N30" s="52"/>
      <c r="O30" s="53"/>
      <c r="P30" s="53"/>
      <c r="Q30" s="53"/>
      <c r="R30" s="52"/>
      <c r="S30" s="53"/>
      <c r="T30" s="53"/>
      <c r="U30" s="53"/>
      <c r="V30" s="381"/>
      <c r="W30" s="666" t="e">
        <f>U30/Q30-1</f>
        <v>#DIV/0!</v>
      </c>
      <c r="X30" s="667">
        <f t="shared" ref="X30:X46" si="10">U30-Q30</f>
        <v>0</v>
      </c>
      <c r="Y30" s="1509" t="e">
        <f t="shared" ref="Y30:Y46" si="11">U30/T30-1</f>
        <v>#DIV/0!</v>
      </c>
    </row>
    <row r="31" spans="2:30" ht="16.5" customHeight="1">
      <c r="B31" s="542" t="str">
        <f t="shared" si="9"/>
        <v>BT</v>
      </c>
      <c r="C31" s="537">
        <v>1109.998569589472</v>
      </c>
      <c r="D31" s="53">
        <v>1113.6591658305863</v>
      </c>
      <c r="E31" s="53">
        <v>1052.7697558414282</v>
      </c>
      <c r="F31" s="538">
        <v>1057.59682224429</v>
      </c>
      <c r="G31" s="53">
        <v>1266.4188351920693</v>
      </c>
      <c r="H31" s="53">
        <v>1069.1421254801535</v>
      </c>
      <c r="I31" s="53">
        <v>1122.7427375032714</v>
      </c>
      <c r="J31" s="52">
        <v>1164.765189705492</v>
      </c>
      <c r="K31" s="53"/>
      <c r="L31" s="53"/>
      <c r="M31" s="53"/>
      <c r="N31" s="52"/>
      <c r="O31" s="53"/>
      <c r="P31" s="53"/>
      <c r="Q31" s="53"/>
      <c r="R31" s="52"/>
      <c r="S31" s="53"/>
      <c r="T31" s="53"/>
      <c r="U31" s="53"/>
      <c r="V31" s="381"/>
      <c r="W31" s="666" t="e">
        <f t="shared" ref="W31:W46" si="12">U31/Q31-1</f>
        <v>#DIV/0!</v>
      </c>
      <c r="X31" s="667">
        <f t="shared" si="10"/>
        <v>0</v>
      </c>
      <c r="Y31" s="1509" t="e">
        <f t="shared" si="11"/>
        <v>#DIV/0!</v>
      </c>
    </row>
    <row r="32" spans="2:30" ht="16.5" customHeight="1">
      <c r="B32" s="542" t="str">
        <f t="shared" si="9"/>
        <v>China Mobile</v>
      </c>
      <c r="C32" s="390">
        <v>6345.1776649746189</v>
      </c>
      <c r="D32" s="79">
        <v>6353.1428921343504</v>
      </c>
      <c r="E32" s="53">
        <v>7743.0972388955588</v>
      </c>
      <c r="F32" s="538">
        <v>8027.5822039954737</v>
      </c>
      <c r="G32" s="79">
        <v>4955.3156120142257</v>
      </c>
      <c r="H32" s="79">
        <v>6219.4677360554142</v>
      </c>
      <c r="I32" s="53">
        <v>6800.221925654906</v>
      </c>
      <c r="J32" s="80">
        <v>6974.2813918305592</v>
      </c>
      <c r="K32" s="79"/>
      <c r="L32" s="79"/>
      <c r="M32" s="53"/>
      <c r="N32" s="80"/>
      <c r="O32" s="79"/>
      <c r="P32" s="79"/>
      <c r="Q32" s="53"/>
      <c r="R32" s="52"/>
      <c r="S32" s="79"/>
      <c r="T32" s="79"/>
      <c r="U32" s="53"/>
      <c r="V32" s="381"/>
      <c r="W32" s="666" t="e">
        <f t="shared" si="12"/>
        <v>#DIV/0!</v>
      </c>
      <c r="X32" s="667">
        <f t="shared" si="10"/>
        <v>0</v>
      </c>
      <c r="Y32" s="1509" t="e">
        <f t="shared" si="11"/>
        <v>#DIV/0!</v>
      </c>
      <c r="Z32" s="573"/>
      <c r="AA32" s="573"/>
      <c r="AB32" s="573"/>
      <c r="AC32" s="573"/>
      <c r="AD32" s="573"/>
    </row>
    <row r="33" spans="2:28" ht="16.5" customHeight="1">
      <c r="B33" s="542" t="str">
        <f t="shared" si="9"/>
        <v>China Telecom</v>
      </c>
      <c r="C33" s="390">
        <v>3114.9470980368174</v>
      </c>
      <c r="D33" s="79">
        <v>3118.8573528060992</v>
      </c>
      <c r="E33" s="53">
        <v>4220.7382953181277</v>
      </c>
      <c r="F33" s="538">
        <v>4394.9719655746667</v>
      </c>
      <c r="G33" s="79">
        <v>2985.9840232389251</v>
      </c>
      <c r="H33" s="79">
        <v>2997.958439664601</v>
      </c>
      <c r="I33" s="79">
        <v>3567.5298774910407</v>
      </c>
      <c r="J33" s="80">
        <v>3600.3025718608169</v>
      </c>
      <c r="K33" s="79"/>
      <c r="L33" s="79"/>
      <c r="M33" s="53"/>
      <c r="N33" s="80"/>
      <c r="O33" s="79"/>
      <c r="P33" s="79"/>
      <c r="Q33" s="53"/>
      <c r="R33" s="52"/>
      <c r="S33" s="79"/>
      <c r="T33" s="79"/>
      <c r="U33" s="53"/>
      <c r="V33" s="381"/>
      <c r="W33" s="666" t="e">
        <f t="shared" si="12"/>
        <v>#DIV/0!</v>
      </c>
      <c r="X33" s="667">
        <f t="shared" si="10"/>
        <v>0</v>
      </c>
      <c r="Y33" s="1509" t="e">
        <f t="shared" si="11"/>
        <v>#DIV/0!</v>
      </c>
      <c r="AA33" t="s">
        <v>82</v>
      </c>
    </row>
    <row r="34" spans="2:28" ht="16.5" customHeight="1">
      <c r="B34" s="542" t="str">
        <f t="shared" si="9"/>
        <v>China Unicom</v>
      </c>
      <c r="C34" s="537">
        <v>1383.7074185065135</v>
      </c>
      <c r="D34" s="53">
        <v>1385.4444138268884</v>
      </c>
      <c r="E34" s="53">
        <v>4269.2076830732294</v>
      </c>
      <c r="F34" s="538">
        <v>4443.2240245952071</v>
      </c>
      <c r="G34" s="53">
        <v>1237.8733870761432</v>
      </c>
      <c r="H34" s="53">
        <v>663.50710900473939</v>
      </c>
      <c r="I34" s="53">
        <v>2691.598314564621</v>
      </c>
      <c r="J34" s="80">
        <v>2498.4871406959151</v>
      </c>
      <c r="K34" s="53"/>
      <c r="L34" s="53"/>
      <c r="M34" s="53"/>
      <c r="N34" s="80"/>
      <c r="O34" s="53"/>
      <c r="P34" s="53"/>
      <c r="Q34" s="53"/>
      <c r="R34" s="52"/>
      <c r="S34" s="53"/>
      <c r="T34" s="53"/>
      <c r="U34" s="53"/>
      <c r="V34" s="381"/>
      <c r="W34" s="666" t="e">
        <f t="shared" si="12"/>
        <v>#DIV/0!</v>
      </c>
      <c r="X34" s="667">
        <f t="shared" si="10"/>
        <v>0</v>
      </c>
      <c r="Y34" s="1509" t="e">
        <f t="shared" si="11"/>
        <v>#DIV/0!</v>
      </c>
    </row>
    <row r="35" spans="2:28" ht="16.5" customHeight="1">
      <c r="B35" s="542" t="str">
        <f t="shared" si="9"/>
        <v>Comcast</v>
      </c>
      <c r="C35" s="537">
        <v>1576</v>
      </c>
      <c r="D35" s="53">
        <v>1881</v>
      </c>
      <c r="E35" s="53">
        <v>2044</v>
      </c>
      <c r="F35" s="538">
        <v>2095</v>
      </c>
      <c r="G35" s="53">
        <v>1781</v>
      </c>
      <c r="H35" s="53">
        <v>1956</v>
      </c>
      <c r="I35" s="53">
        <v>2061</v>
      </c>
      <c r="J35" s="52">
        <v>2154</v>
      </c>
      <c r="K35" s="53"/>
      <c r="L35" s="53"/>
      <c r="M35" s="53"/>
      <c r="N35" s="52"/>
      <c r="O35" s="53"/>
      <c r="P35" s="53"/>
      <c r="Q35" s="53"/>
      <c r="R35" s="52"/>
      <c r="S35" s="53"/>
      <c r="T35" s="53"/>
      <c r="U35" s="53"/>
      <c r="V35" s="381"/>
      <c r="W35" s="666" t="e">
        <f t="shared" si="12"/>
        <v>#DIV/0!</v>
      </c>
      <c r="X35" s="667">
        <f t="shared" si="10"/>
        <v>0</v>
      </c>
      <c r="Y35" s="1509" t="e">
        <f t="shared" si="11"/>
        <v>#DIV/0!</v>
      </c>
      <c r="AA35">
        <v>2019</v>
      </c>
      <c r="AB35">
        <v>2020</v>
      </c>
    </row>
    <row r="36" spans="2:28" ht="16.5" customHeight="1">
      <c r="B36" s="542" t="str">
        <f t="shared" si="9"/>
        <v>Deutsche Telekom</v>
      </c>
      <c r="C36" s="537">
        <v>3120.2468863661411</v>
      </c>
      <c r="D36" s="53">
        <v>3007.7904482330359</v>
      </c>
      <c r="E36" s="53">
        <v>3056.5785068630735</v>
      </c>
      <c r="F36" s="538">
        <v>2953.0997304582206</v>
      </c>
      <c r="G36" s="53">
        <v>3458.7507994031125</v>
      </c>
      <c r="H36" s="53">
        <v>3299.1735537190084</v>
      </c>
      <c r="I36" s="53">
        <v>3525.5431591309448</v>
      </c>
      <c r="J36" s="52">
        <v>3366.686286050618</v>
      </c>
      <c r="K36" s="53"/>
      <c r="L36" s="53"/>
      <c r="M36" s="53"/>
      <c r="N36" s="52"/>
      <c r="O36" s="53"/>
      <c r="P36" s="53"/>
      <c r="Q36" s="53"/>
      <c r="R36" s="52"/>
      <c r="S36" s="53"/>
      <c r="T36" s="53"/>
      <c r="U36" s="53"/>
      <c r="V36" s="381"/>
      <c r="W36" s="666" t="e">
        <f t="shared" si="12"/>
        <v>#DIV/0!</v>
      </c>
      <c r="X36" s="667">
        <f t="shared" si="10"/>
        <v>0</v>
      </c>
      <c r="Y36" s="1509" t="e">
        <f t="shared" si="11"/>
        <v>#DIV/0!</v>
      </c>
      <c r="Z36" s="25" t="s">
        <v>582</v>
      </c>
      <c r="AA36" s="1129">
        <v>77557</v>
      </c>
      <c r="AB36" s="1129">
        <v>85000</v>
      </c>
    </row>
    <row r="37" spans="2:28" ht="16.5" customHeight="1">
      <c r="B37" s="542" t="str">
        <f t="shared" si="9"/>
        <v>France Telecom</v>
      </c>
      <c r="C37" s="537">
        <v>1605.8635511958557</v>
      </c>
      <c r="D37" s="53">
        <v>1930.6763012306649</v>
      </c>
      <c r="E37" s="53">
        <v>1747.5728155339807</v>
      </c>
      <c r="F37" s="538">
        <v>2397.8436657681941</v>
      </c>
      <c r="G37" s="53">
        <v>1581.7522916222554</v>
      </c>
      <c r="H37" s="53">
        <v>1947.1074380165289</v>
      </c>
      <c r="I37" s="53">
        <v>1862.595419847328</v>
      </c>
      <c r="J37" s="52">
        <v>2721.6009417304294</v>
      </c>
      <c r="K37" s="53"/>
      <c r="L37" s="53"/>
      <c r="M37" s="53"/>
      <c r="N37" s="52"/>
      <c r="O37" s="53"/>
      <c r="P37" s="53"/>
      <c r="Q37" s="53"/>
      <c r="R37" s="52"/>
      <c r="S37" s="53"/>
      <c r="T37" s="53"/>
      <c r="U37" s="53"/>
      <c r="V37" s="381"/>
      <c r="W37" s="666" t="e">
        <f t="shared" si="12"/>
        <v>#DIV/0!</v>
      </c>
      <c r="X37" s="667">
        <f t="shared" si="10"/>
        <v>0</v>
      </c>
      <c r="Y37" s="1509" t="e">
        <f t="shared" si="11"/>
        <v>#DIV/0!</v>
      </c>
      <c r="Z37" s="25" t="s">
        <v>579</v>
      </c>
      <c r="AA37" s="1129">
        <f>0.229*AA36</f>
        <v>17760.553</v>
      </c>
      <c r="AB37" s="1129">
        <f>0.533*AB36</f>
        <v>45305</v>
      </c>
    </row>
    <row r="38" spans="2:28" ht="16.5" customHeight="1">
      <c r="B38" s="542" t="str">
        <f t="shared" si="9"/>
        <v>KDDI</v>
      </c>
      <c r="C38" s="537">
        <v>1454.8919177011894</v>
      </c>
      <c r="D38" s="53">
        <v>814.40682522232589</v>
      </c>
      <c r="E38" s="53">
        <v>938.81701963036994</v>
      </c>
      <c r="F38" s="538">
        <v>1032.5583181127583</v>
      </c>
      <c r="G38" s="53">
        <v>1958.8770891671511</v>
      </c>
      <c r="H38" s="53">
        <v>1115.7124404995341</v>
      </c>
      <c r="I38" s="53">
        <v>1100.4204005067149</v>
      </c>
      <c r="J38" s="52">
        <v>1231.2455705173636</v>
      </c>
      <c r="K38" s="53"/>
      <c r="L38" s="53"/>
      <c r="M38" s="53"/>
      <c r="N38" s="52"/>
      <c r="O38" s="53"/>
      <c r="P38" s="53"/>
      <c r="Q38" s="53"/>
      <c r="R38" s="52"/>
      <c r="S38" s="53"/>
      <c r="T38" s="53"/>
      <c r="U38" s="53"/>
      <c r="V38" s="381"/>
      <c r="W38" s="666" t="e">
        <f t="shared" si="12"/>
        <v>#DIV/0!</v>
      </c>
      <c r="X38" s="667">
        <f t="shared" si="10"/>
        <v>0</v>
      </c>
      <c r="Y38" s="1509" t="e">
        <f t="shared" si="11"/>
        <v>#DIV/0!</v>
      </c>
      <c r="Z38" s="25" t="s">
        <v>489</v>
      </c>
      <c r="AA38" s="1129">
        <f>0.332*AA36</f>
        <v>25748.924000000003</v>
      </c>
      <c r="AB38" s="1129">
        <f>0.088*AB36</f>
        <v>7480</v>
      </c>
    </row>
    <row r="39" spans="2:28" ht="16.5" customHeight="1">
      <c r="B39" s="542" t="str">
        <f t="shared" si="9"/>
        <v>NTT</v>
      </c>
      <c r="C39" s="537">
        <v>5286.9172671238821</v>
      </c>
      <c r="D39" s="53">
        <v>2636.208753622006</v>
      </c>
      <c r="E39" s="53">
        <v>3725.9993474128041</v>
      </c>
      <c r="F39" s="538">
        <v>3898.8439676245116</v>
      </c>
      <c r="G39" s="53">
        <v>5351.4996213522136</v>
      </c>
      <c r="H39" s="53">
        <v>3202.1414770866986</v>
      </c>
      <c r="I39" s="53">
        <v>3624.6704640262942</v>
      </c>
      <c r="J39" s="52">
        <v>3380.5811481219007</v>
      </c>
      <c r="K39" s="53"/>
      <c r="L39" s="53"/>
      <c r="M39" s="53"/>
      <c r="N39" s="52"/>
      <c r="O39" s="53"/>
      <c r="P39" s="53"/>
      <c r="Q39" s="53"/>
      <c r="R39" s="52"/>
      <c r="S39" s="53"/>
      <c r="T39" s="53"/>
      <c r="U39" s="53"/>
      <c r="V39" s="381"/>
      <c r="W39" s="666" t="e">
        <f t="shared" si="12"/>
        <v>#DIV/0!</v>
      </c>
      <c r="X39" s="667">
        <f t="shared" si="10"/>
        <v>0</v>
      </c>
      <c r="Y39" s="1509" t="e">
        <f t="shared" si="11"/>
        <v>#DIV/0!</v>
      </c>
      <c r="Z39" s="2" t="s">
        <v>580</v>
      </c>
      <c r="AA39" s="1129">
        <f>0.247*AA36</f>
        <v>19156.579000000002</v>
      </c>
      <c r="AB39" s="1129">
        <f>0.132*AB36</f>
        <v>11220</v>
      </c>
    </row>
    <row r="40" spans="2:28" ht="16.5" customHeight="1">
      <c r="B40" s="542" t="str">
        <f t="shared" si="9"/>
        <v>Softbank</v>
      </c>
      <c r="C40" s="537">
        <v>2512.5618543276328</v>
      </c>
      <c r="D40" s="53">
        <v>1381.404902755042</v>
      </c>
      <c r="E40" s="53">
        <v>1587.4867382167956</v>
      </c>
      <c r="F40" s="538">
        <v>2259.4829209608797</v>
      </c>
      <c r="G40" s="53">
        <v>3213.196315668974</v>
      </c>
      <c r="H40" s="53">
        <v>1940.1199543784787</v>
      </c>
      <c r="I40" s="53">
        <v>2207.1386997316858</v>
      </c>
      <c r="J40" s="52">
        <v>2598.4673990077958</v>
      </c>
      <c r="K40" s="53"/>
      <c r="L40" s="53"/>
      <c r="M40" s="53"/>
      <c r="N40" s="52"/>
      <c r="O40" s="53"/>
      <c r="P40" s="53"/>
      <c r="Q40" s="53"/>
      <c r="R40" s="52"/>
      <c r="S40" s="53"/>
      <c r="T40" s="53"/>
      <c r="U40" s="53"/>
      <c r="V40" s="381"/>
      <c r="W40" s="666" t="e">
        <f t="shared" si="12"/>
        <v>#DIV/0!</v>
      </c>
      <c r="X40" s="667">
        <f t="shared" si="10"/>
        <v>0</v>
      </c>
      <c r="Y40" s="1509" t="e">
        <f t="shared" si="11"/>
        <v>#DIV/0!</v>
      </c>
      <c r="Z40" t="s">
        <v>581</v>
      </c>
      <c r="AA40" s="1129">
        <f>SUM(AA37:AA39)</f>
        <v>62666.055999999997</v>
      </c>
      <c r="AB40" s="1129">
        <f>SUM(AB37:AB39)</f>
        <v>64005</v>
      </c>
    </row>
    <row r="41" spans="2:28" ht="16.5" customHeight="1">
      <c r="B41" s="542" t="str">
        <f t="shared" si="9"/>
        <v>Telecom Italia</v>
      </c>
      <c r="C41" s="537">
        <v>1040.4496858811858</v>
      </c>
      <c r="D41" s="53">
        <v>1173.0834368296262</v>
      </c>
      <c r="E41" s="53">
        <v>1254.3242941635979</v>
      </c>
      <c r="F41" s="538">
        <v>2106.0247874790739</v>
      </c>
      <c r="G41" s="53">
        <v>885.73864847580478</v>
      </c>
      <c r="H41" s="53">
        <v>1349.8622589531681</v>
      </c>
      <c r="I41" s="53">
        <v>2143.2765707574868</v>
      </c>
      <c r="J41" s="52">
        <v>2142.4367274867568</v>
      </c>
      <c r="K41" s="53"/>
      <c r="L41" s="53"/>
      <c r="M41" s="53"/>
      <c r="N41" s="52"/>
      <c r="O41" s="53"/>
      <c r="P41" s="53"/>
      <c r="Q41" s="53"/>
      <c r="R41" s="52"/>
      <c r="S41" s="53"/>
      <c r="T41" s="53"/>
      <c r="U41" s="53"/>
      <c r="V41" s="381"/>
      <c r="W41" s="666" t="e">
        <f t="shared" si="12"/>
        <v>#DIV/0!</v>
      </c>
      <c r="X41" s="667">
        <f t="shared" si="10"/>
        <v>0</v>
      </c>
      <c r="Y41" s="1509" t="e">
        <f t="shared" si="11"/>
        <v>#DIV/0!</v>
      </c>
      <c r="AB41" s="5">
        <f>AB40/AA40-1</f>
        <v>2.1366335867698538E-2</v>
      </c>
    </row>
    <row r="42" spans="2:28" ht="16.5" customHeight="1">
      <c r="B42" s="542" t="str">
        <f t="shared" si="9"/>
        <v>Telefonica</v>
      </c>
      <c r="C42" s="537">
        <v>1656.5634299570152</v>
      </c>
      <c r="D42" s="53">
        <v>2211.809867901095</v>
      </c>
      <c r="E42" s="53">
        <v>2635.8665327530412</v>
      </c>
      <c r="F42" s="538">
        <v>3139.6226415094338</v>
      </c>
      <c r="G42" s="53">
        <v>1621</v>
      </c>
      <c r="H42" s="53">
        <v>2078.2369146005512</v>
      </c>
      <c r="I42" s="53">
        <v>2883.1473869641804</v>
      </c>
      <c r="J42" s="52">
        <v>3219.5409064155383</v>
      </c>
      <c r="K42" s="53"/>
      <c r="L42" s="53"/>
      <c r="M42" s="53"/>
      <c r="N42" s="52"/>
      <c r="O42" s="53"/>
      <c r="P42" s="53"/>
      <c r="Q42" s="53"/>
      <c r="R42" s="52"/>
      <c r="S42" s="53"/>
      <c r="T42" s="53"/>
      <c r="U42" s="53"/>
      <c r="V42" s="381"/>
      <c r="W42" s="666" t="e">
        <f t="shared" si="12"/>
        <v>#DIV/0!</v>
      </c>
      <c r="X42" s="667">
        <f t="shared" si="10"/>
        <v>0</v>
      </c>
      <c r="Y42" s="1509" t="e">
        <f t="shared" si="11"/>
        <v>#DIV/0!</v>
      </c>
    </row>
    <row r="43" spans="2:28" ht="16.5" customHeight="1">
      <c r="B43" s="542" t="s">
        <v>634</v>
      </c>
      <c r="C43" s="537">
        <v>2645</v>
      </c>
      <c r="D43" s="1144">
        <v>2227</v>
      </c>
      <c r="E43" s="1144">
        <v>1987</v>
      </c>
      <c r="F43" s="538">
        <v>2084</v>
      </c>
      <c r="G43" s="1144">
        <v>2452</v>
      </c>
      <c r="H43" s="1144">
        <v>2965</v>
      </c>
      <c r="I43" s="1144">
        <v>2731</v>
      </c>
      <c r="J43" s="52">
        <v>2299</v>
      </c>
      <c r="K43" s="1144"/>
      <c r="L43" s="1144"/>
      <c r="M43" s="1144"/>
      <c r="N43" s="52"/>
      <c r="O43" s="1144"/>
      <c r="P43" s="1144"/>
      <c r="Q43" s="1144"/>
      <c r="R43" s="52"/>
      <c r="S43" s="1144"/>
      <c r="T43" s="1144"/>
      <c r="U43" s="53"/>
      <c r="V43" s="381"/>
      <c r="W43" s="666" t="e">
        <f t="shared" si="12"/>
        <v>#DIV/0!</v>
      </c>
      <c r="X43" s="667">
        <f t="shared" si="10"/>
        <v>0</v>
      </c>
      <c r="Y43" s="1509" t="e">
        <f t="shared" si="11"/>
        <v>#DIV/0!</v>
      </c>
    </row>
    <row r="44" spans="2:28" ht="16.5" customHeight="1">
      <c r="B44" s="542" t="str">
        <f t="shared" si="9"/>
        <v>Verizon</v>
      </c>
      <c r="C44" s="414">
        <v>3387</v>
      </c>
      <c r="D44" s="53">
        <v>3886</v>
      </c>
      <c r="E44" s="54">
        <v>4125</v>
      </c>
      <c r="F44" s="416">
        <v>5661</v>
      </c>
      <c r="G44" s="54">
        <v>3067</v>
      </c>
      <c r="H44" s="53">
        <v>3944</v>
      </c>
      <c r="I44" s="54">
        <v>4271</v>
      </c>
      <c r="J44" s="55">
        <v>5965</v>
      </c>
      <c r="K44" s="54"/>
      <c r="L44" s="53"/>
      <c r="M44" s="54"/>
      <c r="N44" s="55"/>
      <c r="O44" s="54"/>
      <c r="P44" s="53"/>
      <c r="Q44" s="54"/>
      <c r="R44" s="55"/>
      <c r="S44" s="54"/>
      <c r="T44" s="53"/>
      <c r="U44" s="54"/>
      <c r="V44" s="381"/>
      <c r="W44" s="666" t="e">
        <f t="shared" si="12"/>
        <v>#DIV/0!</v>
      </c>
      <c r="X44" s="667">
        <f t="shared" si="10"/>
        <v>0</v>
      </c>
      <c r="Y44" s="1509" t="e">
        <f t="shared" si="11"/>
        <v>#DIV/0!</v>
      </c>
    </row>
    <row r="45" spans="2:28" ht="16.5" customHeight="1">
      <c r="B45" s="542" t="str">
        <f t="shared" si="9"/>
        <v>Vodafone</v>
      </c>
      <c r="C45" s="414">
        <v>3498.068945787441</v>
      </c>
      <c r="D45" s="53">
        <v>2487.7537201718906</v>
      </c>
      <c r="E45" s="54">
        <v>2216.8284789644013</v>
      </c>
      <c r="F45" s="416">
        <v>2976.2438194617739</v>
      </c>
      <c r="G45" s="54">
        <v>1578.341505009593</v>
      </c>
      <c r="H45" s="53">
        <v>3130.7415483006489</v>
      </c>
      <c r="I45" s="54">
        <v>2125.8461538461534</v>
      </c>
      <c r="J45" s="55">
        <v>2450.5359708173737</v>
      </c>
      <c r="K45" s="54"/>
      <c r="L45" s="53"/>
      <c r="M45" s="54"/>
      <c r="N45" s="55"/>
      <c r="O45" s="54"/>
      <c r="P45" s="53"/>
      <c r="Q45" s="54"/>
      <c r="R45" s="55"/>
      <c r="S45" s="54"/>
      <c r="T45" s="53"/>
      <c r="U45" s="53"/>
      <c r="V45" s="381"/>
      <c r="W45" s="666" t="e">
        <f t="shared" si="12"/>
        <v>#DIV/0!</v>
      </c>
      <c r="X45" s="667">
        <f t="shared" si="10"/>
        <v>0</v>
      </c>
      <c r="Y45" s="1509" t="e">
        <f t="shared" si="11"/>
        <v>#DIV/0!</v>
      </c>
    </row>
    <row r="46" spans="2:28" ht="16.5" customHeight="1">
      <c r="B46" s="61" t="s">
        <v>19</v>
      </c>
      <c r="C46" s="54">
        <f>SUM(C30:C45)</f>
        <v>44188.394289447759</v>
      </c>
      <c r="D46" s="54">
        <f>SUM(D30:D45)</f>
        <v>40859.238080563613</v>
      </c>
      <c r="E46" s="54">
        <f>SUM(E30:E45)</f>
        <v>48186.286706666404</v>
      </c>
      <c r="F46" s="416">
        <f t="shared" ref="F46:S46" si="13">SUM(F30:F45)</f>
        <v>54760.094867784479</v>
      </c>
      <c r="G46" s="54">
        <f t="shared" si="13"/>
        <v>43178.748128220461</v>
      </c>
      <c r="H46" s="54">
        <f t="shared" si="13"/>
        <v>42844.170995759523</v>
      </c>
      <c r="I46" s="54">
        <f t="shared" si="13"/>
        <v>47723.73111002463</v>
      </c>
      <c r="J46" s="55">
        <f t="shared" si="13"/>
        <v>50657.931244240557</v>
      </c>
      <c r="K46" s="54">
        <f t="shared" si="13"/>
        <v>0</v>
      </c>
      <c r="L46" s="54">
        <f t="shared" si="13"/>
        <v>0</v>
      </c>
      <c r="M46" s="54">
        <f t="shared" si="13"/>
        <v>0</v>
      </c>
      <c r="N46" s="55">
        <f t="shared" si="13"/>
        <v>0</v>
      </c>
      <c r="O46" s="54">
        <f t="shared" si="13"/>
        <v>0</v>
      </c>
      <c r="P46" s="54">
        <f t="shared" si="13"/>
        <v>0</v>
      </c>
      <c r="Q46" s="54">
        <f t="shared" si="13"/>
        <v>0</v>
      </c>
      <c r="R46" s="55">
        <f t="shared" si="13"/>
        <v>0</v>
      </c>
      <c r="S46" s="54">
        <f t="shared" si="13"/>
        <v>0</v>
      </c>
      <c r="T46" s="54">
        <f t="shared" ref="T46:U46" si="14">SUM(T30:T45)</f>
        <v>0</v>
      </c>
      <c r="U46" s="54">
        <f t="shared" si="14"/>
        <v>0</v>
      </c>
      <c r="V46" s="381"/>
      <c r="W46" s="666" t="e">
        <f t="shared" si="12"/>
        <v>#DIV/0!</v>
      </c>
      <c r="X46" s="667">
        <f t="shared" si="10"/>
        <v>0</v>
      </c>
      <c r="Y46" s="1509" t="e">
        <f t="shared" si="11"/>
        <v>#DIV/0!</v>
      </c>
    </row>
    <row r="47" spans="2:28" ht="13.8">
      <c r="B47" s="70" t="s">
        <v>94</v>
      </c>
      <c r="C47" s="49">
        <v>5.2744963972386927E-2</v>
      </c>
      <c r="D47" s="49">
        <v>-1.2103578964339778E-2</v>
      </c>
      <c r="E47" s="49">
        <v>-0.13577773311269659</v>
      </c>
      <c r="F47" s="539">
        <v>-0.10016515325697417</v>
      </c>
      <c r="G47" s="49">
        <f t="shared" ref="G47:N47" si="15">G46/C46-1</f>
        <v>-2.2848672767193157E-2</v>
      </c>
      <c r="H47" s="49">
        <f t="shared" si="15"/>
        <v>4.8579782894682122E-2</v>
      </c>
      <c r="I47" s="49">
        <f t="shared" si="15"/>
        <v>-9.599320226884811E-3</v>
      </c>
      <c r="J47" s="607">
        <f t="shared" si="15"/>
        <v>-7.491155070947908E-2</v>
      </c>
      <c r="K47" s="49">
        <f t="shared" si="15"/>
        <v>-1</v>
      </c>
      <c r="L47" s="49">
        <f t="shared" si="15"/>
        <v>-1</v>
      </c>
      <c r="M47" s="49">
        <f t="shared" si="15"/>
        <v>-1</v>
      </c>
      <c r="N47" s="607">
        <f t="shared" si="15"/>
        <v>-1</v>
      </c>
      <c r="O47" s="49" t="e">
        <f t="shared" ref="O47" si="16">O46/K46-1</f>
        <v>#DIV/0!</v>
      </c>
      <c r="P47" s="49" t="e">
        <f t="shared" ref="P47" si="17">P46/L46-1</f>
        <v>#DIV/0!</v>
      </c>
      <c r="Q47" s="49" t="e">
        <f t="shared" ref="Q47" si="18">Q46/M46-1</f>
        <v>#DIV/0!</v>
      </c>
      <c r="R47" s="607" t="e">
        <f t="shared" ref="R47" si="19">R46/N46-1</f>
        <v>#DIV/0!</v>
      </c>
      <c r="S47" s="49" t="e">
        <f>S46/O46-1</f>
        <v>#DIV/0!</v>
      </c>
      <c r="T47" s="49" t="e">
        <f t="shared" ref="T47:U47" si="20">T46/P46-1</f>
        <v>#DIV/0!</v>
      </c>
      <c r="U47" s="49" t="e">
        <f t="shared" si="20"/>
        <v>#DIV/0!</v>
      </c>
      <c r="V47" s="607"/>
      <c r="X47" s="94"/>
    </row>
    <row r="48" spans="2:28" ht="13.8">
      <c r="M48" s="94"/>
      <c r="S48" s="49" t="e">
        <f>S46/R46-1</f>
        <v>#DIV/0!</v>
      </c>
      <c r="T48" s="49" t="e">
        <f>T46/S46-1</f>
        <v>#DIV/0!</v>
      </c>
      <c r="U48" s="49" t="e">
        <f>U46/T46-1</f>
        <v>#DIV/0!</v>
      </c>
    </row>
    <row r="49" spans="2:26">
      <c r="F49" s="94">
        <f>SUM(C46:F46)</f>
        <v>187994.01394446223</v>
      </c>
      <c r="J49" s="94">
        <f>SUM(G46:J46)</f>
        <v>184404.58147824515</v>
      </c>
      <c r="N49" s="94">
        <f>SUM(K46:P46)</f>
        <v>0</v>
      </c>
      <c r="O49" s="94"/>
      <c r="P49" s="94"/>
      <c r="Q49" s="94"/>
      <c r="R49" s="94">
        <f>SUM(O46:R46)</f>
        <v>0</v>
      </c>
      <c r="S49" s="94"/>
      <c r="T49" s="94"/>
      <c r="U49" s="94"/>
      <c r="V49" s="94"/>
    </row>
    <row r="50" spans="2:26">
      <c r="F50" s="42">
        <v>-6.041981308403177E-2</v>
      </c>
      <c r="J50" s="42">
        <f>J49/F49-1</f>
        <v>-1.9093333829647841E-2</v>
      </c>
      <c r="N50" s="42">
        <f>N49/J49-1</f>
        <v>-1</v>
      </c>
      <c r="O50" s="42"/>
      <c r="P50" s="42"/>
      <c r="Q50" s="42"/>
      <c r="R50" s="42" t="e">
        <f>R49/N49-1</f>
        <v>#DIV/0!</v>
      </c>
      <c r="S50" s="42"/>
      <c r="T50" s="42"/>
      <c r="U50" s="42"/>
      <c r="V50" s="42"/>
    </row>
    <row r="52" spans="2:26" ht="13.8">
      <c r="B52" t="s">
        <v>384</v>
      </c>
      <c r="C52" s="100">
        <f>C33+C34+C32</f>
        <v>10843.83218151795</v>
      </c>
      <c r="D52" s="100">
        <f>D33+D34+D32</f>
        <v>10857.444658767337</v>
      </c>
      <c r="E52" s="100">
        <f t="shared" ref="E52:J52" si="21">E33+E34+E32</f>
        <v>16233.043217286915</v>
      </c>
      <c r="F52" s="100">
        <f t="shared" si="21"/>
        <v>16865.778194165348</v>
      </c>
      <c r="G52" s="100">
        <f t="shared" si="21"/>
        <v>9179.1730223292943</v>
      </c>
      <c r="H52" s="100">
        <f t="shared" si="21"/>
        <v>9880.9332847247551</v>
      </c>
      <c r="I52" s="100">
        <f t="shared" si="21"/>
        <v>13059.350117710568</v>
      </c>
      <c r="J52" s="100">
        <f t="shared" si="21"/>
        <v>13073.071104387291</v>
      </c>
      <c r="K52" s="100">
        <f t="shared" ref="K52:P52" si="22">K33+K34+K32</f>
        <v>0</v>
      </c>
      <c r="L52" s="100">
        <f t="shared" si="22"/>
        <v>0</v>
      </c>
      <c r="M52" s="100">
        <f t="shared" si="22"/>
        <v>0</v>
      </c>
      <c r="N52" s="100">
        <f t="shared" si="22"/>
        <v>0</v>
      </c>
      <c r="O52" s="100">
        <f t="shared" si="22"/>
        <v>0</v>
      </c>
      <c r="P52" s="100">
        <f t="shared" si="22"/>
        <v>0</v>
      </c>
      <c r="Q52" s="100">
        <f t="shared" ref="Q52:S52" si="23">Q33+Q34+Q32</f>
        <v>0</v>
      </c>
      <c r="R52" s="100">
        <f t="shared" si="23"/>
        <v>0</v>
      </c>
      <c r="S52" s="100">
        <f t="shared" si="23"/>
        <v>0</v>
      </c>
      <c r="T52" s="100">
        <f t="shared" ref="T52:U52" si="24">T33+T34+T32</f>
        <v>0</v>
      </c>
      <c r="U52" s="100">
        <f t="shared" si="24"/>
        <v>0</v>
      </c>
      <c r="V52" s="51"/>
      <c r="W52" s="51" t="s">
        <v>298</v>
      </c>
    </row>
    <row r="53" spans="2:26" ht="13.8">
      <c r="C53" s="340">
        <v>-7.1264180311134684E-3</v>
      </c>
      <c r="D53" s="383">
        <v>-1.1077015068864493E-2</v>
      </c>
      <c r="E53" s="383">
        <v>-0.32842929756705186</v>
      </c>
      <c r="F53" s="383">
        <v>-0.28717058618014757</v>
      </c>
      <c r="G53" s="383">
        <f t="shared" ref="G53:Q53" si="25">G52/C52-1</f>
        <v>-0.15351207316043425</v>
      </c>
      <c r="H53" s="383">
        <f t="shared" si="25"/>
        <v>-8.9939336992526431E-2</v>
      </c>
      <c r="I53" s="383">
        <f t="shared" si="25"/>
        <v>-0.195508202442079</v>
      </c>
      <c r="J53" s="383">
        <f t="shared" si="25"/>
        <v>-0.22487590232214305</v>
      </c>
      <c r="K53" s="383">
        <f t="shared" si="25"/>
        <v>-1</v>
      </c>
      <c r="L53" s="383">
        <f t="shared" si="25"/>
        <v>-1</v>
      </c>
      <c r="M53" s="383">
        <f t="shared" si="25"/>
        <v>-1</v>
      </c>
      <c r="N53" s="383">
        <f t="shared" si="25"/>
        <v>-1</v>
      </c>
      <c r="O53" s="383" t="e">
        <f t="shared" si="25"/>
        <v>#DIV/0!</v>
      </c>
      <c r="P53" s="383" t="e">
        <f t="shared" si="25"/>
        <v>#DIV/0!</v>
      </c>
      <c r="Q53" s="383" t="e">
        <f t="shared" si="25"/>
        <v>#DIV/0!</v>
      </c>
      <c r="R53" s="383" t="e">
        <f t="shared" ref="R53" si="26">R52/N52-1</f>
        <v>#DIV/0!</v>
      </c>
      <c r="S53" s="383" t="e">
        <f t="shared" ref="S53:U53" si="27">S52/O52-1</f>
        <v>#DIV/0!</v>
      </c>
      <c r="T53" s="383" t="e">
        <f t="shared" si="27"/>
        <v>#DIV/0!</v>
      </c>
      <c r="U53" s="383" t="e">
        <f t="shared" si="27"/>
        <v>#DIV/0!</v>
      </c>
      <c r="V53" s="100"/>
      <c r="W53" s="100"/>
    </row>
    <row r="54" spans="2:26" ht="13.8">
      <c r="C54" s="340">
        <v>-0.54168716981073617</v>
      </c>
      <c r="D54" s="383">
        <f t="shared" ref="D54:Q54" si="28">D52/C52-1</f>
        <v>1.2553198003735222E-3</v>
      </c>
      <c r="E54" s="383">
        <f t="shared" si="28"/>
        <v>0.49510715711351172</v>
      </c>
      <c r="F54" s="383">
        <f t="shared" si="28"/>
        <v>3.8978210580048245E-2</v>
      </c>
      <c r="G54" s="383">
        <f t="shared" si="28"/>
        <v>-0.45575158663566473</v>
      </c>
      <c r="H54" s="383">
        <f t="shared" si="28"/>
        <v>7.6451360126708057E-2</v>
      </c>
      <c r="I54" s="383">
        <f t="shared" si="28"/>
        <v>0.32167172284215573</v>
      </c>
      <c r="J54" s="383">
        <f t="shared" si="28"/>
        <v>1.0506638196425833E-3</v>
      </c>
      <c r="K54" s="383">
        <f t="shared" si="28"/>
        <v>-1</v>
      </c>
      <c r="L54" s="383" t="e">
        <f t="shared" si="28"/>
        <v>#DIV/0!</v>
      </c>
      <c r="M54" s="383" t="e">
        <f t="shared" si="28"/>
        <v>#DIV/0!</v>
      </c>
      <c r="N54" s="383" t="e">
        <f t="shared" si="28"/>
        <v>#DIV/0!</v>
      </c>
      <c r="O54" s="383" t="e">
        <f t="shared" si="28"/>
        <v>#DIV/0!</v>
      </c>
      <c r="P54" s="383" t="e">
        <f t="shared" si="28"/>
        <v>#DIV/0!</v>
      </c>
      <c r="Q54" s="383" t="e">
        <f t="shared" si="28"/>
        <v>#DIV/0!</v>
      </c>
      <c r="R54" s="383" t="e">
        <f t="shared" ref="R54" si="29">R52/Q52-1</f>
        <v>#DIV/0!</v>
      </c>
      <c r="S54" s="383" t="e">
        <f t="shared" ref="S54:U54" si="30">S52/R52-1</f>
        <v>#DIV/0!</v>
      </c>
      <c r="T54" s="383" t="e">
        <f t="shared" si="30"/>
        <v>#DIV/0!</v>
      </c>
      <c r="U54" s="383" t="e">
        <f t="shared" si="30"/>
        <v>#DIV/0!</v>
      </c>
      <c r="V54" s="100"/>
      <c r="W54" s="100"/>
    </row>
    <row r="55" spans="2:26" ht="13.8">
      <c r="B55" t="s">
        <v>385</v>
      </c>
      <c r="C55" s="100">
        <f>C46-C52</f>
        <v>33344.562107929807</v>
      </c>
      <c r="D55" s="100">
        <f>D46-D52</f>
        <v>30001.793421796276</v>
      </c>
      <c r="E55" s="100">
        <f t="shared" ref="E55:J55" si="31">E46-E52</f>
        <v>31953.243489379489</v>
      </c>
      <c r="F55" s="100">
        <f t="shared" si="31"/>
        <v>37894.316673619134</v>
      </c>
      <c r="G55" s="100">
        <f t="shared" si="31"/>
        <v>33999.57510589117</v>
      </c>
      <c r="H55" s="100">
        <f t="shared" si="31"/>
        <v>32963.237711034766</v>
      </c>
      <c r="I55" s="100">
        <f t="shared" si="31"/>
        <v>34664.380992314065</v>
      </c>
      <c r="J55" s="100">
        <f t="shared" si="31"/>
        <v>37584.860139853263</v>
      </c>
      <c r="K55" s="100">
        <f t="shared" ref="K55:P55" si="32">K46-K52</f>
        <v>0</v>
      </c>
      <c r="L55" s="100">
        <f t="shared" si="32"/>
        <v>0</v>
      </c>
      <c r="M55" s="100">
        <f t="shared" si="32"/>
        <v>0</v>
      </c>
      <c r="N55" s="100">
        <f t="shared" si="32"/>
        <v>0</v>
      </c>
      <c r="O55" s="100">
        <f t="shared" si="32"/>
        <v>0</v>
      </c>
      <c r="P55" s="100">
        <f t="shared" si="32"/>
        <v>0</v>
      </c>
      <c r="Q55" s="100">
        <f t="shared" ref="Q55:S55" si="33">Q46-Q52</f>
        <v>0</v>
      </c>
      <c r="R55" s="100">
        <f t="shared" si="33"/>
        <v>0</v>
      </c>
      <c r="S55" s="100">
        <f t="shared" si="33"/>
        <v>0</v>
      </c>
      <c r="T55" s="100">
        <f t="shared" ref="T55:U55" si="34">T46-T52</f>
        <v>0</v>
      </c>
      <c r="U55" s="100">
        <f t="shared" si="34"/>
        <v>0</v>
      </c>
      <c r="V55" s="51"/>
      <c r="W55" s="51" t="s">
        <v>299</v>
      </c>
    </row>
    <row r="56" spans="2:26" ht="13.8">
      <c r="C56" s="340">
        <v>7.5656248522235181E-2</v>
      </c>
      <c r="D56" s="383">
        <v>-1.2504293888629614E-2</v>
      </c>
      <c r="E56" s="383">
        <v>2.3231499000913036E-2</v>
      </c>
      <c r="F56" s="383">
        <v>2.6689351017894491E-2</v>
      </c>
      <c r="G56" s="383">
        <f t="shared" ref="G56:Q56" si="35">G55/C55-1</f>
        <v>1.9643772673973547E-2</v>
      </c>
      <c r="H56" s="383">
        <f t="shared" si="35"/>
        <v>9.8708908751001578E-2</v>
      </c>
      <c r="I56" s="383">
        <f t="shared" si="35"/>
        <v>8.4847020423316266E-2</v>
      </c>
      <c r="J56" s="383">
        <f t="shared" si="35"/>
        <v>-8.1663046316733379E-3</v>
      </c>
      <c r="K56" s="383">
        <f t="shared" si="35"/>
        <v>-1</v>
      </c>
      <c r="L56" s="383">
        <f t="shared" si="35"/>
        <v>-1</v>
      </c>
      <c r="M56" s="383">
        <f t="shared" si="35"/>
        <v>-1</v>
      </c>
      <c r="N56" s="383">
        <f t="shared" si="35"/>
        <v>-1</v>
      </c>
      <c r="O56" s="383" t="e">
        <f t="shared" si="35"/>
        <v>#DIV/0!</v>
      </c>
      <c r="P56" s="383" t="e">
        <f t="shared" si="35"/>
        <v>#DIV/0!</v>
      </c>
      <c r="Q56" s="383" t="e">
        <f t="shared" si="35"/>
        <v>#DIV/0!</v>
      </c>
      <c r="R56" s="383" t="e">
        <f t="shared" ref="R56" si="36">R55/N55-1</f>
        <v>#DIV/0!</v>
      </c>
      <c r="S56" s="383" t="e">
        <f t="shared" ref="S56:U56" si="37">S55/O55-1</f>
        <v>#DIV/0!</v>
      </c>
      <c r="T56" s="383" t="e">
        <f t="shared" si="37"/>
        <v>#DIV/0!</v>
      </c>
      <c r="U56" s="383" t="e">
        <f t="shared" si="37"/>
        <v>#DIV/0!</v>
      </c>
      <c r="V56" s="100"/>
      <c r="W56" s="100"/>
    </row>
    <row r="57" spans="2:26" ht="13.8">
      <c r="C57" s="340">
        <v>-0.11983706303431108</v>
      </c>
      <c r="D57" s="383">
        <f t="shared" ref="D57:Q57" si="38">D55/C55-1</f>
        <v>-0.1002492902834845</v>
      </c>
      <c r="E57" s="383">
        <f t="shared" si="38"/>
        <v>6.5044447181797027E-2</v>
      </c>
      <c r="F57" s="383">
        <f t="shared" si="38"/>
        <v>0.1859302072484228</v>
      </c>
      <c r="G57" s="383">
        <f t="shared" si="38"/>
        <v>-0.10277904207306543</v>
      </c>
      <c r="H57" s="383">
        <f t="shared" si="38"/>
        <v>-3.048089252964914E-2</v>
      </c>
      <c r="I57" s="383">
        <f t="shared" si="38"/>
        <v>5.160728737243625E-2</v>
      </c>
      <c r="J57" s="383">
        <f t="shared" si="38"/>
        <v>8.4250145652009056E-2</v>
      </c>
      <c r="K57" s="383">
        <f t="shared" si="38"/>
        <v>-1</v>
      </c>
      <c r="L57" s="383" t="e">
        <f t="shared" si="38"/>
        <v>#DIV/0!</v>
      </c>
      <c r="M57" s="383" t="e">
        <f t="shared" si="38"/>
        <v>#DIV/0!</v>
      </c>
      <c r="N57" s="383" t="e">
        <f t="shared" si="38"/>
        <v>#DIV/0!</v>
      </c>
      <c r="O57" s="383" t="e">
        <f t="shared" si="38"/>
        <v>#DIV/0!</v>
      </c>
      <c r="P57" s="383" t="e">
        <f t="shared" si="38"/>
        <v>#DIV/0!</v>
      </c>
      <c r="Q57" s="383" t="e">
        <f t="shared" si="38"/>
        <v>#DIV/0!</v>
      </c>
      <c r="R57" s="383" t="e">
        <f t="shared" ref="R57" si="39">R55/Q55-1</f>
        <v>#DIV/0!</v>
      </c>
      <c r="S57" s="383" t="e">
        <f t="shared" ref="S57:U57" si="40">S55/R55-1</f>
        <v>#DIV/0!</v>
      </c>
      <c r="T57" s="383" t="e">
        <f t="shared" si="40"/>
        <v>#DIV/0!</v>
      </c>
      <c r="U57" s="383" t="e">
        <f t="shared" si="40"/>
        <v>#DIV/0!</v>
      </c>
      <c r="V57" s="100"/>
      <c r="W57" s="100"/>
    </row>
    <row r="58" spans="2:26" ht="13.8">
      <c r="J58" s="100"/>
      <c r="K58" s="100"/>
      <c r="L58" s="100"/>
      <c r="M58" s="100"/>
      <c r="N58" s="100"/>
      <c r="O58" s="100"/>
      <c r="P58" s="100"/>
      <c r="Q58" s="100"/>
      <c r="R58" s="100"/>
      <c r="S58" s="100"/>
      <c r="T58" s="100"/>
      <c r="U58" s="100"/>
      <c r="V58" s="100"/>
      <c r="W58" s="100"/>
    </row>
    <row r="59" spans="2:26" ht="13.8">
      <c r="C59" s="100">
        <f t="shared" ref="C59:I59" si="41">C24-C60</f>
        <v>228738.76071238104</v>
      </c>
      <c r="D59" s="100">
        <f t="shared" si="41"/>
        <v>230590.65763884992</v>
      </c>
      <c r="E59" s="100">
        <f t="shared" si="41"/>
        <v>236577.62994886405</v>
      </c>
      <c r="F59" s="100">
        <f t="shared" si="41"/>
        <v>237849.34674704057</v>
      </c>
      <c r="G59" s="100">
        <f t="shared" si="41"/>
        <v>226700.66207906866</v>
      </c>
      <c r="H59" s="100">
        <f t="shared" si="41"/>
        <v>229513.05287820601</v>
      </c>
      <c r="I59" s="100">
        <f t="shared" si="41"/>
        <v>234923.02799245919</v>
      </c>
      <c r="J59" s="100">
        <f t="shared" ref="J59:O59" si="42">J24-J60</f>
        <v>246494.55513202303</v>
      </c>
      <c r="K59" s="100">
        <f t="shared" si="42"/>
        <v>0</v>
      </c>
      <c r="L59" s="100">
        <f t="shared" si="42"/>
        <v>0</v>
      </c>
      <c r="M59" s="100">
        <f t="shared" si="42"/>
        <v>0</v>
      </c>
      <c r="N59" s="100">
        <f t="shared" si="42"/>
        <v>0</v>
      </c>
      <c r="O59" s="100">
        <f t="shared" si="42"/>
        <v>0</v>
      </c>
      <c r="P59" s="100">
        <f t="shared" ref="P59:Q59" si="43">P24-P60</f>
        <v>0</v>
      </c>
      <c r="Q59" s="100">
        <f t="shared" si="43"/>
        <v>0</v>
      </c>
      <c r="R59" s="100">
        <f t="shared" ref="R59:S59" si="44">R24-R60</f>
        <v>0</v>
      </c>
      <c r="S59" s="100">
        <f t="shared" si="44"/>
        <v>0</v>
      </c>
      <c r="T59" s="100">
        <f t="shared" ref="T59:U59" si="45">T24-T60</f>
        <v>0</v>
      </c>
      <c r="U59" s="100">
        <f t="shared" si="45"/>
        <v>0</v>
      </c>
      <c r="V59" s="551"/>
      <c r="W59" s="551" t="s">
        <v>419</v>
      </c>
      <c r="Z59" s="51" t="s">
        <v>422</v>
      </c>
    </row>
    <row r="60" spans="2:26" ht="13.8">
      <c r="C60" s="100">
        <f t="shared" ref="C60:I60" si="46">C10+C11+C12</f>
        <v>54065.705275404922</v>
      </c>
      <c r="D60" s="100">
        <f t="shared" si="46"/>
        <v>54065.705275404922</v>
      </c>
      <c r="E60" s="100">
        <f t="shared" si="46"/>
        <v>48952.731092436981</v>
      </c>
      <c r="F60" s="100">
        <f t="shared" si="46"/>
        <v>53479.680322268796</v>
      </c>
      <c r="G60" s="100">
        <f t="shared" si="46"/>
        <v>50026.579520697167</v>
      </c>
      <c r="H60" s="100">
        <f t="shared" si="46"/>
        <v>53476.631425446591</v>
      </c>
      <c r="I60" s="100">
        <f t="shared" si="46"/>
        <v>50807.629444136212</v>
      </c>
      <c r="J60" s="100">
        <f t="shared" ref="J60:O60" si="47">J10+J11+J12</f>
        <v>49982.684252635016</v>
      </c>
      <c r="K60" s="100">
        <f t="shared" si="47"/>
        <v>0</v>
      </c>
      <c r="L60" s="100">
        <f t="shared" si="47"/>
        <v>0</v>
      </c>
      <c r="M60" s="100">
        <f t="shared" si="47"/>
        <v>0</v>
      </c>
      <c r="N60" s="100">
        <f t="shared" si="47"/>
        <v>0</v>
      </c>
      <c r="O60" s="100">
        <f t="shared" si="47"/>
        <v>0</v>
      </c>
      <c r="P60" s="100">
        <f t="shared" ref="P60:Q60" si="48">P10+P11+P12</f>
        <v>0</v>
      </c>
      <c r="Q60" s="100">
        <f t="shared" si="48"/>
        <v>0</v>
      </c>
      <c r="R60" s="100">
        <f t="shared" ref="R60:S60" si="49">R10+R11+R12</f>
        <v>0</v>
      </c>
      <c r="S60" s="100">
        <f t="shared" si="49"/>
        <v>0</v>
      </c>
      <c r="T60" s="100">
        <f t="shared" ref="T60:U60" si="50">T10+T11+T12</f>
        <v>0</v>
      </c>
      <c r="U60" s="100">
        <f t="shared" si="50"/>
        <v>0</v>
      </c>
      <c r="V60" s="51"/>
      <c r="W60" s="51" t="s">
        <v>420</v>
      </c>
      <c r="Z60" s="51" t="s">
        <v>422</v>
      </c>
    </row>
    <row r="81" spans="10:22">
      <c r="J81" t="s">
        <v>578</v>
      </c>
      <c r="K81" s="1238">
        <v>6.3563999999999998</v>
      </c>
      <c r="L81" s="1238">
        <v>6.3788</v>
      </c>
      <c r="M81" s="1238">
        <v>6.8023999999999996</v>
      </c>
      <c r="N81" s="1238">
        <v>6.9146999999999998</v>
      </c>
      <c r="O81" s="1238">
        <v>6.7457000000000003</v>
      </c>
      <c r="P81" s="1238">
        <v>6.8243999999999998</v>
      </c>
      <c r="Q81" s="1238">
        <v>7.0128000000000004</v>
      </c>
      <c r="R81" s="1238">
        <v>7.0444000000000004</v>
      </c>
      <c r="S81" s="1238">
        <v>7.0444000000000004</v>
      </c>
      <c r="T81" s="1238">
        <v>7.0444000000000004</v>
      </c>
      <c r="U81" s="1238">
        <v>7.0444000000000004</v>
      </c>
      <c r="V81" s="1238">
        <v>7.0444000000000004</v>
      </c>
    </row>
  </sheetData>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Z60"/>
  <sheetViews>
    <sheetView zoomScale="80" zoomScaleNormal="80" zoomScalePageLayoutView="80" workbookViewId="0"/>
  </sheetViews>
  <sheetFormatPr defaultColWidth="8.77734375" defaultRowHeight="13.2" outlineLevelCol="1"/>
  <cols>
    <col min="1" max="1" width="4.44140625" customWidth="1"/>
    <col min="2" max="2" width="20" customWidth="1"/>
    <col min="3" max="3" width="11.77734375" hidden="1" customWidth="1" outlineLevel="1"/>
    <col min="4" max="10" width="9.77734375" hidden="1" customWidth="1" outlineLevel="1"/>
    <col min="11" max="11" width="9.77734375" customWidth="1" collapsed="1"/>
    <col min="12" max="22" width="9.77734375" customWidth="1"/>
    <col min="24" max="24" width="9.21875" bestFit="1" customWidth="1"/>
    <col min="26" max="26" width="10.33203125" customWidth="1"/>
  </cols>
  <sheetData>
    <row r="1" spans="1:26">
      <c r="A1" s="67"/>
      <c r="B1" s="67"/>
    </row>
    <row r="2" spans="1:26" ht="17.399999999999999">
      <c r="A2" s="67"/>
      <c r="B2" s="68" t="str">
        <f>'Charts for slides'!B2</f>
        <v>Quarterly Market Update for the quarter ended December 31, 2021</v>
      </c>
      <c r="C2" s="67"/>
      <c r="D2" s="67"/>
      <c r="E2" s="67"/>
    </row>
    <row r="3" spans="1:26" ht="13.05" customHeight="1">
      <c r="A3" s="67"/>
      <c r="B3" s="1508" t="str">
        <f>Introduction!$B$2</f>
        <v>Sample template as of March 2022</v>
      </c>
      <c r="C3" s="67"/>
      <c r="D3" s="67"/>
      <c r="E3" s="67"/>
    </row>
    <row r="4" spans="1:26" ht="13.8">
      <c r="A4" s="67"/>
      <c r="B4" s="38" t="s">
        <v>375</v>
      </c>
      <c r="C4" s="67"/>
      <c r="D4" s="67"/>
      <c r="E4" s="67"/>
    </row>
    <row r="5" spans="1:26" ht="13.8">
      <c r="A5" s="67"/>
      <c r="B5" s="409" t="s">
        <v>17</v>
      </c>
    </row>
    <row r="6" spans="1:26">
      <c r="B6" s="41" t="s">
        <v>75</v>
      </c>
      <c r="C6" s="126" t="s">
        <v>308</v>
      </c>
      <c r="D6" s="45"/>
      <c r="E6" s="45"/>
      <c r="F6" s="45"/>
      <c r="G6" s="126" t="s">
        <v>308</v>
      </c>
      <c r="H6" s="45"/>
      <c r="I6" s="45"/>
      <c r="J6" s="45"/>
      <c r="K6" s="126" t="s">
        <v>308</v>
      </c>
      <c r="L6" s="45"/>
      <c r="M6" s="45"/>
      <c r="N6" s="45"/>
      <c r="O6" s="45"/>
      <c r="R6" s="23"/>
      <c r="S6" s="45"/>
      <c r="V6" s="23"/>
      <c r="W6" s="25" t="s">
        <v>334</v>
      </c>
      <c r="X6" s="25" t="s">
        <v>459</v>
      </c>
      <c r="Y6" s="25" t="s">
        <v>334</v>
      </c>
    </row>
    <row r="7" spans="1:26" ht="13.8">
      <c r="B7" s="48" t="s">
        <v>60</v>
      </c>
      <c r="C7" s="82" t="s">
        <v>126</v>
      </c>
      <c r="D7" s="83" t="s">
        <v>127</v>
      </c>
      <c r="E7" s="83" t="s">
        <v>128</v>
      </c>
      <c r="F7" s="84" t="s">
        <v>129</v>
      </c>
      <c r="G7" s="82" t="s">
        <v>130</v>
      </c>
      <c r="H7" s="83" t="s">
        <v>131</v>
      </c>
      <c r="I7" s="83" t="s">
        <v>132</v>
      </c>
      <c r="J7" s="84" t="s">
        <v>133</v>
      </c>
      <c r="K7" s="82" t="s">
        <v>134</v>
      </c>
      <c r="L7" s="83" t="s">
        <v>135</v>
      </c>
      <c r="M7" s="83" t="s">
        <v>136</v>
      </c>
      <c r="N7" s="84" t="s">
        <v>137</v>
      </c>
      <c r="O7" s="82" t="s">
        <v>138</v>
      </c>
      <c r="P7" s="584" t="s">
        <v>139</v>
      </c>
      <c r="Q7" s="83" t="s">
        <v>140</v>
      </c>
      <c r="R7" s="84" t="s">
        <v>141</v>
      </c>
      <c r="S7" s="82" t="s">
        <v>142</v>
      </c>
      <c r="T7" s="584" t="s">
        <v>143</v>
      </c>
      <c r="U7" s="83" t="s">
        <v>144</v>
      </c>
      <c r="V7" s="84" t="s">
        <v>145</v>
      </c>
      <c r="W7" s="402" t="s">
        <v>307</v>
      </c>
      <c r="X7" s="402" t="s">
        <v>460</v>
      </c>
      <c r="Y7" s="402" t="s">
        <v>350</v>
      </c>
    </row>
    <row r="8" spans="1:26" ht="16.05" customHeight="1">
      <c r="B8" s="62" t="s">
        <v>66</v>
      </c>
      <c r="C8" s="56">
        <v>3697.6331722830409</v>
      </c>
      <c r="D8" s="57">
        <v>4922.3844952695881</v>
      </c>
      <c r="E8" s="57">
        <v>5145.8583433373351</v>
      </c>
      <c r="F8" s="58">
        <v>7797.9058358351031</v>
      </c>
      <c r="G8" s="56">
        <v>5603.3405954974587</v>
      </c>
      <c r="H8" s="57">
        <v>7318.1188479766679</v>
      </c>
      <c r="I8" s="57">
        <v>8265.5310470992226</v>
      </c>
      <c r="J8" s="58">
        <v>12450.029240204532</v>
      </c>
      <c r="K8" s="56"/>
      <c r="L8" s="57"/>
      <c r="M8" s="57"/>
      <c r="N8" s="58"/>
      <c r="O8" s="56"/>
      <c r="P8" s="337"/>
      <c r="Q8" s="57"/>
      <c r="R8" s="58"/>
      <c r="S8" s="56"/>
      <c r="T8" s="337"/>
      <c r="U8" s="337"/>
      <c r="V8" s="58"/>
      <c r="W8" s="666" t="e">
        <f>U8/Q8-1</f>
        <v>#DIV/0!</v>
      </c>
      <c r="X8" s="1010">
        <f>U8-Q8</f>
        <v>0</v>
      </c>
      <c r="Y8" s="1509" t="e">
        <f>U8/T8-1</f>
        <v>#DIV/0!</v>
      </c>
      <c r="Z8" s="4"/>
    </row>
    <row r="9" spans="1:26" ht="16.05" customHeight="1">
      <c r="B9" s="62" t="s">
        <v>185</v>
      </c>
      <c r="C9" s="56">
        <v>20257</v>
      </c>
      <c r="D9" s="57">
        <v>21500</v>
      </c>
      <c r="E9" s="57">
        <v>22451</v>
      </c>
      <c r="F9" s="58">
        <v>26064</v>
      </c>
      <c r="G9" s="56">
        <v>24750</v>
      </c>
      <c r="H9" s="57">
        <v>26010</v>
      </c>
      <c r="I9" s="57">
        <v>27772</v>
      </c>
      <c r="J9" s="58">
        <v>32323</v>
      </c>
      <c r="K9" s="56"/>
      <c r="L9" s="57"/>
      <c r="M9" s="57"/>
      <c r="N9" s="58"/>
      <c r="O9" s="56"/>
      <c r="P9" s="57"/>
      <c r="Q9" s="57"/>
      <c r="R9" s="58"/>
      <c r="S9" s="56"/>
      <c r="T9" s="57"/>
      <c r="U9" s="57"/>
      <c r="V9" s="58"/>
      <c r="W9" s="666" t="e">
        <f t="shared" ref="W9:W14" si="0">U9/Q9-1</f>
        <v>#DIV/0!</v>
      </c>
      <c r="X9" s="1010">
        <f t="shared" ref="X9:X14" si="1">U9-Q9</f>
        <v>0</v>
      </c>
      <c r="Y9" s="1509" t="e">
        <f t="shared" ref="Y9:Y14" si="2">U9/T9-1</f>
        <v>#DIV/0!</v>
      </c>
      <c r="Z9" s="4"/>
    </row>
    <row r="10" spans="1:26" ht="16.05" customHeight="1">
      <c r="B10" s="62" t="s">
        <v>67</v>
      </c>
      <c r="C10" s="56">
        <v>29128</v>
      </c>
      <c r="D10" s="57">
        <v>30404</v>
      </c>
      <c r="E10" s="57">
        <v>32714</v>
      </c>
      <c r="F10" s="58">
        <v>43741</v>
      </c>
      <c r="G10" s="56">
        <v>35714</v>
      </c>
      <c r="H10" s="57">
        <v>37955</v>
      </c>
      <c r="I10" s="57">
        <v>43744</v>
      </c>
      <c r="J10" s="58">
        <v>60453</v>
      </c>
      <c r="K10" s="56"/>
      <c r="L10" s="57"/>
      <c r="M10" s="57"/>
      <c r="N10" s="58"/>
      <c r="O10" s="56"/>
      <c r="P10" s="57"/>
      <c r="Q10" s="57"/>
      <c r="R10" s="58"/>
      <c r="S10" s="56"/>
      <c r="T10" s="57"/>
      <c r="U10" s="57"/>
      <c r="V10" s="1061"/>
      <c r="W10" s="666" t="e">
        <f t="shared" si="0"/>
        <v>#DIV/0!</v>
      </c>
      <c r="X10" s="1010">
        <f t="shared" si="1"/>
        <v>0</v>
      </c>
      <c r="Y10" s="1509" t="e">
        <f t="shared" si="2"/>
        <v>#DIV/0!</v>
      </c>
      <c r="Z10" s="4"/>
    </row>
    <row r="11" spans="1:26" ht="16.05" customHeight="1">
      <c r="B11" s="62" t="s">
        <v>68</v>
      </c>
      <c r="C11" s="56">
        <v>50557</v>
      </c>
      <c r="D11" s="57">
        <v>42358</v>
      </c>
      <c r="E11" s="57">
        <v>46852</v>
      </c>
      <c r="F11" s="58">
        <v>78351</v>
      </c>
      <c r="G11" s="56">
        <v>52896</v>
      </c>
      <c r="H11" s="57">
        <v>45408</v>
      </c>
      <c r="I11" s="57">
        <v>52579</v>
      </c>
      <c r="J11" s="58">
        <v>88293</v>
      </c>
      <c r="K11" s="56"/>
      <c r="L11" s="57"/>
      <c r="M11" s="57"/>
      <c r="N11" s="58"/>
      <c r="O11" s="56"/>
      <c r="P11" s="57"/>
      <c r="Q11" s="57"/>
      <c r="R11" s="58"/>
      <c r="S11" s="56"/>
      <c r="T11" s="57"/>
      <c r="U11" s="57"/>
      <c r="V11" s="58"/>
      <c r="W11" s="666" t="e">
        <f t="shared" si="0"/>
        <v>#DIV/0!</v>
      </c>
      <c r="X11" s="1010">
        <f t="shared" si="1"/>
        <v>0</v>
      </c>
      <c r="Y11" s="1509" t="e">
        <f t="shared" si="2"/>
        <v>#DIV/0!</v>
      </c>
      <c r="Z11" s="4"/>
    </row>
    <row r="12" spans="1:26" ht="16.05" customHeight="1">
      <c r="B12" s="62" t="s">
        <v>69</v>
      </c>
      <c r="C12" s="56">
        <v>2418.9652009051433</v>
      </c>
      <c r="D12" s="57">
        <v>2795.9952236612476</v>
      </c>
      <c r="E12" s="57">
        <v>2739.045618247299</v>
      </c>
      <c r="F12" s="58">
        <v>2667.0571867906569</v>
      </c>
      <c r="G12" s="56">
        <v>2453.304284676834</v>
      </c>
      <c r="H12" s="57">
        <v>3043.9664600802043</v>
      </c>
      <c r="I12" s="57">
        <v>3522.1700730255366</v>
      </c>
      <c r="J12" s="58">
        <v>3532.2167074030199</v>
      </c>
      <c r="K12" s="56"/>
      <c r="L12" s="57"/>
      <c r="M12" s="57"/>
      <c r="N12" s="58"/>
      <c r="O12" s="56"/>
      <c r="P12" s="57"/>
      <c r="Q12" s="337"/>
      <c r="R12" s="518"/>
      <c r="S12" s="56"/>
      <c r="T12" s="57"/>
      <c r="U12" s="57"/>
      <c r="V12" s="1061"/>
      <c r="W12" s="666" t="e">
        <f t="shared" si="0"/>
        <v>#DIV/0!</v>
      </c>
      <c r="X12" s="1010">
        <f t="shared" si="1"/>
        <v>0</v>
      </c>
      <c r="Y12" s="1509" t="e">
        <f t="shared" si="2"/>
        <v>#DIV/0!</v>
      </c>
      <c r="Z12" s="4"/>
    </row>
    <row r="13" spans="1:26" ht="16.05" customHeight="1">
      <c r="B13" s="62" t="s">
        <v>70</v>
      </c>
      <c r="C13" s="56">
        <v>2137</v>
      </c>
      <c r="D13" s="57">
        <v>2230</v>
      </c>
      <c r="E13" s="57">
        <v>2217</v>
      </c>
      <c r="F13" s="58">
        <v>2395</v>
      </c>
      <c r="G13" s="56">
        <v>2217</v>
      </c>
      <c r="H13" s="57">
        <v>2328</v>
      </c>
      <c r="I13" s="57">
        <v>2409</v>
      </c>
      <c r="J13" s="58">
        <v>2613</v>
      </c>
      <c r="K13" s="56"/>
      <c r="L13" s="57"/>
      <c r="M13" s="57"/>
      <c r="N13" s="58"/>
      <c r="O13" s="56"/>
      <c r="P13" s="57"/>
      <c r="Q13" s="57"/>
      <c r="R13" s="58"/>
      <c r="S13" s="56"/>
      <c r="T13" s="57"/>
      <c r="U13" s="57"/>
      <c r="V13" s="1061"/>
      <c r="W13" s="666" t="e">
        <f t="shared" si="0"/>
        <v>#DIV/0!</v>
      </c>
      <c r="X13" s="1010">
        <f t="shared" si="1"/>
        <v>0</v>
      </c>
      <c r="Y13" s="1509" t="e">
        <f t="shared" si="2"/>
        <v>#DIV/0!</v>
      </c>
      <c r="Z13" s="4"/>
    </row>
    <row r="14" spans="1:26" ht="16.05" customHeight="1">
      <c r="B14" s="62" t="s">
        <v>71</v>
      </c>
      <c r="C14" s="56">
        <v>5382</v>
      </c>
      <c r="D14" s="57">
        <v>6436</v>
      </c>
      <c r="E14" s="57">
        <v>7011</v>
      </c>
      <c r="F14" s="58">
        <v>8809</v>
      </c>
      <c r="G14" s="56">
        <v>8032</v>
      </c>
      <c r="H14" s="57">
        <v>9321</v>
      </c>
      <c r="I14" s="57">
        <v>10328</v>
      </c>
      <c r="J14" s="58">
        <v>12972</v>
      </c>
      <c r="K14" s="56"/>
      <c r="L14" s="57"/>
      <c r="M14" s="57"/>
      <c r="N14" s="58"/>
      <c r="O14" s="56"/>
      <c r="P14" s="57"/>
      <c r="Q14" s="57"/>
      <c r="R14" s="58"/>
      <c r="S14" s="56"/>
      <c r="T14" s="57"/>
      <c r="U14" s="57"/>
      <c r="V14" s="58"/>
      <c r="W14" s="666" t="e">
        <f t="shared" si="0"/>
        <v>#DIV/0!</v>
      </c>
      <c r="X14" s="1010">
        <f t="shared" si="1"/>
        <v>0</v>
      </c>
      <c r="Y14" s="1509" t="e">
        <f t="shared" si="2"/>
        <v>#DIV/0!</v>
      </c>
      <c r="Z14" s="4"/>
    </row>
    <row r="15" spans="1:26" ht="16.05" customHeight="1">
      <c r="B15" s="62" t="s">
        <v>72</v>
      </c>
      <c r="C15" s="56">
        <v>22076</v>
      </c>
      <c r="D15" s="57">
        <v>20614</v>
      </c>
      <c r="E15" s="57">
        <v>20453</v>
      </c>
      <c r="F15" s="58">
        <v>24090</v>
      </c>
      <c r="G15" s="56">
        <v>22090</v>
      </c>
      <c r="H15" s="57">
        <v>23317</v>
      </c>
      <c r="I15" s="57">
        <v>24538</v>
      </c>
      <c r="J15" s="58">
        <v>28918</v>
      </c>
      <c r="K15" s="56"/>
      <c r="L15" s="57"/>
      <c r="M15" s="57"/>
      <c r="N15" s="58"/>
      <c r="O15" s="56"/>
      <c r="P15" s="57"/>
      <c r="Q15" s="57"/>
      <c r="R15" s="58"/>
      <c r="S15" s="56"/>
      <c r="T15" s="57"/>
      <c r="U15" s="57"/>
      <c r="V15" s="58"/>
      <c r="W15" s="666" t="e">
        <f t="shared" ref="W15:W19" si="3">U15/Q15-1</f>
        <v>#DIV/0!</v>
      </c>
      <c r="X15" s="1010">
        <f t="shared" ref="X15:X19" si="4">U15-Q15</f>
        <v>0</v>
      </c>
      <c r="Y15" s="1509" t="e">
        <f t="shared" ref="Y15:Y19" si="5">U15/T15-1</f>
        <v>#DIV/0!</v>
      </c>
      <c r="Z15" s="4"/>
    </row>
    <row r="16" spans="1:26" ht="16.05" customHeight="1">
      <c r="B16" s="62" t="s">
        <v>183</v>
      </c>
      <c r="C16" s="56">
        <v>9012</v>
      </c>
      <c r="D16" s="57">
        <v>10594</v>
      </c>
      <c r="E16" s="57">
        <v>8585</v>
      </c>
      <c r="F16" s="58">
        <v>9035</v>
      </c>
      <c r="G16" s="56">
        <v>9205</v>
      </c>
      <c r="H16" s="57">
        <v>10892</v>
      </c>
      <c r="I16" s="57">
        <v>9187</v>
      </c>
      <c r="J16" s="58">
        <v>9621</v>
      </c>
      <c r="K16" s="56"/>
      <c r="L16" s="57"/>
      <c r="M16" s="57"/>
      <c r="N16" s="58"/>
      <c r="O16" s="56"/>
      <c r="P16" s="57"/>
      <c r="Q16" s="57"/>
      <c r="R16" s="58"/>
      <c r="S16" s="56"/>
      <c r="T16" s="57"/>
      <c r="U16" s="57"/>
      <c r="V16" s="58"/>
      <c r="W16" s="666" t="e">
        <f t="shared" si="3"/>
        <v>#DIV/0!</v>
      </c>
      <c r="X16" s="1010">
        <f t="shared" si="4"/>
        <v>0</v>
      </c>
      <c r="Y16" s="1509" t="e">
        <f t="shared" si="5"/>
        <v>#DIV/0!</v>
      </c>
      <c r="Z16" s="4"/>
    </row>
    <row r="17" spans="2:26" ht="16.05" customHeight="1">
      <c r="B17" s="62" t="s">
        <v>184</v>
      </c>
      <c r="C17" s="56">
        <v>2544</v>
      </c>
      <c r="D17" s="57">
        <v>2650</v>
      </c>
      <c r="E17" s="57">
        <v>2667</v>
      </c>
      <c r="F17" s="58">
        <v>2981</v>
      </c>
      <c r="G17" s="56">
        <v>2975</v>
      </c>
      <c r="H17" s="57">
        <v>3136</v>
      </c>
      <c r="I17" s="57">
        <v>3239</v>
      </c>
      <c r="J17" s="58">
        <v>3744</v>
      </c>
      <c r="K17" s="56"/>
      <c r="L17" s="57"/>
      <c r="M17" s="57"/>
      <c r="N17" s="58"/>
      <c r="O17" s="56"/>
      <c r="P17" s="57"/>
      <c r="Q17" s="57"/>
      <c r="R17" s="58"/>
      <c r="S17" s="56"/>
      <c r="T17" s="57"/>
      <c r="U17" s="57"/>
      <c r="V17" s="1061"/>
      <c r="W17" s="666" t="e">
        <f t="shared" si="3"/>
        <v>#DIV/0!</v>
      </c>
      <c r="X17" s="1010">
        <f t="shared" si="4"/>
        <v>0</v>
      </c>
      <c r="Y17" s="1509" t="e">
        <f t="shared" si="5"/>
        <v>#DIV/0!</v>
      </c>
      <c r="Z17" s="4"/>
    </row>
    <row r="18" spans="2:26" ht="16.05" customHeight="1">
      <c r="B18" s="62" t="s">
        <v>73</v>
      </c>
      <c r="C18" s="56">
        <v>4891.9026359244081</v>
      </c>
      <c r="D18" s="57">
        <v>5463.8559750160748</v>
      </c>
      <c r="E18" s="57">
        <v>6060.6242496998802</v>
      </c>
      <c r="F18" s="58">
        <v>6150.6919528446952</v>
      </c>
      <c r="G18" s="56">
        <v>7197.0951343500365</v>
      </c>
      <c r="H18" s="57">
        <v>8254.6117389719293</v>
      </c>
      <c r="I18" s="57">
        <v>9778.224294861222</v>
      </c>
      <c r="J18" s="518">
        <v>10037.949229675996</v>
      </c>
      <c r="K18" s="56"/>
      <c r="L18" s="57"/>
      <c r="M18" s="57"/>
      <c r="N18" s="58"/>
      <c r="O18" s="56"/>
      <c r="P18" s="337"/>
      <c r="Q18" s="57"/>
      <c r="R18" s="58"/>
      <c r="S18" s="56"/>
      <c r="T18" s="337"/>
      <c r="U18" s="337"/>
      <c r="V18" s="58"/>
      <c r="W18" s="666" t="e">
        <f t="shared" si="3"/>
        <v>#DIV/0!</v>
      </c>
      <c r="X18" s="1010">
        <f t="shared" si="4"/>
        <v>0</v>
      </c>
      <c r="Y18" s="1509" t="e">
        <f t="shared" si="5"/>
        <v>#DIV/0!</v>
      </c>
      <c r="Z18" s="4"/>
    </row>
    <row r="19" spans="2:26" ht="16.05" customHeight="1">
      <c r="B19" s="62" t="s">
        <v>74</v>
      </c>
      <c r="C19" s="56">
        <v>594.5</v>
      </c>
      <c r="D19" s="57">
        <v>602</v>
      </c>
      <c r="E19" s="57">
        <v>615.93399999999997</v>
      </c>
      <c r="F19" s="59">
        <v>717.20600000000002</v>
      </c>
      <c r="G19" s="56">
        <v>548</v>
      </c>
      <c r="H19" s="57">
        <v>574</v>
      </c>
      <c r="I19" s="57">
        <v>590</v>
      </c>
      <c r="J19" s="57">
        <v>731.56</v>
      </c>
      <c r="K19" s="56"/>
      <c r="L19" s="57"/>
      <c r="M19" s="57"/>
      <c r="N19" s="57"/>
      <c r="O19" s="56"/>
      <c r="P19" s="57"/>
      <c r="Q19" s="57"/>
      <c r="R19" s="58"/>
      <c r="S19" s="56"/>
      <c r="T19" s="57"/>
      <c r="U19" s="57"/>
      <c r="V19" s="59"/>
      <c r="W19" s="666" t="e">
        <f t="shared" si="3"/>
        <v>#DIV/0!</v>
      </c>
      <c r="X19" s="1010">
        <f t="shared" si="4"/>
        <v>0</v>
      </c>
      <c r="Y19" s="1509" t="e">
        <f t="shared" si="5"/>
        <v>#DIV/0!</v>
      </c>
      <c r="Z19" s="4"/>
    </row>
    <row r="20" spans="2:26" ht="16.05" customHeight="1">
      <c r="B20" s="590" t="s">
        <v>413</v>
      </c>
      <c r="C20" s="592">
        <v>8227.0440645832059</v>
      </c>
      <c r="D20" s="400">
        <v>9934.9277425675882</v>
      </c>
      <c r="E20" s="400">
        <v>9029.670618247299</v>
      </c>
      <c r="F20" s="518">
        <v>11629.366332283809</v>
      </c>
      <c r="G20" s="592">
        <v>10924.936383442267</v>
      </c>
      <c r="H20" s="400">
        <v>13591.246810061977</v>
      </c>
      <c r="I20" s="400">
        <v>12557.731859826959</v>
      </c>
      <c r="J20" s="518">
        <v>16519.216062619023</v>
      </c>
      <c r="K20" s="592"/>
      <c r="L20" s="400"/>
      <c r="M20" s="400"/>
      <c r="N20" s="518"/>
      <c r="O20" s="592"/>
      <c r="P20" s="400"/>
      <c r="Q20" s="400"/>
      <c r="R20" s="518"/>
      <c r="S20" s="592"/>
      <c r="T20" s="400"/>
      <c r="U20" s="400"/>
      <c r="V20" s="518"/>
      <c r="W20" s="666" t="e">
        <f t="shared" ref="W20:W23" si="6">U20/Q20-1</f>
        <v>#DIV/0!</v>
      </c>
      <c r="X20" s="1010">
        <f t="shared" ref="X20:X23" si="7">U20-Q20</f>
        <v>0</v>
      </c>
      <c r="Y20" s="1509" t="e">
        <f t="shared" ref="Y20:Y23" si="8">U20/T20-1</f>
        <v>#DIV/0!</v>
      </c>
      <c r="Z20" s="4"/>
    </row>
    <row r="21" spans="2:26" ht="16.05" customHeight="1">
      <c r="B21" s="590" t="s">
        <v>414</v>
      </c>
      <c r="C21" s="592">
        <v>1210.1706317656412</v>
      </c>
      <c r="D21" s="400">
        <v>1370.5948991151527</v>
      </c>
      <c r="E21" s="400">
        <v>1382.3529411764707</v>
      </c>
      <c r="F21" s="518">
        <v>1771.8386175587611</v>
      </c>
      <c r="G21" s="592">
        <v>1981.2636165577342</v>
      </c>
      <c r="H21" s="400">
        <v>1950.5650747356908</v>
      </c>
      <c r="I21" s="400">
        <v>1871.0731904811889</v>
      </c>
      <c r="J21" s="518">
        <v>2190.3162440582405</v>
      </c>
      <c r="K21" s="592"/>
      <c r="L21" s="400"/>
      <c r="M21" s="400"/>
      <c r="N21" s="518"/>
      <c r="O21" s="592"/>
      <c r="P21" s="400"/>
      <c r="Q21" s="400"/>
      <c r="R21" s="518"/>
      <c r="S21" s="592"/>
      <c r="T21" s="400"/>
      <c r="U21" s="400"/>
      <c r="V21" s="518"/>
      <c r="W21" s="666" t="e">
        <f t="shared" si="6"/>
        <v>#DIV/0!</v>
      </c>
      <c r="X21" s="1010">
        <f t="shared" si="7"/>
        <v>0</v>
      </c>
      <c r="Y21" s="1509" t="e">
        <f t="shared" si="8"/>
        <v>#DIV/0!</v>
      </c>
      <c r="Z21" s="4"/>
    </row>
    <row r="22" spans="2:26" ht="16.05" customHeight="1">
      <c r="B22" s="590" t="s">
        <v>415</v>
      </c>
      <c r="C22" s="592">
        <v>1860.5895663873769</v>
      </c>
      <c r="D22" s="400">
        <v>2057.4538440341694</v>
      </c>
      <c r="E22" s="400">
        <v>1801.0204081632653</v>
      </c>
      <c r="F22" s="518">
        <v>2709.5262502745845</v>
      </c>
      <c r="G22" s="592">
        <v>2317.0660856935369</v>
      </c>
      <c r="H22" s="400">
        <v>2554.4294567991251</v>
      </c>
      <c r="I22" s="400">
        <v>2296.1807794388878</v>
      </c>
      <c r="J22" s="518">
        <v>3521.8701734918805</v>
      </c>
      <c r="K22" s="592"/>
      <c r="L22" s="400"/>
      <c r="M22" s="400"/>
      <c r="N22" s="518"/>
      <c r="O22" s="592"/>
      <c r="P22" s="400"/>
      <c r="Q22" s="400"/>
      <c r="R22" s="518"/>
      <c r="S22" s="592"/>
      <c r="T22" s="400"/>
      <c r="U22" s="400"/>
      <c r="V22" s="518"/>
      <c r="W22" s="666" t="e">
        <f t="shared" si="6"/>
        <v>#DIV/0!</v>
      </c>
      <c r="X22" s="1010">
        <f t="shared" si="7"/>
        <v>0</v>
      </c>
      <c r="Y22" s="1509" t="e">
        <f t="shared" si="8"/>
        <v>#DIV/0!</v>
      </c>
      <c r="Z22" s="4"/>
    </row>
    <row r="23" spans="2:26" ht="16.05" customHeight="1">
      <c r="B23" s="63" t="s">
        <v>19</v>
      </c>
      <c r="C23" s="56">
        <f t="shared" ref="C23:U23" si="9">SUM(C8:C22)</f>
        <v>163993.8052718488</v>
      </c>
      <c r="D23" s="57">
        <f t="shared" si="9"/>
        <v>163933.21217966382</v>
      </c>
      <c r="E23" s="57">
        <f t="shared" si="9"/>
        <v>169724.50617887155</v>
      </c>
      <c r="F23" s="58">
        <f t="shared" si="9"/>
        <v>228909.5921755876</v>
      </c>
      <c r="G23" s="56">
        <f t="shared" si="9"/>
        <v>188904.00610021787</v>
      </c>
      <c r="H23" s="57">
        <f t="shared" si="9"/>
        <v>195653.9383886256</v>
      </c>
      <c r="I23" s="57">
        <f t="shared" si="9"/>
        <v>212676.91124473303</v>
      </c>
      <c r="J23" s="58">
        <f t="shared" si="9"/>
        <v>287920.15765745268</v>
      </c>
      <c r="K23" s="56">
        <f t="shared" si="9"/>
        <v>0</v>
      </c>
      <c r="L23" s="57">
        <f t="shared" si="9"/>
        <v>0</v>
      </c>
      <c r="M23" s="57">
        <f t="shared" si="9"/>
        <v>0</v>
      </c>
      <c r="N23" s="58">
        <f t="shared" si="9"/>
        <v>0</v>
      </c>
      <c r="O23" s="56">
        <f t="shared" si="9"/>
        <v>0</v>
      </c>
      <c r="P23" s="57">
        <f t="shared" si="9"/>
        <v>0</v>
      </c>
      <c r="Q23" s="57">
        <f t="shared" si="9"/>
        <v>0</v>
      </c>
      <c r="R23" s="58">
        <f t="shared" si="9"/>
        <v>0</v>
      </c>
      <c r="S23" s="56">
        <f t="shared" si="9"/>
        <v>0</v>
      </c>
      <c r="T23" s="57">
        <f t="shared" si="9"/>
        <v>0</v>
      </c>
      <c r="U23" s="57">
        <f t="shared" si="9"/>
        <v>0</v>
      </c>
      <c r="V23" s="58"/>
      <c r="W23" s="666" t="e">
        <f t="shared" si="6"/>
        <v>#DIV/0!</v>
      </c>
      <c r="X23" s="1010">
        <f t="shared" si="7"/>
        <v>0</v>
      </c>
      <c r="Y23" s="1509" t="e">
        <f t="shared" si="8"/>
        <v>#DIV/0!</v>
      </c>
      <c r="Z23" s="4"/>
    </row>
    <row r="24" spans="2:26" ht="16.05" customHeight="1">
      <c r="B24" s="70" t="s">
        <v>94</v>
      </c>
      <c r="C24" s="42">
        <v>6.6412667642799628E-2</v>
      </c>
      <c r="D24" s="42">
        <v>7.9657102976388616E-2</v>
      </c>
      <c r="E24" s="42">
        <v>9.9820064974516232E-2</v>
      </c>
      <c r="F24" s="42">
        <v>0.12557069381315999</v>
      </c>
      <c r="G24" s="42">
        <f t="shared" ref="G24:O24" si="10">G23/C23-1</f>
        <v>0.15189720603821577</v>
      </c>
      <c r="H24" s="42">
        <f t="shared" si="10"/>
        <v>0.19349786286257364</v>
      </c>
      <c r="I24" s="42">
        <f t="shared" si="10"/>
        <v>0.25307132147784372</v>
      </c>
      <c r="J24" s="42">
        <f t="shared" si="10"/>
        <v>0.25778983275021683</v>
      </c>
      <c r="K24" s="42">
        <f t="shared" si="10"/>
        <v>-1</v>
      </c>
      <c r="L24" s="42">
        <f>L23/H23-1</f>
        <v>-1</v>
      </c>
      <c r="M24" s="42">
        <f t="shared" si="10"/>
        <v>-1</v>
      </c>
      <c r="N24" s="42">
        <f t="shared" si="10"/>
        <v>-1</v>
      </c>
      <c r="O24" s="42" t="e">
        <f t="shared" si="10"/>
        <v>#DIV/0!</v>
      </c>
      <c r="P24" s="42" t="e">
        <f>P23/L23-1</f>
        <v>#DIV/0!</v>
      </c>
      <c r="Q24" s="42" t="e">
        <f>Q23/M23-1</f>
        <v>#DIV/0!</v>
      </c>
      <c r="R24" s="42" t="e">
        <f t="shared" ref="R24:S24" si="11">R23/N23-1</f>
        <v>#DIV/0!</v>
      </c>
      <c r="S24" s="42" t="e">
        <f t="shared" si="11"/>
        <v>#DIV/0!</v>
      </c>
      <c r="T24" s="42" t="e">
        <f>T23/P23-1</f>
        <v>#DIV/0!</v>
      </c>
      <c r="U24" s="42" t="e">
        <f>U23/Q23-1</f>
        <v>#DIV/0!</v>
      </c>
      <c r="V24" s="42"/>
    </row>
    <row r="25" spans="2:26">
      <c r="B25" s="64"/>
      <c r="C25" s="97"/>
      <c r="D25" s="97"/>
      <c r="E25" s="97"/>
      <c r="F25" s="97"/>
      <c r="G25" s="97"/>
      <c r="H25" s="97"/>
      <c r="I25" s="97"/>
      <c r="J25" s="97"/>
      <c r="K25" s="97"/>
      <c r="L25" s="97"/>
      <c r="M25" s="97"/>
      <c r="N25" s="97"/>
      <c r="O25" s="97"/>
      <c r="P25" s="97"/>
      <c r="Q25" s="97"/>
      <c r="R25" s="97"/>
      <c r="S25" s="97"/>
      <c r="T25" s="97"/>
      <c r="U25" s="97"/>
      <c r="V25" s="97"/>
    </row>
    <row r="26" spans="2:26" ht="13.8">
      <c r="B26" s="409" t="s">
        <v>96</v>
      </c>
      <c r="C26" s="97"/>
      <c r="D26" s="97"/>
      <c r="E26" s="97"/>
      <c r="F26" s="97"/>
      <c r="G26" s="97"/>
      <c r="H26" s="97"/>
      <c r="I26" s="97"/>
      <c r="J26" s="97"/>
      <c r="K26" s="97"/>
      <c r="L26" s="97"/>
      <c r="M26" s="97"/>
      <c r="N26" s="97"/>
      <c r="O26" s="97"/>
      <c r="P26" s="97"/>
      <c r="Q26" s="97"/>
      <c r="R26" s="97"/>
      <c r="S26" s="97"/>
      <c r="T26" s="97"/>
      <c r="U26" s="97"/>
      <c r="V26" s="97"/>
      <c r="W26" s="97"/>
    </row>
    <row r="27" spans="2:26">
      <c r="B27" s="65" t="s">
        <v>75</v>
      </c>
      <c r="C27" t="s">
        <v>310</v>
      </c>
      <c r="G27" t="s">
        <v>310</v>
      </c>
      <c r="K27" t="s">
        <v>310</v>
      </c>
      <c r="W27" s="25" t="s">
        <v>334</v>
      </c>
      <c r="X27" s="25" t="s">
        <v>459</v>
      </c>
      <c r="Y27" s="25" t="s">
        <v>334</v>
      </c>
    </row>
    <row r="28" spans="2:26" ht="13.8">
      <c r="B28" s="48" t="s">
        <v>60</v>
      </c>
      <c r="C28" s="82" t="s">
        <v>126</v>
      </c>
      <c r="D28" s="83" t="s">
        <v>127</v>
      </c>
      <c r="E28" s="83" t="s">
        <v>128</v>
      </c>
      <c r="F28" s="84" t="s">
        <v>129</v>
      </c>
      <c r="G28" s="82" t="s">
        <v>130</v>
      </c>
      <c r="H28" s="83" t="s">
        <v>131</v>
      </c>
      <c r="I28" s="83" t="s">
        <v>132</v>
      </c>
      <c r="J28" s="84" t="s">
        <v>133</v>
      </c>
      <c r="K28" s="82" t="str">
        <f t="shared" ref="K28:V28" si="12">K7</f>
        <v>1Q 18</v>
      </c>
      <c r="L28" s="83" t="str">
        <f t="shared" si="12"/>
        <v>2Q 18</v>
      </c>
      <c r="M28" s="83" t="str">
        <f t="shared" si="12"/>
        <v>3Q 18</v>
      </c>
      <c r="N28" s="84" t="str">
        <f t="shared" si="12"/>
        <v>4Q 18</v>
      </c>
      <c r="O28" s="82" t="str">
        <f t="shared" si="12"/>
        <v>1Q 19</v>
      </c>
      <c r="P28" s="83" t="str">
        <f t="shared" si="12"/>
        <v>2Q 19</v>
      </c>
      <c r="Q28" s="83" t="str">
        <f t="shared" si="12"/>
        <v>3Q 19</v>
      </c>
      <c r="R28" s="84" t="str">
        <f t="shared" si="12"/>
        <v>4Q 19</v>
      </c>
      <c r="S28" s="82" t="str">
        <f t="shared" si="12"/>
        <v>1Q 20</v>
      </c>
      <c r="T28" s="83" t="str">
        <f t="shared" si="12"/>
        <v>2Q 20</v>
      </c>
      <c r="U28" s="83" t="str">
        <f t="shared" si="12"/>
        <v>3Q 20</v>
      </c>
      <c r="V28" s="84" t="str">
        <f t="shared" si="12"/>
        <v>4Q 20</v>
      </c>
      <c r="W28" s="402" t="s">
        <v>307</v>
      </c>
      <c r="X28" s="402" t="s">
        <v>460</v>
      </c>
      <c r="Y28" s="402" t="s">
        <v>350</v>
      </c>
    </row>
    <row r="29" spans="2:26" ht="20.25" customHeight="1">
      <c r="B29" s="66" t="str">
        <f t="shared" ref="B29:B43" si="13">B8</f>
        <v>Alibaba</v>
      </c>
      <c r="C29" s="56">
        <v>150.60240963855421</v>
      </c>
      <c r="D29" s="57">
        <v>498.91307675821321</v>
      </c>
      <c r="E29" s="57">
        <v>537.06482593037219</v>
      </c>
      <c r="F29" s="58">
        <v>1069.1952844695029</v>
      </c>
      <c r="G29" s="56">
        <v>494.84386347131448</v>
      </c>
      <c r="H29" s="57">
        <v>523.36857455340873</v>
      </c>
      <c r="I29" s="57">
        <v>794.90254872563719</v>
      </c>
      <c r="J29" s="58">
        <v>1576.7019667170953</v>
      </c>
      <c r="K29" s="56"/>
      <c r="L29" s="57"/>
      <c r="M29" s="57"/>
      <c r="N29" s="58"/>
      <c r="O29" s="56"/>
      <c r="P29" s="57"/>
      <c r="Q29" s="57"/>
      <c r="R29" s="58"/>
      <c r="S29" s="56"/>
      <c r="T29" s="56"/>
      <c r="U29" s="337"/>
      <c r="V29" s="58"/>
      <c r="W29" s="666" t="e">
        <f t="shared" ref="W29:W35" si="14">U29/Q29-1</f>
        <v>#DIV/0!</v>
      </c>
      <c r="X29" s="1010">
        <f t="shared" ref="X29:X35" si="15">U29-Q29</f>
        <v>0</v>
      </c>
      <c r="Y29" s="1509" t="e">
        <f t="shared" ref="Y29:Y35" si="16">U29/T29-1</f>
        <v>#DIV/0!</v>
      </c>
      <c r="Z29" s="17"/>
    </row>
    <row r="30" spans="2:26" ht="20.25" customHeight="1">
      <c r="B30" s="103" t="str">
        <f t="shared" si="13"/>
        <v>Alphabet</v>
      </c>
      <c r="C30" s="56">
        <v>2036</v>
      </c>
      <c r="D30" s="57">
        <v>2123</v>
      </c>
      <c r="E30" s="57">
        <v>2554</v>
      </c>
      <c r="F30" s="58">
        <v>3078</v>
      </c>
      <c r="G30" s="56">
        <v>2406</v>
      </c>
      <c r="H30" s="57">
        <v>2835</v>
      </c>
      <c r="I30" s="57">
        <v>3538</v>
      </c>
      <c r="J30" s="58">
        <v>4307</v>
      </c>
      <c r="K30" s="56"/>
      <c r="L30" s="57"/>
      <c r="M30" s="57"/>
      <c r="N30" s="58"/>
      <c r="O30" s="56"/>
      <c r="P30" s="57"/>
      <c r="Q30" s="57"/>
      <c r="R30" s="58"/>
      <c r="S30" s="56"/>
      <c r="T30" s="56"/>
      <c r="U30" s="337"/>
      <c r="V30" s="58"/>
      <c r="W30" s="666" t="e">
        <f t="shared" si="14"/>
        <v>#DIV/0!</v>
      </c>
      <c r="X30" s="1010">
        <f t="shared" si="15"/>
        <v>0</v>
      </c>
      <c r="Y30" s="1509" t="e">
        <f t="shared" si="16"/>
        <v>#DIV/0!</v>
      </c>
      <c r="Z30" s="17"/>
    </row>
    <row r="31" spans="2:26" ht="20.25" customHeight="1">
      <c r="B31" s="66" t="str">
        <f t="shared" si="13"/>
        <v>Amazon</v>
      </c>
      <c r="C31" s="56">
        <v>1179</v>
      </c>
      <c r="D31" s="57">
        <v>1711</v>
      </c>
      <c r="E31" s="57">
        <v>1841</v>
      </c>
      <c r="F31" s="58">
        <v>2005</v>
      </c>
      <c r="G31" s="56">
        <v>1861</v>
      </c>
      <c r="H31" s="57">
        <v>2501</v>
      </c>
      <c r="I31" s="57">
        <v>2659</v>
      </c>
      <c r="J31" s="58">
        <v>3619</v>
      </c>
      <c r="K31" s="56"/>
      <c r="L31" s="57"/>
      <c r="M31" s="57"/>
      <c r="N31" s="58"/>
      <c r="O31" s="56"/>
      <c r="P31" s="57"/>
      <c r="Q31" s="57"/>
      <c r="R31" s="58"/>
      <c r="S31" s="56"/>
      <c r="T31" s="56"/>
      <c r="U31" s="337"/>
      <c r="V31" s="58"/>
      <c r="W31" s="666" t="e">
        <f t="shared" si="14"/>
        <v>#DIV/0!</v>
      </c>
      <c r="X31" s="1010">
        <f t="shared" si="15"/>
        <v>0</v>
      </c>
      <c r="Y31" s="1509" t="e">
        <f t="shared" si="16"/>
        <v>#DIV/0!</v>
      </c>
      <c r="Z31" s="17"/>
    </row>
    <row r="32" spans="2:26" ht="20.25" customHeight="1">
      <c r="B32" s="66" t="str">
        <f t="shared" si="13"/>
        <v>Apple</v>
      </c>
      <c r="C32" s="56">
        <v>2336</v>
      </c>
      <c r="D32" s="57">
        <v>2809</v>
      </c>
      <c r="E32" s="57">
        <v>3977</v>
      </c>
      <c r="F32" s="58">
        <v>3334</v>
      </c>
      <c r="G32" s="56">
        <v>2975</v>
      </c>
      <c r="H32" s="57">
        <v>3287</v>
      </c>
      <c r="I32" s="57">
        <v>2855</v>
      </c>
      <c r="J32" s="58">
        <v>2810</v>
      </c>
      <c r="K32" s="56"/>
      <c r="L32" s="57"/>
      <c r="M32" s="57"/>
      <c r="N32" s="58"/>
      <c r="O32" s="56"/>
      <c r="P32" s="57"/>
      <c r="Q32" s="57"/>
      <c r="R32" s="58"/>
      <c r="S32" s="56"/>
      <c r="T32" s="57"/>
      <c r="U32" s="337"/>
      <c r="V32" s="58"/>
      <c r="W32" s="666" t="e">
        <f t="shared" si="14"/>
        <v>#DIV/0!</v>
      </c>
      <c r="X32" s="1010">
        <f t="shared" si="15"/>
        <v>0</v>
      </c>
      <c r="Y32" s="1509" t="e">
        <f t="shared" si="16"/>
        <v>#DIV/0!</v>
      </c>
      <c r="Z32" s="17"/>
    </row>
    <row r="33" spans="1:26" ht="20.25" customHeight="1">
      <c r="B33" s="66" t="str">
        <f t="shared" si="13"/>
        <v>Baidu</v>
      </c>
      <c r="C33" s="56">
        <v>126.23081157115773</v>
      </c>
      <c r="D33" s="57">
        <v>149.96478981047733</v>
      </c>
      <c r="E33" s="57">
        <v>177.52100840336135</v>
      </c>
      <c r="F33" s="58">
        <v>176.02694588855533</v>
      </c>
      <c r="G33" s="56">
        <v>169.64415395787947</v>
      </c>
      <c r="H33" s="57">
        <v>164.05395552314982</v>
      </c>
      <c r="I33" s="57">
        <v>194.48484757606204</v>
      </c>
      <c r="J33" s="58">
        <v>178.14032299179775</v>
      </c>
      <c r="K33" s="56"/>
      <c r="L33" s="57"/>
      <c r="M33" s="57"/>
      <c r="N33" s="58"/>
      <c r="O33" s="56"/>
      <c r="P33" s="57"/>
      <c r="Q33" s="57"/>
      <c r="R33" s="518"/>
      <c r="S33" s="56"/>
      <c r="T33" s="57"/>
      <c r="U33" s="337"/>
      <c r="V33" s="58"/>
      <c r="W33" s="666" t="e">
        <f t="shared" si="14"/>
        <v>#DIV/0!</v>
      </c>
      <c r="X33" s="1010">
        <f t="shared" si="15"/>
        <v>0</v>
      </c>
      <c r="Y33" s="1509" t="e">
        <f t="shared" si="16"/>
        <v>#DIV/0!</v>
      </c>
      <c r="Z33" s="17"/>
    </row>
    <row r="34" spans="1:26" ht="20.25" customHeight="1">
      <c r="B34" s="66" t="str">
        <f t="shared" si="13"/>
        <v>eBay</v>
      </c>
      <c r="C34" s="56">
        <v>158</v>
      </c>
      <c r="D34" s="57">
        <v>147</v>
      </c>
      <c r="E34" s="57">
        <v>185</v>
      </c>
      <c r="F34" s="58">
        <v>136</v>
      </c>
      <c r="G34" s="56">
        <v>135</v>
      </c>
      <c r="H34" s="57">
        <v>182</v>
      </c>
      <c r="I34" s="57">
        <v>157</v>
      </c>
      <c r="J34" s="58">
        <v>192</v>
      </c>
      <c r="K34" s="56"/>
      <c r="L34" s="57"/>
      <c r="M34" s="57"/>
      <c r="N34" s="58"/>
      <c r="O34" s="56"/>
      <c r="P34" s="57"/>
      <c r="Q34" s="57"/>
      <c r="R34" s="58"/>
      <c r="S34" s="56"/>
      <c r="T34" s="57"/>
      <c r="U34" s="337"/>
      <c r="V34" s="58"/>
      <c r="W34" s="666" t="e">
        <f t="shared" si="14"/>
        <v>#DIV/0!</v>
      </c>
      <c r="X34" s="1010">
        <f t="shared" si="15"/>
        <v>0</v>
      </c>
      <c r="Y34" s="1509" t="e">
        <f t="shared" si="16"/>
        <v>#DIV/0!</v>
      </c>
      <c r="Z34" s="17"/>
    </row>
    <row r="35" spans="1:26" ht="20.25" customHeight="1">
      <c r="B35" s="66" t="str">
        <f t="shared" si="13"/>
        <v>Facebook</v>
      </c>
      <c r="C35" s="56">
        <v>1132</v>
      </c>
      <c r="D35" s="57">
        <v>995</v>
      </c>
      <c r="E35" s="57">
        <v>1095</v>
      </c>
      <c r="F35" s="58">
        <v>1269</v>
      </c>
      <c r="G35" s="56">
        <v>1271</v>
      </c>
      <c r="H35" s="57">
        <v>1444</v>
      </c>
      <c r="I35" s="57">
        <v>1760</v>
      </c>
      <c r="J35" s="58">
        <v>2262</v>
      </c>
      <c r="K35" s="56"/>
      <c r="L35" s="57"/>
      <c r="M35" s="57"/>
      <c r="N35" s="58"/>
      <c r="O35" s="56"/>
      <c r="P35" s="57"/>
      <c r="Q35" s="57"/>
      <c r="R35" s="58"/>
      <c r="S35" s="56"/>
      <c r="T35" s="57"/>
      <c r="U35" s="337"/>
      <c r="V35" s="58"/>
      <c r="W35" s="666" t="e">
        <f t="shared" si="14"/>
        <v>#DIV/0!</v>
      </c>
      <c r="X35" s="1010">
        <f t="shared" si="15"/>
        <v>0</v>
      </c>
      <c r="Y35" s="1509" t="e">
        <f t="shared" si="16"/>
        <v>#DIV/0!</v>
      </c>
      <c r="Z35" s="17"/>
    </row>
    <row r="36" spans="1:26" ht="20.25" customHeight="1">
      <c r="B36" s="66" t="str">
        <f t="shared" si="13"/>
        <v>Microsoft</v>
      </c>
      <c r="C36" s="56">
        <v>2308</v>
      </c>
      <c r="D36" s="57">
        <v>2655</v>
      </c>
      <c r="E36" s="57">
        <v>2163</v>
      </c>
      <c r="F36" s="58">
        <v>1988</v>
      </c>
      <c r="G36" s="56">
        <v>1695</v>
      </c>
      <c r="H36" s="57">
        <v>2283</v>
      </c>
      <c r="I36" s="57">
        <v>2132</v>
      </c>
      <c r="J36" s="58">
        <v>2586</v>
      </c>
      <c r="K36" s="56"/>
      <c r="L36" s="57"/>
      <c r="M36" s="57"/>
      <c r="N36" s="58"/>
      <c r="O36" s="56"/>
      <c r="P36" s="57"/>
      <c r="Q36" s="57"/>
      <c r="R36" s="58"/>
      <c r="S36" s="56"/>
      <c r="T36" s="57"/>
      <c r="U36" s="337"/>
      <c r="V36" s="58"/>
      <c r="W36" s="666" t="e">
        <f t="shared" ref="W36:W40" si="17">U36/Q36-1</f>
        <v>#DIV/0!</v>
      </c>
      <c r="X36" s="1010">
        <f t="shared" ref="X36:X40" si="18">U36-Q36</f>
        <v>0</v>
      </c>
      <c r="Y36" s="1509" t="e">
        <f t="shared" ref="Y36:Y40" si="19">U36/T36-1</f>
        <v>#DIV/0!</v>
      </c>
      <c r="Z36" s="17"/>
    </row>
    <row r="37" spans="1:26" ht="20.25" customHeight="1">
      <c r="B37" s="103" t="str">
        <f t="shared" si="13"/>
        <v>Oracle</v>
      </c>
      <c r="C37" s="56">
        <v>368</v>
      </c>
      <c r="D37" s="57">
        <v>180</v>
      </c>
      <c r="E37" s="57">
        <v>299</v>
      </c>
      <c r="F37" s="58">
        <v>757</v>
      </c>
      <c r="G37" s="56">
        <v>440</v>
      </c>
      <c r="H37" s="57">
        <v>525</v>
      </c>
      <c r="I37" s="57">
        <v>473</v>
      </c>
      <c r="J37" s="58">
        <v>599</v>
      </c>
      <c r="K37" s="56"/>
      <c r="L37" s="57"/>
      <c r="M37" s="57"/>
      <c r="N37" s="58"/>
      <c r="O37" s="56"/>
      <c r="P37" s="57"/>
      <c r="Q37" s="57"/>
      <c r="R37" s="58"/>
      <c r="S37" s="56"/>
      <c r="T37" s="57"/>
      <c r="U37" s="337"/>
      <c r="V37" s="58"/>
      <c r="W37" s="666" t="e">
        <f t="shared" si="17"/>
        <v>#DIV/0!</v>
      </c>
      <c r="X37" s="1010">
        <f t="shared" si="18"/>
        <v>0</v>
      </c>
      <c r="Y37" s="1509" t="e">
        <f t="shared" si="19"/>
        <v>#DIV/0!</v>
      </c>
      <c r="Z37" s="17"/>
    </row>
    <row r="38" spans="1:26" ht="20.25" customHeight="1">
      <c r="B38" s="103" t="str">
        <f t="shared" si="13"/>
        <v>PayPal</v>
      </c>
      <c r="C38" s="56">
        <v>133</v>
      </c>
      <c r="D38" s="57">
        <v>201</v>
      </c>
      <c r="E38" s="57">
        <v>183</v>
      </c>
      <c r="F38" s="58">
        <v>152</v>
      </c>
      <c r="G38" s="56">
        <v>148</v>
      </c>
      <c r="H38" s="57">
        <v>174</v>
      </c>
      <c r="I38" s="57">
        <v>165</v>
      </c>
      <c r="J38" s="58">
        <v>180</v>
      </c>
      <c r="K38" s="56"/>
      <c r="L38" s="57"/>
      <c r="M38" s="57"/>
      <c r="N38" s="58"/>
      <c r="O38" s="56"/>
      <c r="P38" s="57"/>
      <c r="Q38" s="57"/>
      <c r="R38" s="58"/>
      <c r="S38" s="56"/>
      <c r="T38" s="57"/>
      <c r="U38" s="337"/>
      <c r="V38" s="58"/>
      <c r="W38" s="666" t="e">
        <f t="shared" si="17"/>
        <v>#DIV/0!</v>
      </c>
      <c r="X38" s="1010">
        <f t="shared" si="18"/>
        <v>0</v>
      </c>
      <c r="Y38" s="1509" t="e">
        <f t="shared" si="19"/>
        <v>#DIV/0!</v>
      </c>
      <c r="Z38" s="17"/>
    </row>
    <row r="39" spans="1:26" ht="20.25" customHeight="1">
      <c r="B39" s="66" t="str">
        <f t="shared" si="13"/>
        <v>Tencent</v>
      </c>
      <c r="C39" s="56">
        <v>627.63745336676652</v>
      </c>
      <c r="D39" s="57">
        <v>230.39710970270355</v>
      </c>
      <c r="E39" s="57">
        <v>547.86914765906363</v>
      </c>
      <c r="F39" s="518">
        <v>415.7574870030021</v>
      </c>
      <c r="G39" s="56">
        <v>306.17283950617286</v>
      </c>
      <c r="H39" s="57">
        <v>438.93547211082756</v>
      </c>
      <c r="I39" s="57">
        <v>547.46659868943902</v>
      </c>
      <c r="J39" s="518">
        <v>752.18094676524402</v>
      </c>
      <c r="K39" s="56"/>
      <c r="L39" s="57"/>
      <c r="M39" s="57"/>
      <c r="N39" s="58"/>
      <c r="O39" s="56"/>
      <c r="P39" s="57"/>
      <c r="Q39" s="57"/>
      <c r="R39" s="58"/>
      <c r="S39" s="56"/>
      <c r="T39" s="57"/>
      <c r="U39" s="337"/>
      <c r="V39" s="58"/>
      <c r="W39" s="666" t="e">
        <f t="shared" si="17"/>
        <v>#DIV/0!</v>
      </c>
      <c r="X39" s="1010">
        <f t="shared" si="18"/>
        <v>0</v>
      </c>
      <c r="Y39" s="1509" t="e">
        <f t="shared" si="19"/>
        <v>#DIV/0!</v>
      </c>
      <c r="Z39" s="17"/>
    </row>
    <row r="40" spans="1:26" ht="20.25" customHeight="1">
      <c r="B40" s="66" t="str">
        <f t="shared" si="13"/>
        <v>Twitter</v>
      </c>
      <c r="C40" s="56">
        <v>59.1</v>
      </c>
      <c r="D40" s="57">
        <v>39</v>
      </c>
      <c r="E40" s="57">
        <v>72.3</v>
      </c>
      <c r="F40" s="58">
        <v>48</v>
      </c>
      <c r="G40" s="56">
        <v>39.880000000000003</v>
      </c>
      <c r="H40" s="57">
        <v>43.335999999999999</v>
      </c>
      <c r="I40" s="57">
        <v>34.58</v>
      </c>
      <c r="J40" s="59">
        <v>40</v>
      </c>
      <c r="K40" s="56"/>
      <c r="L40" s="57"/>
      <c r="M40" s="57"/>
      <c r="N40" s="59"/>
      <c r="O40" s="56"/>
      <c r="P40" s="57"/>
      <c r="Q40" s="57"/>
      <c r="R40" s="59"/>
      <c r="S40" s="56"/>
      <c r="T40" s="57"/>
      <c r="U40" s="337"/>
      <c r="V40" s="59"/>
      <c r="W40" s="666" t="e">
        <f t="shared" si="17"/>
        <v>#DIV/0!</v>
      </c>
      <c r="X40" s="1010">
        <f t="shared" si="18"/>
        <v>0</v>
      </c>
      <c r="Y40" s="1509" t="e">
        <f t="shared" si="19"/>
        <v>#DIV/0!</v>
      </c>
      <c r="Z40" s="17"/>
    </row>
    <row r="41" spans="1:26" ht="20.25" customHeight="1">
      <c r="B41" s="591" t="str">
        <f t="shared" si="13"/>
        <v>JD.com</v>
      </c>
      <c r="C41" s="56">
        <v>159.31915479175586</v>
      </c>
      <c r="D41" s="57">
        <v>156.91773062674139</v>
      </c>
      <c r="E41" s="57">
        <v>139.92091836734696</v>
      </c>
      <c r="F41" s="518">
        <v>192.03836860218203</v>
      </c>
      <c r="G41" s="56">
        <v>97.732461873638357</v>
      </c>
      <c r="H41" s="57">
        <v>190.32417061611375</v>
      </c>
      <c r="I41" s="57">
        <v>1079.2499512663258</v>
      </c>
      <c r="J41" s="58">
        <v>328.38998935356659</v>
      </c>
      <c r="K41" s="56"/>
      <c r="L41" s="57"/>
      <c r="M41" s="57"/>
      <c r="N41" s="58"/>
      <c r="O41" s="56"/>
      <c r="P41" s="57"/>
      <c r="Q41" s="57"/>
      <c r="R41" s="518"/>
      <c r="S41" s="56"/>
      <c r="T41" s="57"/>
      <c r="U41" s="337"/>
      <c r="V41" s="58"/>
      <c r="W41" s="666" t="e">
        <f t="shared" ref="W41:W44" si="20">U41/Q41-1</f>
        <v>#DIV/0!</v>
      </c>
      <c r="X41" s="1010">
        <f t="shared" ref="X41:X44" si="21">U41-Q41</f>
        <v>0</v>
      </c>
      <c r="Y41" s="1509" t="e">
        <f t="shared" ref="Y41:Y44" si="22">U41/T41-1</f>
        <v>#DIV/0!</v>
      </c>
      <c r="Z41" s="17"/>
    </row>
    <row r="42" spans="1:26" ht="20.25" customHeight="1">
      <c r="B42" s="591" t="str">
        <f t="shared" si="13"/>
        <v>NetEase</v>
      </c>
      <c r="C42" s="56">
        <v>37.306586753103787</v>
      </c>
      <c r="D42" s="57">
        <v>40.108998499739755</v>
      </c>
      <c r="E42" s="57">
        <v>24.909963985594239</v>
      </c>
      <c r="F42" s="518">
        <v>67.950501574284246</v>
      </c>
      <c r="G42" s="56">
        <v>47.204066811909954</v>
      </c>
      <c r="H42" s="57">
        <v>47.393364928909953</v>
      </c>
      <c r="I42" s="57">
        <v>66.427746704853874</v>
      </c>
      <c r="J42" s="58">
        <v>85.771266625680397</v>
      </c>
      <c r="K42" s="56"/>
      <c r="L42" s="57"/>
      <c r="M42" s="57"/>
      <c r="N42" s="58"/>
      <c r="O42" s="56"/>
      <c r="P42" s="57"/>
      <c r="Q42" s="57"/>
      <c r="R42" s="518"/>
      <c r="S42" s="56"/>
      <c r="T42" s="57"/>
      <c r="U42" s="337"/>
      <c r="V42" s="58"/>
      <c r="W42" s="666" t="e">
        <f t="shared" si="20"/>
        <v>#DIV/0!</v>
      </c>
      <c r="X42" s="1010">
        <f t="shared" si="21"/>
        <v>0</v>
      </c>
      <c r="Y42" s="1509" t="e">
        <f t="shared" si="22"/>
        <v>#DIV/0!</v>
      </c>
      <c r="Z42" s="17"/>
    </row>
    <row r="43" spans="1:26" ht="20.25" customHeight="1">
      <c r="B43" s="591" t="str">
        <f t="shared" si="13"/>
        <v>VIPShop.com</v>
      </c>
      <c r="C43" s="56">
        <v>101.06415509754756</v>
      </c>
      <c r="D43" s="57">
        <v>90.015614953614403</v>
      </c>
      <c r="E43" s="57">
        <v>124.5498199279712</v>
      </c>
      <c r="F43" s="518">
        <v>104.26887310536721</v>
      </c>
      <c r="G43" s="56">
        <v>84.967320261437905</v>
      </c>
      <c r="H43" s="57">
        <v>98.286547575647106</v>
      </c>
      <c r="I43" s="57">
        <v>107.81388234941295</v>
      </c>
      <c r="J43" s="58">
        <v>74.375084346743847</v>
      </c>
      <c r="K43" s="56"/>
      <c r="L43" s="57"/>
      <c r="M43" s="57"/>
      <c r="N43" s="58"/>
      <c r="O43" s="56"/>
      <c r="P43" s="57"/>
      <c r="Q43" s="57"/>
      <c r="R43" s="518"/>
      <c r="S43" s="56"/>
      <c r="T43" s="57"/>
      <c r="U43" s="337"/>
      <c r="V43" s="58"/>
      <c r="W43" s="666" t="e">
        <f t="shared" si="20"/>
        <v>#DIV/0!</v>
      </c>
      <c r="X43" s="1010">
        <f t="shared" si="21"/>
        <v>0</v>
      </c>
      <c r="Y43" s="1509" t="e">
        <f t="shared" si="22"/>
        <v>#DIV/0!</v>
      </c>
      <c r="Z43" s="17"/>
    </row>
    <row r="44" spans="1:26" ht="20.25" customHeight="1">
      <c r="B44" s="63" t="s">
        <v>19</v>
      </c>
      <c r="C44" s="56">
        <f t="shared" ref="C44:U44" si="23">SUM(C29:C43)</f>
        <v>10911.260571218885</v>
      </c>
      <c r="D44" s="57">
        <f t="shared" si="23"/>
        <v>12026.317320351491</v>
      </c>
      <c r="E44" s="57">
        <f t="shared" si="23"/>
        <v>13921.135684273708</v>
      </c>
      <c r="F44" s="58">
        <f t="shared" si="23"/>
        <v>14792.237460642893</v>
      </c>
      <c r="G44" s="56">
        <f t="shared" si="23"/>
        <v>12171.444705882352</v>
      </c>
      <c r="H44" s="57">
        <f t="shared" si="23"/>
        <v>14736.698085308059</v>
      </c>
      <c r="I44" s="57">
        <f t="shared" si="23"/>
        <v>16563.925575311729</v>
      </c>
      <c r="J44" s="58">
        <f t="shared" si="23"/>
        <v>19590.559576800129</v>
      </c>
      <c r="K44" s="56">
        <f t="shared" si="23"/>
        <v>0</v>
      </c>
      <c r="L44" s="57">
        <f t="shared" si="23"/>
        <v>0</v>
      </c>
      <c r="M44" s="57">
        <f t="shared" si="23"/>
        <v>0</v>
      </c>
      <c r="N44" s="58">
        <f t="shared" si="23"/>
        <v>0</v>
      </c>
      <c r="O44" s="56">
        <f t="shared" si="23"/>
        <v>0</v>
      </c>
      <c r="P44" s="57">
        <f t="shared" si="23"/>
        <v>0</v>
      </c>
      <c r="Q44" s="57">
        <f t="shared" si="23"/>
        <v>0</v>
      </c>
      <c r="R44" s="58">
        <f t="shared" si="23"/>
        <v>0</v>
      </c>
      <c r="S44" s="56">
        <f t="shared" si="23"/>
        <v>0</v>
      </c>
      <c r="T44" s="57">
        <f t="shared" si="23"/>
        <v>0</v>
      </c>
      <c r="U44" s="57">
        <f t="shared" si="23"/>
        <v>0</v>
      </c>
      <c r="V44" s="58"/>
      <c r="W44" s="666" t="e">
        <f t="shared" si="20"/>
        <v>#DIV/0!</v>
      </c>
      <c r="X44" s="1010">
        <f t="shared" si="21"/>
        <v>0</v>
      </c>
      <c r="Y44" s="1509" t="e">
        <f t="shared" si="22"/>
        <v>#DIV/0!</v>
      </c>
      <c r="Z44" s="17"/>
    </row>
    <row r="45" spans="1:26" ht="20.25" customHeight="1">
      <c r="A45" s="27"/>
      <c r="B45" s="1130" t="s">
        <v>94</v>
      </c>
      <c r="C45" s="42">
        <v>0.16240200589340192</v>
      </c>
      <c r="D45" s="42">
        <v>0.16668624964515266</v>
      </c>
      <c r="E45" s="668">
        <v>0.2352608482366827</v>
      </c>
      <c r="F45" s="668">
        <v>0.22079428398906242</v>
      </c>
      <c r="G45" s="668">
        <f t="shared" ref="G45:U45" si="24">G44/C44-1</f>
        <v>0.11549390892446554</v>
      </c>
      <c r="H45" s="668">
        <f t="shared" si="24"/>
        <v>0.22537080078287453</v>
      </c>
      <c r="I45" s="668">
        <f t="shared" si="24"/>
        <v>0.18984010722799738</v>
      </c>
      <c r="J45" s="668">
        <f t="shared" si="24"/>
        <v>0.3243810903471458</v>
      </c>
      <c r="K45" s="668">
        <f t="shared" si="24"/>
        <v>-1</v>
      </c>
      <c r="L45" s="668">
        <f t="shared" si="24"/>
        <v>-1</v>
      </c>
      <c r="M45" s="668">
        <f t="shared" si="24"/>
        <v>-1</v>
      </c>
      <c r="N45" s="668">
        <f t="shared" si="24"/>
        <v>-1</v>
      </c>
      <c r="O45" s="668" t="e">
        <f t="shared" si="24"/>
        <v>#DIV/0!</v>
      </c>
      <c r="P45" s="668" t="e">
        <f t="shared" si="24"/>
        <v>#DIV/0!</v>
      </c>
      <c r="Q45" s="668" t="e">
        <f t="shared" si="24"/>
        <v>#DIV/0!</v>
      </c>
      <c r="R45" s="668" t="e">
        <f t="shared" si="24"/>
        <v>#DIV/0!</v>
      </c>
      <c r="S45" s="668" t="e">
        <f t="shared" si="24"/>
        <v>#DIV/0!</v>
      </c>
      <c r="T45" s="668" t="e">
        <f t="shared" si="24"/>
        <v>#DIV/0!</v>
      </c>
      <c r="U45" s="668" t="e">
        <f t="shared" si="24"/>
        <v>#DIV/0!</v>
      </c>
      <c r="V45" s="42"/>
    </row>
    <row r="46" spans="1:26">
      <c r="C46" s="97"/>
      <c r="D46" s="97"/>
      <c r="E46" s="1007" t="s">
        <v>499</v>
      </c>
      <c r="F46" s="1008">
        <f>SUM(C44:F44)</f>
        <v>51650.951036486978</v>
      </c>
      <c r="G46" s="1008"/>
      <c r="H46" s="1008"/>
      <c r="I46" s="1008"/>
      <c r="J46" s="1008">
        <f>SUM(G44:J44)</f>
        <v>63062.627943302265</v>
      </c>
      <c r="K46" s="1008"/>
      <c r="L46" s="1008"/>
      <c r="M46" s="1008"/>
      <c r="N46" s="1008">
        <f>SUM(K44:P44)</f>
        <v>0</v>
      </c>
      <c r="O46" s="97"/>
      <c r="P46" s="97"/>
      <c r="Q46" s="97"/>
      <c r="R46" s="1008">
        <f>SUM(O44:R44)</f>
        <v>0</v>
      </c>
      <c r="S46" s="97"/>
      <c r="T46" s="97"/>
      <c r="U46" s="97"/>
      <c r="V46" s="97"/>
    </row>
    <row r="47" spans="1:26">
      <c r="C47" s="97"/>
      <c r="D47" s="97"/>
      <c r="E47" s="97"/>
      <c r="F47" s="97"/>
      <c r="G47" s="97"/>
      <c r="H47" s="97"/>
      <c r="I47" s="97"/>
      <c r="J47" s="97"/>
      <c r="K47" s="1136" t="e">
        <f t="shared" ref="K47:P47" si="25">K42/K44</f>
        <v>#DIV/0!</v>
      </c>
      <c r="L47" s="1136" t="e">
        <f t="shared" si="25"/>
        <v>#DIV/0!</v>
      </c>
      <c r="M47" s="1136" t="e">
        <f t="shared" si="25"/>
        <v>#DIV/0!</v>
      </c>
      <c r="N47" s="1136" t="e">
        <f t="shared" si="25"/>
        <v>#DIV/0!</v>
      </c>
      <c r="O47" s="1136" t="e">
        <f t="shared" si="25"/>
        <v>#DIV/0!</v>
      </c>
      <c r="P47" s="1136" t="e">
        <f t="shared" si="25"/>
        <v>#DIV/0!</v>
      </c>
      <c r="Q47" s="1136" t="e">
        <f>Q42/Q44</f>
        <v>#DIV/0!</v>
      </c>
      <c r="R47" s="1136" t="e">
        <f t="shared" ref="R47:S47" si="26">R42/R44</f>
        <v>#DIV/0!</v>
      </c>
      <c r="S47" s="1136" t="e">
        <f t="shared" si="26"/>
        <v>#DIV/0!</v>
      </c>
      <c r="T47" s="1136" t="e">
        <f t="shared" ref="T47:U47" si="27">T42/T44</f>
        <v>#DIV/0!</v>
      </c>
      <c r="U47" s="1136" t="e">
        <f t="shared" si="27"/>
        <v>#DIV/0!</v>
      </c>
      <c r="V47" s="97"/>
      <c r="X47" s="17"/>
    </row>
    <row r="48" spans="1:26">
      <c r="H48" s="17"/>
      <c r="L48" s="17"/>
      <c r="X48" s="5"/>
    </row>
    <row r="51" spans="14:24">
      <c r="N51" s="97">
        <f t="shared" ref="N51:U51" si="28">N8+N12+N18+N20+N21+N22</f>
        <v>0</v>
      </c>
      <c r="O51" s="97">
        <f t="shared" si="28"/>
        <v>0</v>
      </c>
      <c r="P51" s="97">
        <f t="shared" si="28"/>
        <v>0</v>
      </c>
      <c r="Q51" s="97">
        <f t="shared" si="28"/>
        <v>0</v>
      </c>
      <c r="R51" s="97">
        <f t="shared" si="28"/>
        <v>0</v>
      </c>
      <c r="S51" s="97">
        <f t="shared" si="28"/>
        <v>0</v>
      </c>
      <c r="T51" s="97">
        <f t="shared" si="28"/>
        <v>0</v>
      </c>
      <c r="U51" s="97">
        <f t="shared" si="28"/>
        <v>0</v>
      </c>
      <c r="X51" s="1237" t="s">
        <v>589</v>
      </c>
    </row>
    <row r="52" spans="14:24">
      <c r="N52" s="14"/>
      <c r="O52" s="14"/>
      <c r="P52" s="14"/>
      <c r="Q52" s="14"/>
      <c r="R52" s="332" t="e">
        <f>R51/N51-1</f>
        <v>#DIV/0!</v>
      </c>
      <c r="S52" s="332" t="e">
        <f>S51/O51-1</f>
        <v>#DIV/0!</v>
      </c>
      <c r="T52" s="332" t="e">
        <f>T51/P51-1</f>
        <v>#DIV/0!</v>
      </c>
      <c r="U52" s="332" t="e">
        <f>U51/Q51-1</f>
        <v>#DIV/0!</v>
      </c>
      <c r="X52" s="14"/>
    </row>
    <row r="53" spans="14:24">
      <c r="N53" s="97">
        <f t="shared" ref="N53:U53" si="29">N23-N51</f>
        <v>0</v>
      </c>
      <c r="O53" s="97">
        <f t="shared" si="29"/>
        <v>0</v>
      </c>
      <c r="P53" s="97">
        <f t="shared" si="29"/>
        <v>0</v>
      </c>
      <c r="Q53" s="97">
        <f t="shared" si="29"/>
        <v>0</v>
      </c>
      <c r="R53" s="97">
        <f t="shared" si="29"/>
        <v>0</v>
      </c>
      <c r="S53" s="97">
        <f t="shared" si="29"/>
        <v>0</v>
      </c>
      <c r="T53" s="97">
        <f t="shared" si="29"/>
        <v>0</v>
      </c>
      <c r="U53" s="97">
        <f t="shared" si="29"/>
        <v>0</v>
      </c>
      <c r="X53" s="1237" t="s">
        <v>590</v>
      </c>
    </row>
    <row r="54" spans="14:24">
      <c r="N54" s="14"/>
      <c r="O54" s="14"/>
      <c r="P54" s="14"/>
      <c r="Q54" s="14"/>
      <c r="R54" s="332" t="e">
        <f>R53/N53-1</f>
        <v>#DIV/0!</v>
      </c>
      <c r="S54" s="332" t="e">
        <f>S53/O53-1</f>
        <v>#DIV/0!</v>
      </c>
      <c r="T54" s="332" t="e">
        <f>T53/P53-1</f>
        <v>#DIV/0!</v>
      </c>
      <c r="U54" s="332" t="e">
        <f>U53/Q53-1</f>
        <v>#DIV/0!</v>
      </c>
    </row>
    <row r="56" spans="14:24">
      <c r="N56" s="97">
        <f t="shared" ref="N56:U56" si="30">N43+N42+N41+N39+N33+N29</f>
        <v>0</v>
      </c>
      <c r="O56" s="97">
        <f t="shared" si="30"/>
        <v>0</v>
      </c>
      <c r="P56" s="97">
        <f t="shared" si="30"/>
        <v>0</v>
      </c>
      <c r="Q56" s="97">
        <f t="shared" si="30"/>
        <v>0</v>
      </c>
      <c r="R56" s="97">
        <f t="shared" si="30"/>
        <v>0</v>
      </c>
      <c r="S56" s="97">
        <f t="shared" si="30"/>
        <v>0</v>
      </c>
      <c r="T56" s="97">
        <f t="shared" si="30"/>
        <v>0</v>
      </c>
      <c r="U56" s="97">
        <f t="shared" si="30"/>
        <v>0</v>
      </c>
      <c r="X56" s="1237" t="s">
        <v>587</v>
      </c>
    </row>
    <row r="57" spans="14:24">
      <c r="N57" s="332"/>
      <c r="O57" s="332"/>
      <c r="P57" s="332"/>
      <c r="Q57" s="332"/>
      <c r="R57" s="332" t="e">
        <f>R56/N56-1</f>
        <v>#DIV/0!</v>
      </c>
      <c r="S57" s="332" t="e">
        <f>S56/O56-1</f>
        <v>#DIV/0!</v>
      </c>
      <c r="T57" s="332" t="e">
        <f>T56/P56-1</f>
        <v>#DIV/0!</v>
      </c>
      <c r="U57" s="332" t="e">
        <f>U56/Q56-1</f>
        <v>#DIV/0!</v>
      </c>
    </row>
    <row r="58" spans="14:24">
      <c r="N58" s="97">
        <f t="shared" ref="N58:S58" si="31">N44-N56</f>
        <v>0</v>
      </c>
      <c r="O58" s="97">
        <f t="shared" si="31"/>
        <v>0</v>
      </c>
      <c r="P58" s="97">
        <f t="shared" si="31"/>
        <v>0</v>
      </c>
      <c r="Q58" s="97">
        <f t="shared" si="31"/>
        <v>0</v>
      </c>
      <c r="R58" s="97">
        <f t="shared" si="31"/>
        <v>0</v>
      </c>
      <c r="S58" s="97">
        <f t="shared" si="31"/>
        <v>0</v>
      </c>
      <c r="T58" s="97">
        <f t="shared" ref="T58:U58" si="32">T44-T56</f>
        <v>0</v>
      </c>
      <c r="U58" s="97">
        <f t="shared" si="32"/>
        <v>0</v>
      </c>
      <c r="X58" s="1237" t="s">
        <v>588</v>
      </c>
    </row>
    <row r="59" spans="14:24">
      <c r="N59" s="332"/>
      <c r="O59" s="332"/>
      <c r="P59" s="332"/>
      <c r="Q59" s="332"/>
      <c r="R59" s="332" t="e">
        <f>R58/N58-1</f>
        <v>#DIV/0!</v>
      </c>
      <c r="S59" s="332" t="e">
        <f>S58/O58-1</f>
        <v>#DIV/0!</v>
      </c>
      <c r="T59" s="332" t="e">
        <f>T58/P58-1</f>
        <v>#DIV/0!</v>
      </c>
      <c r="U59" s="332" t="e">
        <f>U58/Q58-1</f>
        <v>#DIV/0!</v>
      </c>
    </row>
    <row r="60" spans="14:24">
      <c r="U60" t="e">
        <f>U56/T56-1</f>
        <v>#DIV/0!</v>
      </c>
    </row>
  </sheetData>
  <hyperlinks>
    <hyperlink ref="B10" r:id="rId1" xr:uid="{00000000-0004-0000-0A00-000000000000}"/>
    <hyperlink ref="B13" r:id="rId2" xr:uid="{00000000-0004-0000-0A00-000001000000}"/>
    <hyperlink ref="B11" r:id="rId3" xr:uid="{00000000-0004-0000-0A00-000002000000}"/>
    <hyperlink ref="B14" r:id="rId4" xr:uid="{00000000-0004-0000-0A00-000003000000}"/>
    <hyperlink ref="B9" r:id="rId5" xr:uid="{00000000-0004-0000-0A00-000004000000}"/>
    <hyperlink ref="B15" r:id="rId6" xr:uid="{00000000-0004-0000-0A00-000005000000}"/>
    <hyperlink ref="B17" r:id="rId7" display="Netflix" xr:uid="{00000000-0004-0000-0A00-000006000000}"/>
    <hyperlink ref="B19" r:id="rId8" xr:uid="{00000000-0004-0000-0A00-000007000000}"/>
    <hyperlink ref="B12" r:id="rId9" xr:uid="{00000000-0004-0000-0A00-000008000000}"/>
    <hyperlink ref="B18" r:id="rId10" xr:uid="{00000000-0004-0000-0A00-000009000000}"/>
    <hyperlink ref="B8" r:id="rId11" xr:uid="{00000000-0004-0000-0A00-00000A000000}"/>
    <hyperlink ref="B16" r:id="rId12" display="Groupon" xr:uid="{00000000-0004-0000-0A00-00000B000000}"/>
  </hyperlinks>
  <pageMargins left="0.7" right="0.7" top="0.75" bottom="0.75" header="0.3" footer="0.3"/>
  <pageSetup orientation="portrait" r:id="rId13"/>
  <drawing r:id="rId14"/>
  <legacyDrawing r:id="rId1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1:AD29"/>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0" customWidth="1"/>
    <col min="3" max="10" width="8.77734375" hidden="1" customWidth="1" outlineLevel="1"/>
    <col min="11" max="11" width="8.77734375" collapsed="1"/>
    <col min="14" max="14" width="10.21875" bestFit="1" customWidth="1"/>
    <col min="15" max="22" width="10.21875" customWidth="1"/>
    <col min="29" max="29" width="11.21875" customWidth="1"/>
  </cols>
  <sheetData>
    <row r="1" spans="1:30">
      <c r="A1" s="67"/>
      <c r="B1" s="67"/>
    </row>
    <row r="2" spans="1:30" ht="17.399999999999999">
      <c r="A2" s="67"/>
      <c r="B2" s="68" t="str">
        <f>'Charts for slides'!B2</f>
        <v>Quarterly Market Update for the quarter ended December 31, 2021</v>
      </c>
      <c r="C2" s="104"/>
      <c r="D2" s="104"/>
    </row>
    <row r="3" spans="1:30">
      <c r="A3" s="67"/>
      <c r="B3" s="1508" t="str">
        <f>Introduction!$B$2</f>
        <v>Sample template as of March 2022</v>
      </c>
      <c r="C3" s="104"/>
      <c r="D3" s="104"/>
    </row>
    <row r="4" spans="1:30" ht="13.8">
      <c r="A4" s="67"/>
      <c r="B4" s="38" t="s">
        <v>58</v>
      </c>
      <c r="C4" s="104"/>
      <c r="D4" s="104"/>
    </row>
    <row r="5" spans="1:30">
      <c r="R5" s="1879"/>
    </row>
    <row r="6" spans="1:30">
      <c r="B6" s="41" t="s">
        <v>75</v>
      </c>
      <c r="C6" t="s">
        <v>308</v>
      </c>
      <c r="G6" t="s">
        <v>308</v>
      </c>
      <c r="K6" t="s">
        <v>308</v>
      </c>
      <c r="R6" s="1880"/>
      <c r="W6" s="25" t="s">
        <v>334</v>
      </c>
      <c r="X6" s="25" t="s">
        <v>459</v>
      </c>
      <c r="Y6" s="25" t="s">
        <v>334</v>
      </c>
    </row>
    <row r="7" spans="1:30" ht="13.8">
      <c r="B7" s="47" t="s">
        <v>60</v>
      </c>
      <c r="C7" s="583" t="s">
        <v>126</v>
      </c>
      <c r="D7" s="584" t="s">
        <v>127</v>
      </c>
      <c r="E7" s="584" t="s">
        <v>128</v>
      </c>
      <c r="F7" s="585" t="s">
        <v>129</v>
      </c>
      <c r="G7" s="583" t="s">
        <v>130</v>
      </c>
      <c r="H7" s="584" t="s">
        <v>131</v>
      </c>
      <c r="I7" s="584" t="s">
        <v>132</v>
      </c>
      <c r="J7" s="589" t="s">
        <v>133</v>
      </c>
      <c r="K7" s="588" t="s">
        <v>134</v>
      </c>
      <c r="L7" s="584" t="s">
        <v>135</v>
      </c>
      <c r="M7" s="584" t="s">
        <v>136</v>
      </c>
      <c r="N7" s="589" t="s">
        <v>137</v>
      </c>
      <c r="O7" s="588" t="s">
        <v>138</v>
      </c>
      <c r="P7" s="584" t="s">
        <v>139</v>
      </c>
      <c r="Q7" s="584" t="s">
        <v>140</v>
      </c>
      <c r="R7" s="589" t="s">
        <v>141</v>
      </c>
      <c r="S7" s="588" t="s">
        <v>142</v>
      </c>
      <c r="T7" s="584" t="s">
        <v>143</v>
      </c>
      <c r="U7" s="584" t="s">
        <v>144</v>
      </c>
      <c r="V7" s="589" t="s">
        <v>145</v>
      </c>
      <c r="W7" s="402" t="s">
        <v>307</v>
      </c>
      <c r="X7" s="402" t="s">
        <v>460</v>
      </c>
      <c r="Y7" s="402" t="s">
        <v>350</v>
      </c>
      <c r="AC7" s="14" t="s">
        <v>591</v>
      </c>
      <c r="AD7" s="550" t="s">
        <v>538</v>
      </c>
    </row>
    <row r="8" spans="1:30" ht="16.95" customHeight="1">
      <c r="B8" s="61" t="s">
        <v>13</v>
      </c>
      <c r="C8" s="53">
        <v>142</v>
      </c>
      <c r="D8" s="53">
        <v>162.69999999999999</v>
      </c>
      <c r="E8" s="53">
        <v>168.89</v>
      </c>
      <c r="F8" s="52">
        <v>162.98699999999999</v>
      </c>
      <c r="G8" s="53">
        <v>170.3</v>
      </c>
      <c r="H8" s="53">
        <v>184.67</v>
      </c>
      <c r="I8" s="53">
        <v>185.1</v>
      </c>
      <c r="J8" s="538">
        <v>126.5</v>
      </c>
      <c r="K8" s="537"/>
      <c r="L8" s="53"/>
      <c r="M8" s="53"/>
      <c r="N8" s="931"/>
      <c r="O8" s="537"/>
      <c r="P8" s="53"/>
      <c r="Q8" s="53"/>
      <c r="R8" s="931"/>
      <c r="S8" s="537"/>
      <c r="T8" s="53"/>
      <c r="U8" s="53"/>
      <c r="V8" s="738"/>
      <c r="W8" s="723" t="e">
        <f t="shared" ref="W8:W18" si="0">U8/Q8-1</f>
        <v>#DIV/0!</v>
      </c>
      <c r="X8" s="724">
        <f t="shared" ref="X8:X18" si="1">U8-Q8</f>
        <v>0</v>
      </c>
      <c r="Y8" s="1509" t="e">
        <f t="shared" ref="Y8:Y18" si="2">U8/T8-1</f>
        <v>#DIV/0!</v>
      </c>
      <c r="Z8" s="551" t="s">
        <v>443</v>
      </c>
      <c r="AC8" s="1054">
        <f>SUM(O8:R8)</f>
        <v>0</v>
      </c>
      <c r="AD8" s="332" t="e">
        <f t="shared" ref="AD8:AD18" si="3">SUM(O8:R8)/SUM(K8:P8)-1</f>
        <v>#DIV/0!</v>
      </c>
    </row>
    <row r="9" spans="1:30" ht="16.95" customHeight="1">
      <c r="B9" s="61" t="s">
        <v>12</v>
      </c>
      <c r="C9" s="53">
        <v>134.4208089937176</v>
      </c>
      <c r="D9" s="53">
        <v>177.48673365699443</v>
      </c>
      <c r="E9" s="53">
        <v>177.99352750809061</v>
      </c>
      <c r="F9" s="52">
        <v>142.84120075884388</v>
      </c>
      <c r="G9" s="53">
        <v>151.14048177360905</v>
      </c>
      <c r="H9" s="53">
        <v>158.89807162534436</v>
      </c>
      <c r="I9" s="53">
        <v>130.56136230182031</v>
      </c>
      <c r="J9" s="538">
        <v>138.00824014125956</v>
      </c>
      <c r="K9" s="537"/>
      <c r="L9" s="53"/>
      <c r="M9" s="53"/>
      <c r="N9" s="931"/>
      <c r="O9" s="537"/>
      <c r="P9" s="53"/>
      <c r="Q9" s="53"/>
      <c r="R9" s="931"/>
      <c r="S9" s="537"/>
      <c r="T9" s="53"/>
      <c r="U9" s="53"/>
      <c r="V9" s="738"/>
      <c r="W9" s="723" t="e">
        <f t="shared" si="0"/>
        <v>#DIV/0!</v>
      </c>
      <c r="X9" s="724">
        <f t="shared" si="1"/>
        <v>0</v>
      </c>
      <c r="Y9" s="1509" t="e">
        <f t="shared" si="2"/>
        <v>#DIV/0!</v>
      </c>
      <c r="Z9" s="551" t="s">
        <v>443</v>
      </c>
      <c r="AC9" s="1054">
        <f t="shared" ref="AC9:AC18" si="4">SUM(O9:R9)</f>
        <v>0</v>
      </c>
      <c r="AD9" s="332" t="e">
        <f t="shared" si="3"/>
        <v>#DIV/0!</v>
      </c>
    </row>
    <row r="10" spans="1:30" ht="16.95" customHeight="1">
      <c r="B10" s="61" t="s">
        <v>11</v>
      </c>
      <c r="C10" s="53">
        <v>640.70000000000005</v>
      </c>
      <c r="D10" s="53">
        <v>670.6</v>
      </c>
      <c r="E10" s="53">
        <v>716.2</v>
      </c>
      <c r="F10" s="52">
        <v>621.15</v>
      </c>
      <c r="G10" s="53">
        <v>707</v>
      </c>
      <c r="H10" s="53">
        <v>728.7</v>
      </c>
      <c r="I10" s="53">
        <v>744</v>
      </c>
      <c r="J10" s="538">
        <v>646</v>
      </c>
      <c r="K10" s="537"/>
      <c r="L10" s="53"/>
      <c r="M10" s="53"/>
      <c r="N10" s="931"/>
      <c r="O10" s="537"/>
      <c r="P10" s="53"/>
      <c r="Q10" s="53"/>
      <c r="R10" s="931"/>
      <c r="S10" s="537"/>
      <c r="T10" s="53"/>
      <c r="U10" s="53"/>
      <c r="V10" s="738"/>
      <c r="W10" s="723" t="e">
        <f t="shared" si="0"/>
        <v>#DIV/0!</v>
      </c>
      <c r="X10" s="724">
        <f t="shared" si="1"/>
        <v>0</v>
      </c>
      <c r="Y10" s="1509" t="e">
        <f t="shared" si="2"/>
        <v>#DIV/0!</v>
      </c>
      <c r="Z10" s="551" t="s">
        <v>443</v>
      </c>
      <c r="AC10" s="1054">
        <f t="shared" si="4"/>
        <v>0</v>
      </c>
      <c r="AD10" s="332" t="e">
        <f t="shared" si="3"/>
        <v>#DIV/0!</v>
      </c>
    </row>
    <row r="11" spans="1:30" ht="16.95" customHeight="1">
      <c r="B11" s="61" t="s">
        <v>10</v>
      </c>
      <c r="C11" s="53">
        <v>4718.6643350033082</v>
      </c>
      <c r="D11" s="53">
        <v>4897.2961133149993</v>
      </c>
      <c r="E11" s="53">
        <v>4343.439083912147</v>
      </c>
      <c r="F11" s="52">
        <v>5279.6650426982178</v>
      </c>
      <c r="G11" s="53">
        <v>3907.589871204224</v>
      </c>
      <c r="H11" s="53">
        <v>4188.1060924728008</v>
      </c>
      <c r="I11" s="53">
        <v>4348.5738151978967</v>
      </c>
      <c r="J11" s="538">
        <v>4350.9092438792813</v>
      </c>
      <c r="K11" s="537"/>
      <c r="L11" s="53"/>
      <c r="M11" s="53"/>
      <c r="N11" s="931"/>
      <c r="O11" s="537"/>
      <c r="P11" s="53"/>
      <c r="Q11" s="53"/>
      <c r="R11" s="931"/>
      <c r="S11" s="537"/>
      <c r="T11" s="53"/>
      <c r="U11" s="53"/>
      <c r="V11" s="738"/>
      <c r="W11" s="723" t="e">
        <f t="shared" si="0"/>
        <v>#DIV/0!</v>
      </c>
      <c r="X11" s="724">
        <f t="shared" si="1"/>
        <v>0</v>
      </c>
      <c r="Y11" s="1509" t="e">
        <f t="shared" si="2"/>
        <v>#DIV/0!</v>
      </c>
      <c r="Z11" s="551" t="s">
        <v>439</v>
      </c>
      <c r="AA11" s="51"/>
      <c r="AC11" s="1054">
        <f t="shared" si="4"/>
        <v>0</v>
      </c>
      <c r="AD11" s="332" t="e">
        <f t="shared" si="3"/>
        <v>#DIV/0!</v>
      </c>
    </row>
    <row r="12" spans="1:30" ht="16.95" customHeight="1">
      <c r="B12" s="342" t="s">
        <v>556</v>
      </c>
      <c r="C12" s="1144">
        <v>432.70834832506199</v>
      </c>
      <c r="D12" s="1144">
        <v>740.89373899697603</v>
      </c>
      <c r="E12" s="1144">
        <v>641.40661168178701</v>
      </c>
      <c r="F12" s="52">
        <v>773.41915022324599</v>
      </c>
      <c r="G12" s="1144">
        <v>511.63528881915403</v>
      </c>
      <c r="H12" s="1144">
        <v>914.50356673992906</v>
      </c>
      <c r="I12" s="1144">
        <v>798.82556175131106</v>
      </c>
      <c r="J12" s="538">
        <v>925.25959454682402</v>
      </c>
      <c r="K12" s="537"/>
      <c r="L12" s="1144"/>
      <c r="M12" s="1144"/>
      <c r="N12" s="931"/>
      <c r="O12" s="390"/>
      <c r="P12" s="391"/>
      <c r="Q12" s="391"/>
      <c r="R12" s="1005"/>
      <c r="S12" s="537"/>
      <c r="T12" s="53"/>
      <c r="U12" s="53"/>
      <c r="V12" s="738"/>
      <c r="W12" s="723" t="e">
        <f t="shared" si="0"/>
        <v>#DIV/0!</v>
      </c>
      <c r="X12" s="724">
        <f t="shared" si="1"/>
        <v>0</v>
      </c>
      <c r="Y12" s="1509" t="e">
        <f t="shared" si="2"/>
        <v>#DIV/0!</v>
      </c>
      <c r="Z12" s="551"/>
      <c r="AA12" s="51"/>
      <c r="AC12" s="1054">
        <f t="shared" si="4"/>
        <v>0</v>
      </c>
      <c r="AD12" s="332" t="e">
        <f t="shared" si="3"/>
        <v>#DIV/0!</v>
      </c>
    </row>
    <row r="13" spans="1:30" ht="16.95" customHeight="1">
      <c r="B13" s="61" t="s">
        <v>57</v>
      </c>
      <c r="C13" s="53">
        <v>1496.609623616569</v>
      </c>
      <c r="D13" s="53">
        <v>875.02850331194577</v>
      </c>
      <c r="E13" s="53">
        <v>1156.6814964176087</v>
      </c>
      <c r="F13" s="52">
        <v>1143.5999539269083</v>
      </c>
      <c r="G13" s="53">
        <v>1436.2198622778747</v>
      </c>
      <c r="H13" s="53">
        <v>884.18681797084969</v>
      </c>
      <c r="I13" s="53">
        <v>1009.1053740267089</v>
      </c>
      <c r="J13" s="538">
        <v>913.32048247416833</v>
      </c>
      <c r="K13" s="537"/>
      <c r="L13" s="53"/>
      <c r="M13" s="53"/>
      <c r="N13" s="931"/>
      <c r="O13" s="537"/>
      <c r="P13" s="53"/>
      <c r="Q13" s="53"/>
      <c r="R13" s="931"/>
      <c r="S13" s="537"/>
      <c r="T13" s="53"/>
      <c r="U13" s="53"/>
      <c r="V13" s="738"/>
      <c r="W13" s="723" t="e">
        <f t="shared" si="0"/>
        <v>#DIV/0!</v>
      </c>
      <c r="X13" s="724">
        <f t="shared" si="1"/>
        <v>0</v>
      </c>
      <c r="Y13" s="1509" t="e">
        <f t="shared" si="2"/>
        <v>#DIV/0!</v>
      </c>
      <c r="Z13" s="551" t="s">
        <v>442</v>
      </c>
      <c r="AA13" s="51"/>
      <c r="AC13" s="1054">
        <f t="shared" si="4"/>
        <v>0</v>
      </c>
      <c r="AD13" s="332" t="e">
        <f t="shared" si="3"/>
        <v>#DIV/0!</v>
      </c>
    </row>
    <row r="14" spans="1:30" ht="16.95" customHeight="1">
      <c r="B14" s="342" t="s">
        <v>498</v>
      </c>
      <c r="C14" s="53">
        <v>12552.496647438928</v>
      </c>
      <c r="D14" s="53">
        <v>14434.173449429994</v>
      </c>
      <c r="E14" s="53">
        <v>12953.178688801727</v>
      </c>
      <c r="F14" s="52">
        <v>11956.780328124671</v>
      </c>
      <c r="G14" s="79">
        <v>13180.121479810874</v>
      </c>
      <c r="H14" s="79">
        <v>12344.584048529698</v>
      </c>
      <c r="I14" s="79">
        <v>10500</v>
      </c>
      <c r="J14" s="415">
        <v>19016.557671837065</v>
      </c>
      <c r="K14" s="390"/>
      <c r="L14" s="1004"/>
      <c r="M14" s="79"/>
      <c r="N14" s="1005"/>
      <c r="O14" s="390"/>
      <c r="P14" s="1004"/>
      <c r="Q14" s="1004"/>
      <c r="R14" s="1005"/>
      <c r="S14" s="390"/>
      <c r="T14" s="1004"/>
      <c r="U14" s="1004"/>
      <c r="V14" s="738"/>
      <c r="W14" s="723" t="e">
        <f t="shared" si="0"/>
        <v>#DIV/0!</v>
      </c>
      <c r="X14" s="724">
        <f t="shared" si="1"/>
        <v>0</v>
      </c>
      <c r="Y14" s="1509" t="e">
        <f t="shared" si="2"/>
        <v>#DIV/0!</v>
      </c>
      <c r="Z14" s="551" t="s">
        <v>444</v>
      </c>
      <c r="AA14" s="51"/>
      <c r="AC14" s="1054">
        <f t="shared" si="4"/>
        <v>0</v>
      </c>
      <c r="AD14" s="332" t="e">
        <f t="shared" si="3"/>
        <v>#DIV/0!</v>
      </c>
    </row>
    <row r="15" spans="1:30" ht="16.95" customHeight="1">
      <c r="B15" s="61" t="s">
        <v>7</v>
      </c>
      <c r="C15" s="53">
        <v>216.1</v>
      </c>
      <c r="D15" s="53">
        <v>227.6</v>
      </c>
      <c r="E15" s="53">
        <v>156.19999999999999</v>
      </c>
      <c r="F15" s="52">
        <v>151.4</v>
      </c>
      <c r="G15" s="53">
        <v>147.1</v>
      </c>
      <c r="H15" s="53">
        <v>143.4</v>
      </c>
      <c r="I15" s="53">
        <v>159.57900000000001</v>
      </c>
      <c r="J15" s="538">
        <v>160.54300000000001</v>
      </c>
      <c r="K15" s="537"/>
      <c r="L15" s="53"/>
      <c r="M15" s="53"/>
      <c r="N15" s="931"/>
      <c r="O15" s="537"/>
      <c r="P15" s="53"/>
      <c r="Q15" s="53"/>
      <c r="R15" s="931"/>
      <c r="S15" s="537"/>
      <c r="T15" s="53"/>
      <c r="U15" s="53"/>
      <c r="V15" s="738"/>
      <c r="W15" s="723" t="e">
        <f t="shared" si="0"/>
        <v>#DIV/0!</v>
      </c>
      <c r="X15" s="724">
        <f t="shared" si="1"/>
        <v>0</v>
      </c>
      <c r="Y15" s="1509" t="e">
        <f t="shared" si="2"/>
        <v>#DIV/0!</v>
      </c>
      <c r="Z15" s="551" t="s">
        <v>443</v>
      </c>
      <c r="AA15" s="51"/>
      <c r="AC15" s="1054">
        <f t="shared" si="4"/>
        <v>0</v>
      </c>
      <c r="AD15" s="332" t="e">
        <f t="shared" si="3"/>
        <v>#DIV/0!</v>
      </c>
    </row>
    <row r="16" spans="1:30" ht="16.95" customHeight="1">
      <c r="B16" s="61" t="s">
        <v>186</v>
      </c>
      <c r="C16" s="53">
        <v>5710.3493882949406</v>
      </c>
      <c r="D16" s="53">
        <v>5895.9015467991412</v>
      </c>
      <c r="E16" s="53">
        <v>5939.0693003013057</v>
      </c>
      <c r="F16" s="52">
        <v>6543.3962264150941</v>
      </c>
      <c r="G16" s="53">
        <v>5224.8987422724367</v>
      </c>
      <c r="H16" s="53">
        <v>5477.6859504132235</v>
      </c>
      <c r="I16" s="53">
        <v>5664.1221374045799</v>
      </c>
      <c r="J16" s="538">
        <v>6859.3290170688642</v>
      </c>
      <c r="K16" s="537"/>
      <c r="L16" s="53"/>
      <c r="M16" s="53"/>
      <c r="N16" s="931"/>
      <c r="O16" s="537"/>
      <c r="P16" s="53"/>
      <c r="Q16" s="53"/>
      <c r="R16" s="931"/>
      <c r="S16" s="537"/>
      <c r="T16" s="53"/>
      <c r="U16" s="53"/>
      <c r="V16" s="738"/>
      <c r="W16" s="723" t="e">
        <f t="shared" si="0"/>
        <v>#DIV/0!</v>
      </c>
      <c r="X16" s="724">
        <f t="shared" si="1"/>
        <v>0</v>
      </c>
      <c r="Y16" s="1509" t="e">
        <f t="shared" si="2"/>
        <v>#DIV/0!</v>
      </c>
      <c r="Z16" s="551" t="s">
        <v>440</v>
      </c>
      <c r="AA16" s="51"/>
      <c r="AC16" s="1054">
        <f t="shared" si="4"/>
        <v>0</v>
      </c>
      <c r="AD16" s="332" t="e">
        <f t="shared" si="3"/>
        <v>#DIV/0!</v>
      </c>
    </row>
    <row r="17" spans="2:30" ht="16.95" customHeight="1">
      <c r="B17" s="61" t="s">
        <v>6</v>
      </c>
      <c r="C17" s="53">
        <v>1935.9545976942518</v>
      </c>
      <c r="D17" s="53">
        <v>2460.592533792676</v>
      </c>
      <c r="E17" s="53">
        <v>2149.5316670546604</v>
      </c>
      <c r="F17" s="52">
        <v>2614.2779437165818</v>
      </c>
      <c r="G17" s="1006">
        <v>2108.3216366807028</v>
      </c>
      <c r="H17" s="79">
        <v>2600.8320133362545</v>
      </c>
      <c r="I17" s="79">
        <v>1983.5879673460004</v>
      </c>
      <c r="J17" s="415">
        <v>2751.7954377112919</v>
      </c>
      <c r="K17" s="390"/>
      <c r="L17" s="1004"/>
      <c r="M17" s="79"/>
      <c r="N17" s="1005"/>
      <c r="O17" s="390"/>
      <c r="P17" s="53"/>
      <c r="Q17" s="53"/>
      <c r="R17" s="931"/>
      <c r="S17" s="390"/>
      <c r="T17" s="53"/>
      <c r="U17" s="53"/>
      <c r="V17" s="738"/>
      <c r="W17" s="723" t="e">
        <f t="shared" si="0"/>
        <v>#DIV/0!</v>
      </c>
      <c r="X17" s="724">
        <f t="shared" si="1"/>
        <v>0</v>
      </c>
      <c r="Y17" s="1509" t="e">
        <f t="shared" si="2"/>
        <v>#DIV/0!</v>
      </c>
      <c r="Z17" s="551" t="s">
        <v>441</v>
      </c>
      <c r="AA17" s="51"/>
      <c r="AC17" s="1054">
        <f t="shared" si="4"/>
        <v>0</v>
      </c>
      <c r="AD17" s="332" t="e">
        <f t="shared" si="3"/>
        <v>#DIV/0!</v>
      </c>
    </row>
    <row r="18" spans="2:30" ht="16.95" customHeight="1">
      <c r="B18" s="61" t="s">
        <v>19</v>
      </c>
      <c r="C18" s="54">
        <f t="shared" ref="C18:N18" si="5">SUM(C8:C17)</f>
        <v>27980.003749366777</v>
      </c>
      <c r="D18" s="54">
        <f t="shared" si="5"/>
        <v>30542.272619302727</v>
      </c>
      <c r="E18" s="54">
        <f t="shared" si="5"/>
        <v>28402.590375677326</v>
      </c>
      <c r="F18" s="55">
        <f t="shared" si="5"/>
        <v>29389.516845863564</v>
      </c>
      <c r="G18" s="54">
        <f t="shared" si="5"/>
        <v>27544.327362838878</v>
      </c>
      <c r="H18" s="54">
        <f t="shared" si="5"/>
        <v>27625.566561088101</v>
      </c>
      <c r="I18" s="54">
        <f t="shared" si="5"/>
        <v>25523.455218028321</v>
      </c>
      <c r="J18" s="416">
        <f t="shared" si="5"/>
        <v>35888.222687658759</v>
      </c>
      <c r="K18" s="54">
        <f t="shared" si="5"/>
        <v>0</v>
      </c>
      <c r="L18" s="54">
        <f t="shared" si="5"/>
        <v>0</v>
      </c>
      <c r="M18" s="54">
        <f t="shared" si="5"/>
        <v>0</v>
      </c>
      <c r="N18" s="416">
        <f t="shared" si="5"/>
        <v>0</v>
      </c>
      <c r="O18" s="54">
        <f t="shared" ref="O18" si="6">SUM(O8:O17)</f>
        <v>0</v>
      </c>
      <c r="P18" s="54">
        <f t="shared" ref="P18:U18" si="7">SUM(P8:P17)</f>
        <v>0</v>
      </c>
      <c r="Q18" s="54">
        <f t="shared" si="7"/>
        <v>0</v>
      </c>
      <c r="R18" s="416">
        <f t="shared" si="7"/>
        <v>0</v>
      </c>
      <c r="S18" s="54">
        <f t="shared" si="7"/>
        <v>0</v>
      </c>
      <c r="T18" s="54">
        <f t="shared" si="7"/>
        <v>0</v>
      </c>
      <c r="U18" s="54">
        <f t="shared" si="7"/>
        <v>0</v>
      </c>
      <c r="V18" s="416"/>
      <c r="W18" s="723" t="e">
        <f t="shared" si="0"/>
        <v>#DIV/0!</v>
      </c>
      <c r="X18" s="724">
        <f t="shared" si="1"/>
        <v>0</v>
      </c>
      <c r="Y18" s="1509" t="e">
        <f t="shared" si="2"/>
        <v>#DIV/0!</v>
      </c>
      <c r="AC18" s="1054">
        <f t="shared" si="4"/>
        <v>0</v>
      </c>
      <c r="AD18" s="332" t="e">
        <f t="shared" si="3"/>
        <v>#DIV/0!</v>
      </c>
    </row>
    <row r="19" spans="2:30" ht="20.25" customHeight="1">
      <c r="B19" s="1135" t="s">
        <v>94</v>
      </c>
      <c r="C19" s="49">
        <v>0.18958462729105063</v>
      </c>
      <c r="D19" s="49">
        <v>0.19365517840729307</v>
      </c>
      <c r="E19" s="49">
        <v>6.4108547547695016E-2</v>
      </c>
      <c r="F19" s="49">
        <v>7.2267716729409681E-2</v>
      </c>
      <c r="G19" s="49">
        <f t="shared" ref="G19:S19" si="8">G18/C18-1</f>
        <v>-1.5570990998804213E-2</v>
      </c>
      <c r="H19" s="49">
        <f t="shared" si="8"/>
        <v>-9.5497348693406203E-2</v>
      </c>
      <c r="I19" s="49">
        <f t="shared" si="8"/>
        <v>-0.10136875262316092</v>
      </c>
      <c r="J19" s="49">
        <f t="shared" si="8"/>
        <v>0.22112326228016421</v>
      </c>
      <c r="K19" s="49">
        <f t="shared" si="8"/>
        <v>-1</v>
      </c>
      <c r="L19" s="49">
        <f t="shared" si="8"/>
        <v>-1</v>
      </c>
      <c r="M19" s="49">
        <f t="shared" si="8"/>
        <v>-1</v>
      </c>
      <c r="N19" s="49">
        <f t="shared" si="8"/>
        <v>-1</v>
      </c>
      <c r="O19" s="49" t="e">
        <f t="shared" si="8"/>
        <v>#DIV/0!</v>
      </c>
      <c r="P19" s="49" t="e">
        <f t="shared" si="8"/>
        <v>#DIV/0!</v>
      </c>
      <c r="Q19" s="49" t="e">
        <f t="shared" si="8"/>
        <v>#DIV/0!</v>
      </c>
      <c r="R19" s="49" t="e">
        <f t="shared" si="8"/>
        <v>#DIV/0!</v>
      </c>
      <c r="S19" s="49" t="e">
        <f t="shared" si="8"/>
        <v>#DIV/0!</v>
      </c>
      <c r="T19" s="49" t="e">
        <f t="shared" ref="T19" si="9">T18/P18-1</f>
        <v>#DIV/0!</v>
      </c>
      <c r="U19" s="49" t="e">
        <f t="shared" ref="U19" si="10">U18/Q18-1</f>
        <v>#DIV/0!</v>
      </c>
      <c r="V19" s="49" t="e">
        <f t="shared" ref="V19" si="11">V18/R18-1</f>
        <v>#DIV/0!</v>
      </c>
      <c r="W19" s="45"/>
      <c r="Z19" s="94"/>
    </row>
    <row r="20" spans="2:30" ht="20.25" customHeight="1">
      <c r="B20" s="45"/>
      <c r="C20" s="45"/>
      <c r="D20" s="45"/>
      <c r="E20" s="45"/>
      <c r="F20" s="42">
        <v>0.12712269448582858</v>
      </c>
      <c r="G20" s="45"/>
      <c r="H20" s="45"/>
      <c r="I20" s="45"/>
      <c r="J20" s="42">
        <f>SUM(G18:J18)/SUM(C18:F18)-1</f>
        <v>2.2971212257376639E-3</v>
      </c>
      <c r="K20" s="45"/>
      <c r="L20" s="45"/>
      <c r="M20" s="45"/>
      <c r="N20" s="42">
        <f>SUM(K18:P18)/SUM(G18:J18)-1</f>
        <v>-1</v>
      </c>
      <c r="O20" s="45"/>
      <c r="P20" s="45"/>
      <c r="Q20" s="49"/>
      <c r="R20" s="42"/>
      <c r="S20" s="42"/>
      <c r="T20" s="45"/>
      <c r="U20" s="49"/>
      <c r="V20" s="42"/>
      <c r="W20" s="45"/>
      <c r="X20" s="1121"/>
      <c r="Y20" s="1120"/>
      <c r="Z20" s="94"/>
    </row>
    <row r="21" spans="2:30">
      <c r="C21" s="332">
        <v>8.6214367395598845E-2</v>
      </c>
      <c r="D21" s="332">
        <v>7.7865454683843094E-2</v>
      </c>
      <c r="E21" s="332">
        <v>5.2052798938796663E-2</v>
      </c>
      <c r="F21" s="332">
        <v>1.1803673743228771E-2</v>
      </c>
      <c r="G21" s="332">
        <f t="shared" ref="G21:L21" si="12">(G18-G17-G14)/(C18-C17-C14)-1</f>
        <v>-9.1588292562960971E-2</v>
      </c>
      <c r="H21" s="332">
        <f t="shared" si="12"/>
        <v>-7.088152896005917E-2</v>
      </c>
      <c r="I21" s="332">
        <f t="shared" si="12"/>
        <v>-1.9550008627981508E-2</v>
      </c>
      <c r="J21" s="332">
        <f t="shared" si="12"/>
        <v>-4.71431621866919E-2</v>
      </c>
      <c r="K21" s="332">
        <f t="shared" si="12"/>
        <v>-1</v>
      </c>
      <c r="L21" s="332">
        <f t="shared" si="12"/>
        <v>-1</v>
      </c>
      <c r="M21" s="332">
        <f>(M18-M17-M14)/(I18-I17-I14)-1</f>
        <v>-1</v>
      </c>
      <c r="N21" s="332">
        <f>(N18-N17-N14)/(J18-J17-J14)-1</f>
        <v>-1</v>
      </c>
      <c r="O21" s="341" t="e">
        <f>(O18-O17-O14)/(K18-K17-K14)-1</f>
        <v>#DIV/0!</v>
      </c>
      <c r="P21" s="332" t="e">
        <f t="shared" ref="P21:U21" si="13">(P18-P17-P14)/(L18-L17-L14)-1</f>
        <v>#DIV/0!</v>
      </c>
      <c r="Q21" s="332" t="e">
        <f t="shared" si="13"/>
        <v>#DIV/0!</v>
      </c>
      <c r="R21" s="332" t="e">
        <f>(R18-R17-R14)/(N18-N17-N14)-1</f>
        <v>#DIV/0!</v>
      </c>
      <c r="S21" s="332" t="e">
        <f t="shared" si="13"/>
        <v>#DIV/0!</v>
      </c>
      <c r="T21" s="332" t="e">
        <f t="shared" si="13"/>
        <v>#DIV/0!</v>
      </c>
      <c r="U21" s="332" t="e">
        <f t="shared" si="13"/>
        <v>#DIV/0!</v>
      </c>
      <c r="V21" s="14" t="s">
        <v>418</v>
      </c>
      <c r="X21" s="1237" t="s">
        <v>592</v>
      </c>
      <c r="Y21" s="1120"/>
    </row>
    <row r="22" spans="2:30" ht="13.8">
      <c r="B22" s="51"/>
      <c r="C22" s="332">
        <v>0.30119518777574683</v>
      </c>
      <c r="D22" s="332">
        <v>0.300433102470685</v>
      </c>
      <c r="E22" s="332">
        <v>7.4428089986906532E-2</v>
      </c>
      <c r="F22" s="332">
        <v>0.13780695397414156</v>
      </c>
      <c r="G22" s="332">
        <f t="shared" ref="G22:M22" si="14">(G17+G14)/(C17+C14)-1</f>
        <v>5.5215830720838577E-2</v>
      </c>
      <c r="H22" s="332">
        <f t="shared" si="14"/>
        <v>-0.11538188355449963</v>
      </c>
      <c r="I22" s="332">
        <f t="shared" si="14"/>
        <v>-0.17342068587674186</v>
      </c>
      <c r="J22" s="332">
        <f t="shared" si="14"/>
        <v>0.49394455113915536</v>
      </c>
      <c r="K22" s="332">
        <f t="shared" si="14"/>
        <v>-1</v>
      </c>
      <c r="L22" s="332">
        <f t="shared" si="14"/>
        <v>-1</v>
      </c>
      <c r="M22" s="332">
        <f t="shared" si="14"/>
        <v>-1</v>
      </c>
      <c r="N22" s="332">
        <f>(N17+N14)/(J17+J14)-1</f>
        <v>-1</v>
      </c>
      <c r="O22" s="332" t="e">
        <f>(O17+O14)/(K17+K14)-1</f>
        <v>#DIV/0!</v>
      </c>
      <c r="P22" s="332" t="e">
        <f t="shared" ref="P22:U22" si="15">(P17+P14)/(L17+L14)-1</f>
        <v>#DIV/0!</v>
      </c>
      <c r="Q22" s="332" t="e">
        <f t="shared" si="15"/>
        <v>#DIV/0!</v>
      </c>
      <c r="R22" s="332" t="e">
        <f>(R17+R14)/(N17+N14)-1</f>
        <v>#DIV/0!</v>
      </c>
      <c r="S22" s="332" t="e">
        <f t="shared" si="15"/>
        <v>#DIV/0!</v>
      </c>
      <c r="T22" s="332" t="e">
        <f t="shared" si="15"/>
        <v>#DIV/0!</v>
      </c>
      <c r="U22" s="332" t="e">
        <f t="shared" si="15"/>
        <v>#DIV/0!</v>
      </c>
      <c r="V22" s="14" t="s">
        <v>417</v>
      </c>
      <c r="X22" s="1237" t="s">
        <v>593</v>
      </c>
      <c r="Y22" s="1120"/>
    </row>
    <row r="23" spans="2:30" ht="15.6">
      <c r="C23" s="599">
        <f t="shared" ref="C23:M23" si="16">C18-C17-C14</f>
        <v>13491.552504233596</v>
      </c>
      <c r="D23" s="599">
        <f t="shared" si="16"/>
        <v>13647.506636080057</v>
      </c>
      <c r="E23" s="599">
        <f t="shared" si="16"/>
        <v>13299.880019820939</v>
      </c>
      <c r="F23" s="599">
        <f t="shared" si="16"/>
        <v>14818.458574022312</v>
      </c>
      <c r="G23" s="599">
        <f t="shared" si="16"/>
        <v>12255.884246347301</v>
      </c>
      <c r="H23" s="599">
        <f t="shared" si="16"/>
        <v>12680.150499222149</v>
      </c>
      <c r="I23" s="599">
        <f>I18-I17-I14</f>
        <v>13039.86725068232</v>
      </c>
      <c r="J23" s="599">
        <f t="shared" si="16"/>
        <v>14119.869578110403</v>
      </c>
      <c r="K23" s="599">
        <f t="shared" si="16"/>
        <v>0</v>
      </c>
      <c r="L23" s="599">
        <f t="shared" si="16"/>
        <v>0</v>
      </c>
      <c r="M23" s="599">
        <f t="shared" si="16"/>
        <v>0</v>
      </c>
      <c r="N23" s="599">
        <f t="shared" ref="N23:P23" si="17">N18-N17-N14</f>
        <v>0</v>
      </c>
      <c r="O23" s="599">
        <f t="shared" si="17"/>
        <v>0</v>
      </c>
      <c r="P23" s="599">
        <f t="shared" si="17"/>
        <v>0</v>
      </c>
      <c r="Q23" s="599">
        <f t="shared" ref="Q23:R23" si="18">Q18-Q17-Q14</f>
        <v>0</v>
      </c>
      <c r="R23" s="599">
        <f t="shared" si="18"/>
        <v>0</v>
      </c>
      <c r="S23" s="599">
        <f>S18-S17-S14</f>
        <v>0</v>
      </c>
      <c r="T23" s="599">
        <f>T18-T17-T14</f>
        <v>0</v>
      </c>
      <c r="U23" s="599">
        <f>U18-U17-U14</f>
        <v>0</v>
      </c>
      <c r="V23" s="14" t="s">
        <v>418</v>
      </c>
      <c r="X23" s="1244" t="s">
        <v>594</v>
      </c>
      <c r="Y23" s="1120"/>
    </row>
    <row r="24" spans="2:30">
      <c r="C24" s="14"/>
      <c r="D24" s="14"/>
      <c r="E24" s="14"/>
      <c r="F24" s="599">
        <f>SUM(C23:F23)</f>
        <v>55257.397734156904</v>
      </c>
      <c r="G24" s="14"/>
      <c r="H24" s="14"/>
      <c r="I24" s="14"/>
      <c r="J24" s="599">
        <f>SUM(G23:J23)</f>
        <v>52095.771574362174</v>
      </c>
      <c r="N24" s="599">
        <f>SUM(K23:N23)</f>
        <v>0</v>
      </c>
      <c r="R24" s="599">
        <f>SUM(O23:R23)</f>
        <v>0</v>
      </c>
      <c r="X24" s="1121"/>
      <c r="Y24" s="1120"/>
    </row>
    <row r="25" spans="2:30">
      <c r="C25" s="14"/>
      <c r="D25" s="14"/>
      <c r="E25" s="14"/>
      <c r="F25" s="341">
        <v>5.5283119779967027E-2</v>
      </c>
      <c r="G25" s="14"/>
      <c r="H25" s="14"/>
      <c r="I25" s="14"/>
      <c r="J25" s="341">
        <f>J24/F24-1</f>
        <v>-5.7216341873450149E-2</v>
      </c>
      <c r="N25" s="341">
        <f>N24/J24-1</f>
        <v>-1</v>
      </c>
      <c r="O25" s="341"/>
      <c r="R25" s="341" t="e">
        <f>R24/N24-1</f>
        <v>#DIV/0!</v>
      </c>
      <c r="Y25" s="1120"/>
      <c r="Z25" s="1122"/>
    </row>
    <row r="26" spans="2:30">
      <c r="Y26" s="1120"/>
      <c r="Z26" s="1119"/>
    </row>
    <row r="27" spans="2:30">
      <c r="L27" s="94"/>
      <c r="O27" s="94"/>
      <c r="X27" s="1119"/>
      <c r="Y27" s="1120"/>
    </row>
    <row r="28" spans="2:30">
      <c r="X28" s="1119"/>
      <c r="Y28" s="1120"/>
    </row>
    <row r="29" spans="2:30">
      <c r="X29" s="1119"/>
      <c r="Y29" s="1120"/>
    </row>
  </sheetData>
  <mergeCells count="1">
    <mergeCell ref="R5:R6"/>
  </mergeCells>
  <conditionalFormatting sqref="F9:F11 F13:F16">
    <cfRule type="expression" dxfId="2" priority="7">
      <formula>F9=0</formula>
    </cfRule>
  </conditionalFormatting>
  <conditionalFormatting sqref="F17">
    <cfRule type="expression" dxfId="1" priority="6">
      <formula>F17=0</formula>
    </cfRule>
  </conditionalFormatting>
  <conditionalFormatting sqref="F8">
    <cfRule type="expression" dxfId="0" priority="5">
      <formula>F8=0</formula>
    </cfRule>
  </conditionalFormatting>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Z33"/>
  <sheetViews>
    <sheetView zoomScale="80" zoomScaleNormal="80" zoomScalePageLayoutView="80" workbookViewId="0">
      <pane xSplit="2" ySplit="7" topLeftCell="K8" activePane="bottomRight" state="frozen"/>
      <selection activeCell="L25" sqref="L25"/>
      <selection pane="topRight" activeCell="L25" sqref="L25"/>
      <selection pane="bottomLeft" activeCell="L25" sqref="L25"/>
      <selection pane="bottomRight"/>
    </sheetView>
  </sheetViews>
  <sheetFormatPr defaultColWidth="8.77734375" defaultRowHeight="13.2" outlineLevelCol="1"/>
  <cols>
    <col min="1" max="1" width="4.44140625" customWidth="1"/>
    <col min="2" max="2" width="30.6640625" customWidth="1"/>
    <col min="3" max="10" width="8.77734375" hidden="1" customWidth="1" outlineLevel="1"/>
    <col min="11" max="11" width="8.77734375" collapsed="1"/>
    <col min="18" max="22" width="8.77734375" customWidth="1"/>
  </cols>
  <sheetData>
    <row r="1" spans="1:26">
      <c r="A1" s="67"/>
      <c r="B1" s="67"/>
    </row>
    <row r="2" spans="1:26" ht="17.399999999999999">
      <c r="A2" s="67"/>
      <c r="B2" s="68" t="str">
        <f>'Charts for slides'!B2</f>
        <v>Quarterly Market Update for the quarter ended December 31, 2021</v>
      </c>
    </row>
    <row r="3" spans="1:26">
      <c r="A3" s="67"/>
      <c r="B3" s="1508" t="str">
        <f>Introduction!$B$2</f>
        <v>Sample template as of March 2022</v>
      </c>
      <c r="X3" s="94"/>
    </row>
    <row r="4" spans="1:26" ht="13.8">
      <c r="A4" s="67"/>
      <c r="B4" s="38" t="s">
        <v>59</v>
      </c>
      <c r="X4" s="94"/>
    </row>
    <row r="6" spans="1:26" s="51" customFormat="1" ht="13.8">
      <c r="B6" s="41" t="s">
        <v>75</v>
      </c>
      <c r="C6" s="51" t="s">
        <v>308</v>
      </c>
      <c r="E6" s="402"/>
      <c r="G6" s="51" t="s">
        <v>308</v>
      </c>
      <c r="I6" s="402"/>
      <c r="K6" s="51" t="s">
        <v>308</v>
      </c>
      <c r="R6" s="1056"/>
      <c r="S6" s="1056"/>
      <c r="T6" s="1056"/>
      <c r="U6" s="1056"/>
      <c r="V6" s="1056"/>
      <c r="W6" s="402" t="s">
        <v>334</v>
      </c>
      <c r="X6" s="402" t="s">
        <v>459</v>
      </c>
      <c r="Y6" s="25" t="s">
        <v>334</v>
      </c>
      <c r="Z6" s="1012"/>
    </row>
    <row r="7" spans="1:26" s="51" customFormat="1" ht="13.8">
      <c r="B7" s="393" t="s">
        <v>60</v>
      </c>
      <c r="C7" s="82" t="s">
        <v>126</v>
      </c>
      <c r="D7" s="421" t="s">
        <v>127</v>
      </c>
      <c r="E7" s="421" t="s">
        <v>128</v>
      </c>
      <c r="F7" s="84" t="s">
        <v>129</v>
      </c>
      <c r="G7" s="82" t="s">
        <v>130</v>
      </c>
      <c r="H7" s="83" t="s">
        <v>131</v>
      </c>
      <c r="I7" s="83" t="s">
        <v>132</v>
      </c>
      <c r="J7" s="84" t="s">
        <v>133</v>
      </c>
      <c r="K7" s="82" t="s">
        <v>134</v>
      </c>
      <c r="L7" s="83" t="s">
        <v>135</v>
      </c>
      <c r="M7" s="83" t="s">
        <v>136</v>
      </c>
      <c r="N7" s="84" t="s">
        <v>137</v>
      </c>
      <c r="O7" s="82" t="s">
        <v>138</v>
      </c>
      <c r="P7" s="83" t="s">
        <v>139</v>
      </c>
      <c r="Q7" s="83" t="s">
        <v>140</v>
      </c>
      <c r="R7" s="84" t="s">
        <v>141</v>
      </c>
      <c r="S7" s="82" t="s">
        <v>142</v>
      </c>
      <c r="T7" s="83" t="s">
        <v>143</v>
      </c>
      <c r="U7" s="83" t="s">
        <v>144</v>
      </c>
      <c r="V7" s="84" t="s">
        <v>145</v>
      </c>
      <c r="W7" s="402" t="s">
        <v>307</v>
      </c>
      <c r="X7" s="402" t="s">
        <v>460</v>
      </c>
      <c r="Y7" s="402" t="s">
        <v>350</v>
      </c>
    </row>
    <row r="8" spans="1:26" s="51" customFormat="1" ht="16.5" customHeight="1">
      <c r="B8" s="342" t="s">
        <v>61</v>
      </c>
      <c r="C8" s="394">
        <v>242.2</v>
      </c>
      <c r="D8" s="394">
        <v>268.74099999999999</v>
      </c>
      <c r="E8" s="394">
        <v>290.26100000000002</v>
      </c>
      <c r="F8" s="936">
        <v>327.96899999999999</v>
      </c>
      <c r="G8" s="394">
        <v>335.47500000000002</v>
      </c>
      <c r="H8" s="394">
        <v>405.2</v>
      </c>
      <c r="I8" s="394">
        <v>437.63299999999998</v>
      </c>
      <c r="J8" s="936">
        <v>468</v>
      </c>
      <c r="K8" s="394"/>
      <c r="L8" s="394"/>
      <c r="M8" s="394"/>
      <c r="N8" s="936"/>
      <c r="O8" s="394"/>
      <c r="P8" s="394"/>
      <c r="Q8" s="394"/>
      <c r="R8" s="80"/>
      <c r="S8" s="79"/>
      <c r="T8" s="394"/>
      <c r="U8" s="394"/>
      <c r="V8" s="737"/>
      <c r="W8" s="723" t="e">
        <f>U8/Q8-1</f>
        <v>#DIV/0!</v>
      </c>
      <c r="X8" s="724">
        <f>U8-Q8</f>
        <v>0</v>
      </c>
      <c r="Y8" s="1509" t="e">
        <f>U8/T8-1</f>
        <v>#DIV/0!</v>
      </c>
      <c r="Z8" s="1723" t="e">
        <f>V8/R8-1</f>
        <v>#DIV/0!</v>
      </c>
    </row>
    <row r="9" spans="1:26" s="51" customFormat="1" ht="16.5" customHeight="1">
      <c r="B9" s="342" t="s">
        <v>29</v>
      </c>
      <c r="C9" s="394">
        <v>523.30600000000004</v>
      </c>
      <c r="D9" s="394">
        <v>590.721</v>
      </c>
      <c r="E9" s="394">
        <v>657.29899999999998</v>
      </c>
      <c r="F9" s="936">
        <v>581.46299999999997</v>
      </c>
      <c r="G9" s="394">
        <v>552.75300000000004</v>
      </c>
      <c r="H9" s="394">
        <v>549</v>
      </c>
      <c r="I9" s="1013" t="s">
        <v>395</v>
      </c>
      <c r="J9" s="1014"/>
      <c r="K9" s="1015"/>
      <c r="L9" s="1016"/>
      <c r="M9" s="1013"/>
      <c r="N9" s="935"/>
      <c r="O9" s="1015"/>
      <c r="P9" s="1016"/>
      <c r="Q9" s="1016"/>
      <c r="R9" s="1145"/>
      <c r="S9" s="1015"/>
      <c r="T9" s="1016"/>
      <c r="U9" s="1055"/>
      <c r="V9" s="1014"/>
      <c r="W9" s="1020"/>
      <c r="X9" s="1021"/>
      <c r="Y9" s="1021"/>
      <c r="Z9" s="1724" t="e">
        <f>V8/U8-1</f>
        <v>#DIV/0!</v>
      </c>
    </row>
    <row r="10" spans="1:26" s="51" customFormat="1" ht="16.5" customHeight="1">
      <c r="B10" s="342" t="s">
        <v>398</v>
      </c>
      <c r="C10" s="394">
        <v>6152</v>
      </c>
      <c r="D10" s="394">
        <v>6543</v>
      </c>
      <c r="E10" s="394">
        <v>6639</v>
      </c>
      <c r="F10" s="936">
        <v>5912</v>
      </c>
      <c r="G10" s="394">
        <v>6288</v>
      </c>
      <c r="H10" s="394">
        <v>6169</v>
      </c>
      <c r="I10" s="394">
        <v>6970</v>
      </c>
      <c r="J10" s="936">
        <v>6694</v>
      </c>
      <c r="K10" s="394"/>
      <c r="L10" s="394"/>
      <c r="M10" s="394"/>
      <c r="N10" s="936"/>
      <c r="O10" s="394"/>
      <c r="P10" s="394"/>
      <c r="Q10" s="394"/>
      <c r="R10" s="80"/>
      <c r="S10" s="394"/>
      <c r="T10" s="394"/>
      <c r="U10" s="1017"/>
      <c r="V10" s="737"/>
      <c r="W10" s="723" t="e">
        <f t="shared" ref="W10:W18" si="0">U10/Q10-1</f>
        <v>#DIV/0!</v>
      </c>
      <c r="X10" s="724">
        <f t="shared" ref="X10:X18" si="1">U10-Q10</f>
        <v>0</v>
      </c>
      <c r="Y10" s="1509" t="e">
        <f t="shared" ref="Y10:Y18" si="2">U10/T10-1</f>
        <v>#DIV/0!</v>
      </c>
      <c r="Z10" s="1054"/>
    </row>
    <row r="11" spans="1:26" s="51" customFormat="1" ht="16.5" customHeight="1">
      <c r="B11" s="342" t="s">
        <v>662</v>
      </c>
      <c r="C11" s="1017">
        <v>5573</v>
      </c>
      <c r="D11" s="1017">
        <v>5800</v>
      </c>
      <c r="E11" s="1017">
        <v>5989</v>
      </c>
      <c r="F11" s="936">
        <v>8395</v>
      </c>
      <c r="G11" s="1017">
        <v>6922</v>
      </c>
      <c r="H11" s="1017">
        <v>7400</v>
      </c>
      <c r="I11" s="1017">
        <v>7518</v>
      </c>
      <c r="J11" s="936">
        <v>8812</v>
      </c>
      <c r="K11" s="1017"/>
      <c r="L11" s="394"/>
      <c r="M11" s="1017"/>
      <c r="N11" s="936"/>
      <c r="O11" s="1017"/>
      <c r="P11" s="394"/>
      <c r="Q11" s="394"/>
      <c r="R11" s="80"/>
      <c r="S11" s="1017"/>
      <c r="T11" s="394"/>
      <c r="U11" s="1017"/>
      <c r="V11" s="737"/>
      <c r="W11" s="723" t="e">
        <f t="shared" si="0"/>
        <v>#DIV/0!</v>
      </c>
      <c r="X11" s="724">
        <f t="shared" si="1"/>
        <v>0</v>
      </c>
      <c r="Y11" s="1509" t="e">
        <f t="shared" si="2"/>
        <v>#DIV/0!</v>
      </c>
      <c r="Z11" s="1054"/>
    </row>
    <row r="12" spans="1:26" s="51" customFormat="1" ht="16.5" customHeight="1">
      <c r="B12" s="586" t="s">
        <v>394</v>
      </c>
      <c r="C12" s="1017">
        <v>124.958</v>
      </c>
      <c r="D12" s="1017">
        <v>139.99600000000001</v>
      </c>
      <c r="E12" s="1017">
        <v>122.642</v>
      </c>
      <c r="F12" s="936">
        <v>148.1</v>
      </c>
      <c r="G12" s="1017">
        <v>148.69999999999999</v>
      </c>
      <c r="H12" s="1017">
        <v>178.7</v>
      </c>
      <c r="I12" s="1017">
        <v>211.7</v>
      </c>
      <c r="J12" s="936">
        <v>231</v>
      </c>
      <c r="K12" s="1017"/>
      <c r="L12" s="1017"/>
      <c r="M12" s="1017"/>
      <c r="N12" s="936"/>
      <c r="O12" s="1017"/>
      <c r="P12" s="1017"/>
      <c r="Q12" s="1017"/>
      <c r="R12" s="80"/>
      <c r="S12" s="1017"/>
      <c r="T12" s="1017"/>
      <c r="U12" s="1017"/>
      <c r="V12" s="737"/>
      <c r="W12" s="723" t="e">
        <f t="shared" si="0"/>
        <v>#DIV/0!</v>
      </c>
      <c r="X12" s="724">
        <f t="shared" si="1"/>
        <v>0</v>
      </c>
      <c r="Y12" s="1509" t="e">
        <f t="shared" si="2"/>
        <v>#DIV/0!</v>
      </c>
      <c r="Z12" s="1054"/>
    </row>
    <row r="13" spans="1:26" s="51" customFormat="1" ht="16.5" customHeight="1">
      <c r="B13" s="586" t="s">
        <v>447</v>
      </c>
      <c r="C13" s="1017">
        <v>470.00183475016814</v>
      </c>
      <c r="D13" s="1017">
        <v>948.81571523299385</v>
      </c>
      <c r="E13" s="1017">
        <v>1246.9987765474532</v>
      </c>
      <c r="F13" s="936">
        <v>1392.1759118819136</v>
      </c>
      <c r="G13" s="1017">
        <v>1129.1212781408858</v>
      </c>
      <c r="H13" s="1017">
        <v>1331.9797061828499</v>
      </c>
      <c r="I13" s="1017">
        <v>1590.8416149055347</v>
      </c>
      <c r="J13" s="936">
        <v>1855.2858974671967</v>
      </c>
      <c r="K13" s="1017"/>
      <c r="L13" s="1017"/>
      <c r="M13" s="1017"/>
      <c r="N13" s="936"/>
      <c r="O13" s="1017"/>
      <c r="P13" s="1017"/>
      <c r="Q13" s="1017"/>
      <c r="R13" s="737"/>
      <c r="S13" s="1017"/>
      <c r="T13" s="1017"/>
      <c r="U13" s="1017"/>
      <c r="V13" s="737"/>
      <c r="W13" s="723" t="e">
        <f t="shared" si="0"/>
        <v>#DIV/0!</v>
      </c>
      <c r="X13" s="724">
        <f t="shared" si="1"/>
        <v>0</v>
      </c>
      <c r="Y13" s="1509" t="e">
        <f t="shared" si="2"/>
        <v>#DIV/0!</v>
      </c>
      <c r="Z13" s="1054"/>
    </row>
    <row r="14" spans="1:26" s="51" customFormat="1" ht="16.5" customHeight="1">
      <c r="B14" s="586" t="s">
        <v>445</v>
      </c>
      <c r="C14" s="394">
        <v>7159</v>
      </c>
      <c r="D14" s="394">
        <v>6476</v>
      </c>
      <c r="E14" s="394">
        <v>6682</v>
      </c>
      <c r="F14" s="936">
        <v>6325</v>
      </c>
      <c r="G14" s="394">
        <v>6243</v>
      </c>
      <c r="H14" s="394">
        <v>6791</v>
      </c>
      <c r="I14" s="394">
        <v>6852</v>
      </c>
      <c r="J14" s="936">
        <v>6951</v>
      </c>
      <c r="K14" s="394"/>
      <c r="L14" s="394"/>
      <c r="M14" s="394"/>
      <c r="N14" s="936"/>
      <c r="O14" s="394"/>
      <c r="P14" s="394"/>
      <c r="Q14" s="394"/>
      <c r="R14" s="80"/>
      <c r="S14" s="394"/>
      <c r="T14" s="394"/>
      <c r="U14" s="1017"/>
      <c r="V14" s="737"/>
      <c r="W14" s="723" t="e">
        <f t="shared" si="0"/>
        <v>#DIV/0!</v>
      </c>
      <c r="X14" s="724">
        <f t="shared" si="1"/>
        <v>0</v>
      </c>
      <c r="Y14" s="1509" t="e">
        <f t="shared" si="2"/>
        <v>#DIV/0!</v>
      </c>
      <c r="Z14" s="1054"/>
    </row>
    <row r="15" spans="1:26" s="51" customFormat="1" ht="16.5" customHeight="1">
      <c r="B15" s="586" t="s">
        <v>397</v>
      </c>
      <c r="C15" s="394">
        <v>1675</v>
      </c>
      <c r="D15" s="394">
        <v>1950</v>
      </c>
      <c r="E15" s="394">
        <v>1558</v>
      </c>
      <c r="F15" s="936">
        <v>2530</v>
      </c>
      <c r="G15" s="394">
        <v>1395</v>
      </c>
      <c r="H15" s="394">
        <v>1747</v>
      </c>
      <c r="I15" s="394">
        <v>1721</v>
      </c>
      <c r="J15" s="936">
        <v>3332</v>
      </c>
      <c r="K15" s="394"/>
      <c r="L15" s="394"/>
      <c r="M15" s="394"/>
      <c r="N15" s="936"/>
      <c r="O15" s="394"/>
      <c r="P15" s="394"/>
      <c r="Q15" s="394"/>
      <c r="R15" s="80"/>
      <c r="S15" s="394"/>
      <c r="T15" s="394"/>
      <c r="U15" s="394"/>
      <c r="V15" s="737"/>
      <c r="W15" s="723" t="e">
        <f t="shared" si="0"/>
        <v>#DIV/0!</v>
      </c>
      <c r="X15" s="724">
        <f t="shared" si="1"/>
        <v>0</v>
      </c>
      <c r="Y15" s="1509" t="e">
        <f t="shared" si="2"/>
        <v>#DIV/0!</v>
      </c>
      <c r="Z15" s="1054"/>
    </row>
    <row r="16" spans="1:26" s="51" customFormat="1" ht="16.5" customHeight="1">
      <c r="B16" s="586" t="s">
        <v>446</v>
      </c>
      <c r="C16" s="1017">
        <v>366.33845024769124</v>
      </c>
      <c r="D16" s="1017">
        <v>528.30653918925282</v>
      </c>
      <c r="E16" s="1017">
        <v>443.74036470471401</v>
      </c>
      <c r="F16" s="936">
        <v>516.78049487349563</v>
      </c>
      <c r="G16" s="1017">
        <v>562.38198983297025</v>
      </c>
      <c r="H16" s="1017">
        <v>764.6322281765099</v>
      </c>
      <c r="I16" s="1017">
        <v>1159.3028657674615</v>
      </c>
      <c r="J16" s="936">
        <v>1367.2684380627743</v>
      </c>
      <c r="K16" s="1017"/>
      <c r="L16" s="1017"/>
      <c r="M16" s="1017"/>
      <c r="N16" s="936"/>
      <c r="O16" s="1017"/>
      <c r="P16" s="1017"/>
      <c r="Q16" s="1017"/>
      <c r="R16" s="737"/>
      <c r="S16" s="1017"/>
      <c r="T16" s="1017"/>
      <c r="U16" s="1017"/>
      <c r="V16" s="737"/>
      <c r="W16" s="723" t="e">
        <f t="shared" si="0"/>
        <v>#DIV/0!</v>
      </c>
      <c r="X16" s="724">
        <f t="shared" si="1"/>
        <v>0</v>
      </c>
      <c r="Y16" s="1509" t="e">
        <f t="shared" si="2"/>
        <v>#DIV/0!</v>
      </c>
      <c r="Z16" s="1054"/>
    </row>
    <row r="17" spans="2:26" s="51" customFormat="1" ht="16.5" customHeight="1">
      <c r="B17" s="342" t="s">
        <v>396</v>
      </c>
      <c r="C17" s="394">
        <v>680</v>
      </c>
      <c r="D17" s="394">
        <v>783.90000000000009</v>
      </c>
      <c r="E17" s="394">
        <v>842</v>
      </c>
      <c r="F17" s="936">
        <v>904.8</v>
      </c>
      <c r="G17" s="394">
        <v>763.2</v>
      </c>
      <c r="H17" s="394">
        <v>848.5</v>
      </c>
      <c r="I17" s="394">
        <v>798</v>
      </c>
      <c r="J17" s="936">
        <v>743</v>
      </c>
      <c r="K17" s="394"/>
      <c r="L17" s="394"/>
      <c r="M17" s="394"/>
      <c r="N17" s="936"/>
      <c r="O17" s="394"/>
      <c r="P17" s="394"/>
      <c r="Q17" s="394"/>
      <c r="R17" s="80"/>
      <c r="S17" s="394"/>
      <c r="T17" s="394"/>
      <c r="U17" s="394"/>
      <c r="V17" s="737"/>
      <c r="W17" s="723" t="e">
        <f t="shared" si="0"/>
        <v>#DIV/0!</v>
      </c>
      <c r="X17" s="724">
        <f t="shared" si="1"/>
        <v>0</v>
      </c>
      <c r="Y17" s="1509" t="e">
        <f t="shared" si="2"/>
        <v>#DIV/0!</v>
      </c>
      <c r="Z17" s="1054"/>
    </row>
    <row r="18" spans="2:26" s="51" customFormat="1" ht="16.5" customHeight="1">
      <c r="B18" s="342" t="s">
        <v>399</v>
      </c>
      <c r="C18" s="394">
        <v>979</v>
      </c>
      <c r="D18" s="394">
        <v>1086</v>
      </c>
      <c r="E18" s="394">
        <v>1100</v>
      </c>
      <c r="F18" s="936">
        <v>1050</v>
      </c>
      <c r="G18" s="394">
        <v>850</v>
      </c>
      <c r="H18" s="394">
        <v>765.5</v>
      </c>
      <c r="I18" s="394">
        <v>967</v>
      </c>
      <c r="J18" s="936">
        <v>1200</v>
      </c>
      <c r="K18" s="394"/>
      <c r="L18" s="394"/>
      <c r="M18" s="394"/>
      <c r="N18" s="936"/>
      <c r="O18" s="394"/>
      <c r="P18" s="394"/>
      <c r="Q18" s="394"/>
      <c r="R18" s="80"/>
      <c r="S18" s="394"/>
      <c r="T18" s="394"/>
      <c r="U18" s="394"/>
      <c r="V18" s="737"/>
      <c r="W18" s="723" t="e">
        <f t="shared" si="0"/>
        <v>#DIV/0!</v>
      </c>
      <c r="X18" s="724">
        <f t="shared" si="1"/>
        <v>0</v>
      </c>
      <c r="Y18" s="1509" t="e">
        <f t="shared" si="2"/>
        <v>#DIV/0!</v>
      </c>
      <c r="Z18" s="1054"/>
    </row>
    <row r="19" spans="2:26" s="51" customFormat="1" ht="16.5" customHeight="1">
      <c r="B19" s="342" t="s">
        <v>30</v>
      </c>
      <c r="C19" s="394">
        <v>196.8</v>
      </c>
      <c r="D19" s="394">
        <v>214.8</v>
      </c>
      <c r="E19" s="394">
        <v>224.2</v>
      </c>
      <c r="F19" s="936">
        <v>221.7</v>
      </c>
      <c r="G19" s="394">
        <v>188.65100000000001</v>
      </c>
      <c r="H19" s="394">
        <v>212</v>
      </c>
      <c r="I19" s="394">
        <v>226</v>
      </c>
      <c r="J19" s="936">
        <v>238</v>
      </c>
      <c r="K19" s="394"/>
      <c r="L19" s="394"/>
      <c r="M19" s="394"/>
      <c r="N19" s="936"/>
      <c r="O19" s="394"/>
      <c r="P19" s="394"/>
      <c r="Q19" s="394"/>
      <c r="R19" s="80"/>
      <c r="S19" s="394"/>
      <c r="T19" s="1015"/>
      <c r="U19" s="1015"/>
      <c r="V19" s="935"/>
      <c r="W19" s="723"/>
      <c r="X19" s="724"/>
      <c r="Y19" s="1509"/>
      <c r="Z19" s="1054"/>
    </row>
    <row r="20" spans="2:26" s="51" customFormat="1" ht="16.5" customHeight="1">
      <c r="B20" s="342" t="s">
        <v>400</v>
      </c>
      <c r="C20" s="394">
        <v>757</v>
      </c>
      <c r="D20" s="394">
        <v>660</v>
      </c>
      <c r="E20" s="394">
        <v>710</v>
      </c>
      <c r="F20" s="936">
        <v>784</v>
      </c>
      <c r="G20" s="394">
        <v>852</v>
      </c>
      <c r="H20" s="394">
        <v>723</v>
      </c>
      <c r="I20" s="394">
        <v>807</v>
      </c>
      <c r="J20" s="936">
        <v>920</v>
      </c>
      <c r="K20" s="394"/>
      <c r="L20" s="394"/>
      <c r="M20" s="394"/>
      <c r="N20" s="936"/>
      <c r="O20" s="394"/>
      <c r="P20" s="394"/>
      <c r="Q20" s="394"/>
      <c r="R20" s="80"/>
      <c r="S20" s="394"/>
      <c r="T20" s="394"/>
      <c r="U20" s="394"/>
      <c r="V20" s="737"/>
      <c r="W20" s="723" t="e">
        <f t="shared" ref="W20:W22" si="3">U20/Q20-1</f>
        <v>#DIV/0!</v>
      </c>
      <c r="X20" s="724">
        <f t="shared" ref="X20:X22" si="4">U20-Q20</f>
        <v>0</v>
      </c>
      <c r="Y20" s="1509" t="e">
        <f t="shared" ref="Y20:Y22" si="5">U20/T20-1</f>
        <v>#DIV/0!</v>
      </c>
      <c r="Z20" s="1054"/>
    </row>
    <row r="21" spans="2:26" s="51" customFormat="1" ht="16.5" customHeight="1">
      <c r="B21" s="342" t="s">
        <v>297</v>
      </c>
      <c r="C21" s="394">
        <v>604</v>
      </c>
      <c r="D21" s="394">
        <v>725</v>
      </c>
      <c r="E21" s="394">
        <v>996</v>
      </c>
      <c r="F21" s="936">
        <v>1014</v>
      </c>
      <c r="G21" s="394">
        <v>1028</v>
      </c>
      <c r="H21" s="394">
        <v>1114</v>
      </c>
      <c r="I21" s="394">
        <v>943</v>
      </c>
      <c r="J21" s="936">
        <v>940</v>
      </c>
      <c r="K21" s="394"/>
      <c r="L21" s="394"/>
      <c r="M21" s="394"/>
      <c r="N21" s="936"/>
      <c r="O21" s="394"/>
      <c r="P21" s="394"/>
      <c r="Q21" s="394"/>
      <c r="R21" s="80"/>
      <c r="S21" s="394"/>
      <c r="T21" s="394"/>
      <c r="U21" s="394"/>
      <c r="V21" s="737"/>
      <c r="W21" s="723" t="e">
        <f t="shared" si="3"/>
        <v>#DIV/0!</v>
      </c>
      <c r="X21" s="724">
        <f t="shared" si="4"/>
        <v>0</v>
      </c>
      <c r="Y21" s="1509" t="e">
        <f t="shared" si="5"/>
        <v>#DIV/0!</v>
      </c>
      <c r="Z21" s="1054"/>
    </row>
    <row r="22" spans="2:26" s="51" customFormat="1" ht="16.5" customHeight="1">
      <c r="B22" s="342" t="s">
        <v>19</v>
      </c>
      <c r="C22" s="395">
        <f t="shared" ref="C22:N22" si="6">SUM(C8:C21)</f>
        <v>25502.604284997858</v>
      </c>
      <c r="D22" s="395">
        <f t="shared" si="6"/>
        <v>26715.280254422247</v>
      </c>
      <c r="E22" s="395">
        <f t="shared" si="6"/>
        <v>27501.141141252167</v>
      </c>
      <c r="F22" s="1018">
        <f t="shared" si="6"/>
        <v>30102.988406755412</v>
      </c>
      <c r="G22" s="395">
        <f t="shared" si="6"/>
        <v>27258.28226797386</v>
      </c>
      <c r="H22" s="395">
        <f t="shared" si="6"/>
        <v>28999.511934359361</v>
      </c>
      <c r="I22" s="395">
        <f t="shared" si="6"/>
        <v>30201.477480672998</v>
      </c>
      <c r="J22" s="1018">
        <f t="shared" si="6"/>
        <v>33751.554335529974</v>
      </c>
      <c r="K22" s="395">
        <f t="shared" si="6"/>
        <v>0</v>
      </c>
      <c r="L22" s="395">
        <f t="shared" si="6"/>
        <v>0</v>
      </c>
      <c r="M22" s="395">
        <f t="shared" si="6"/>
        <v>0</v>
      </c>
      <c r="N22" s="1018">
        <f t="shared" si="6"/>
        <v>0</v>
      </c>
      <c r="O22" s="395">
        <f t="shared" ref="O22:Q22" si="7">SUM(O8:O21)</f>
        <v>0</v>
      </c>
      <c r="P22" s="395">
        <f t="shared" si="7"/>
        <v>0</v>
      </c>
      <c r="Q22" s="395">
        <f t="shared" si="7"/>
        <v>0</v>
      </c>
      <c r="R22" s="420">
        <f t="shared" ref="R22:T22" si="8">SUM(R8:R21)</f>
        <v>0</v>
      </c>
      <c r="S22" s="419">
        <f t="shared" si="8"/>
        <v>0</v>
      </c>
      <c r="T22" s="395">
        <f t="shared" si="8"/>
        <v>0</v>
      </c>
      <c r="U22" s="395">
        <f t="shared" ref="U22" si="9">SUM(U8:U21)</f>
        <v>0</v>
      </c>
      <c r="V22" s="395">
        <v>605.4</v>
      </c>
      <c r="W22" s="723" t="e">
        <f t="shared" si="3"/>
        <v>#DIV/0!</v>
      </c>
      <c r="X22" s="724">
        <f t="shared" si="4"/>
        <v>0</v>
      </c>
      <c r="Y22" s="1509" t="e">
        <f t="shared" si="5"/>
        <v>#DIV/0!</v>
      </c>
      <c r="Z22" s="1057"/>
    </row>
    <row r="23" spans="2:26" s="51" customFormat="1" ht="16.5" customHeight="1">
      <c r="B23" s="722" t="s">
        <v>94</v>
      </c>
      <c r="C23" s="49">
        <v>-2.458360383696423E-2</v>
      </c>
      <c r="D23" s="49">
        <v>-5.8062757365763162E-2</v>
      </c>
      <c r="E23" s="49">
        <v>-1.2746685840979821E-2</v>
      </c>
      <c r="F23" s="49">
        <v>2.4412756543814362E-2</v>
      </c>
      <c r="G23" s="49">
        <f t="shared" ref="G23:M23" si="10">G22/C22-1</f>
        <v>6.8843086116063601E-2</v>
      </c>
      <c r="H23" s="49">
        <f t="shared" si="10"/>
        <v>8.5502815549127531E-2</v>
      </c>
      <c r="I23" s="49">
        <f t="shared" si="10"/>
        <v>9.8189974210571407E-2</v>
      </c>
      <c r="J23" s="49">
        <f t="shared" si="10"/>
        <v>0.12120278158017661</v>
      </c>
      <c r="K23" s="49">
        <f t="shared" si="10"/>
        <v>-1</v>
      </c>
      <c r="L23" s="49">
        <f t="shared" si="10"/>
        <v>-1</v>
      </c>
      <c r="M23" s="49">
        <f t="shared" si="10"/>
        <v>-1</v>
      </c>
      <c r="N23" s="49">
        <f>N22/J22-1</f>
        <v>-1</v>
      </c>
      <c r="O23" s="49" t="e">
        <f t="shared" ref="O23:Q23" si="11">O22/K22-1</f>
        <v>#DIV/0!</v>
      </c>
      <c r="P23" s="49" t="e">
        <f t="shared" si="11"/>
        <v>#DIV/0!</v>
      </c>
      <c r="Q23" s="49" t="e">
        <f t="shared" si="11"/>
        <v>#DIV/0!</v>
      </c>
      <c r="R23" s="49" t="e">
        <f>R22/N22-1</f>
        <v>#DIV/0!</v>
      </c>
      <c r="S23" s="49" t="e">
        <f t="shared" ref="S23:U23" si="12">S22/O22-1</f>
        <v>#DIV/0!</v>
      </c>
      <c r="T23" s="49" t="e">
        <f t="shared" si="12"/>
        <v>#DIV/0!</v>
      </c>
      <c r="U23" s="49" t="e">
        <f t="shared" si="12"/>
        <v>#DIV/0!</v>
      </c>
      <c r="V23" s="49">
        <v>-0.98132673750314792</v>
      </c>
    </row>
    <row r="24" spans="2:26" s="51" customFormat="1" ht="13.8">
      <c r="B24" s="1011"/>
      <c r="F24" s="50"/>
      <c r="J24" s="50">
        <f>SUM(G22:J22)/SUM(C22:F22)-1</f>
        <v>9.4596807547511652E-2</v>
      </c>
      <c r="N24" s="50">
        <f>SUM(K22:P22)/SUM(G22:J22)-1</f>
        <v>-1</v>
      </c>
      <c r="P24" s="50"/>
      <c r="Q24" s="50"/>
      <c r="R24" s="50" t="e">
        <f>SUM(O22:R22)/SUM(K22:P22)-1</f>
        <v>#DIV/0!</v>
      </c>
      <c r="T24" s="50" t="e">
        <f>T22/S22-1</f>
        <v>#DIV/0!</v>
      </c>
      <c r="U24" s="50" t="e">
        <f>U22/T22-1</f>
        <v>#DIV/0!</v>
      </c>
    </row>
    <row r="25" spans="2:26" s="51" customFormat="1" ht="13.8">
      <c r="B25" s="1011" t="s">
        <v>63</v>
      </c>
    </row>
    <row r="26" spans="2:26" s="51" customFormat="1" ht="13.8">
      <c r="B26" s="1011" t="s">
        <v>64</v>
      </c>
      <c r="H26" s="1019">
        <f>SUM(G22:I22)</f>
        <v>86459.271683006227</v>
      </c>
      <c r="L26" s="1019">
        <f>SUM(K22:M22)</f>
        <v>0</v>
      </c>
    </row>
    <row r="27" spans="2:26" s="51" customFormat="1" ht="13.8">
      <c r="B27" s="1011" t="s">
        <v>62</v>
      </c>
      <c r="L27" s="51">
        <f>L26/H26-1</f>
        <v>-1</v>
      </c>
    </row>
    <row r="28" spans="2:26" s="51" customFormat="1" ht="13.8">
      <c r="B28" s="342" t="s">
        <v>179</v>
      </c>
      <c r="C28" s="741">
        <v>6532.2282674000007</v>
      </c>
      <c r="D28" s="741">
        <v>6727.9998029567996</v>
      </c>
      <c r="E28" s="741">
        <v>7091.1590352015</v>
      </c>
      <c r="F28" s="742">
        <v>8430.3856301916985</v>
      </c>
      <c r="G28" s="741">
        <v>7075</v>
      </c>
      <c r="H28" s="741">
        <v>7306.2238665000004</v>
      </c>
      <c r="I28" s="741">
        <v>8369.2121212121219</v>
      </c>
      <c r="J28" s="742">
        <v>8483.7655277599988</v>
      </c>
      <c r="K28" s="741">
        <v>6472.3848054599994</v>
      </c>
      <c r="L28" s="741">
        <v>6204.3733373999994</v>
      </c>
      <c r="M28" s="741">
        <v>8650.7803199999998</v>
      </c>
      <c r="N28" s="741">
        <v>9766.1537095000003</v>
      </c>
      <c r="O28" s="79">
        <v>7178.7902475098199</v>
      </c>
      <c r="P28" s="79">
        <v>7895.6990560157301</v>
      </c>
      <c r="Q28" s="79">
        <v>8504.5194152024287</v>
      </c>
      <c r="R28" s="79">
        <v>9755.9263317433561</v>
      </c>
      <c r="S28" s="79">
        <v>6318.0615189461487</v>
      </c>
      <c r="T28" s="79">
        <v>9041.2553953223814</v>
      </c>
      <c r="U28" s="741"/>
      <c r="V28" s="741"/>
    </row>
    <row r="29" spans="2:26" s="51" customFormat="1" ht="13.8"/>
    <row r="30" spans="2:26" s="51" customFormat="1" ht="13.8">
      <c r="B30" s="1011" t="s">
        <v>502</v>
      </c>
      <c r="C30" s="100">
        <f>C18+C16+C13</f>
        <v>1815.3402849978595</v>
      </c>
      <c r="D30" s="100">
        <f t="shared" ref="D30:O30" si="13">D18+D16+D13</f>
        <v>2563.1222544222464</v>
      </c>
      <c r="E30" s="100">
        <f t="shared" si="13"/>
        <v>2790.7391412521674</v>
      </c>
      <c r="F30" s="100">
        <f t="shared" si="13"/>
        <v>2958.9564067554093</v>
      </c>
      <c r="G30" s="100">
        <f t="shared" si="13"/>
        <v>2541.5032679738561</v>
      </c>
      <c r="H30" s="100">
        <f t="shared" si="13"/>
        <v>2862.11193435936</v>
      </c>
      <c r="I30" s="100">
        <f t="shared" si="13"/>
        <v>3717.144480672996</v>
      </c>
      <c r="J30" s="100">
        <f t="shared" si="13"/>
        <v>4422.5543355299706</v>
      </c>
      <c r="K30" s="100">
        <f t="shared" si="13"/>
        <v>0</v>
      </c>
      <c r="L30" s="100">
        <f t="shared" si="13"/>
        <v>0</v>
      </c>
      <c r="M30" s="100">
        <f t="shared" si="13"/>
        <v>0</v>
      </c>
      <c r="N30" s="100">
        <f t="shared" si="13"/>
        <v>0</v>
      </c>
      <c r="O30" s="100">
        <f t="shared" si="13"/>
        <v>0</v>
      </c>
      <c r="P30" s="100">
        <f t="shared" ref="P30:Q30" si="14">P18+P16+P13</f>
        <v>0</v>
      </c>
      <c r="Q30" s="100">
        <f t="shared" si="14"/>
        <v>0</v>
      </c>
      <c r="R30" s="100">
        <f t="shared" ref="R30:S30" si="15">R18+R16+R13</f>
        <v>0</v>
      </c>
      <c r="S30" s="100">
        <f t="shared" si="15"/>
        <v>0</v>
      </c>
      <c r="T30" s="100">
        <f t="shared" ref="T30:U30" si="16">T18+T16+T13</f>
        <v>0</v>
      </c>
      <c r="U30" s="100">
        <f t="shared" si="16"/>
        <v>0</v>
      </c>
      <c r="V30" s="100"/>
      <c r="X30" s="51" t="str">
        <f>B30</f>
        <v>Chinese: H3C, Inspur, Lenovo</v>
      </c>
    </row>
    <row r="31" spans="2:26" s="51" customFormat="1" ht="13.8">
      <c r="G31" s="50">
        <f>G30/C30-1</f>
        <v>0.40001480106901988</v>
      </c>
      <c r="H31" s="50">
        <f t="shared" ref="H31:Q31" si="17">H30/D30-1</f>
        <v>0.11665057311302895</v>
      </c>
      <c r="I31" s="50">
        <f t="shared" si="17"/>
        <v>0.33195698076071811</v>
      </c>
      <c r="J31" s="50">
        <f t="shared" si="17"/>
        <v>0.49463315019887144</v>
      </c>
      <c r="K31" s="50">
        <f t="shared" si="17"/>
        <v>-1</v>
      </c>
      <c r="L31" s="50">
        <f t="shared" si="17"/>
        <v>-1</v>
      </c>
      <c r="M31" s="50">
        <f t="shared" si="17"/>
        <v>-1</v>
      </c>
      <c r="N31" s="50">
        <f t="shared" si="17"/>
        <v>-1</v>
      </c>
      <c r="O31" s="50" t="e">
        <f t="shared" si="17"/>
        <v>#DIV/0!</v>
      </c>
      <c r="P31" s="50" t="e">
        <f t="shared" si="17"/>
        <v>#DIV/0!</v>
      </c>
      <c r="Q31" s="50" t="e">
        <f t="shared" si="17"/>
        <v>#DIV/0!</v>
      </c>
      <c r="R31" s="50" t="e">
        <f t="shared" ref="R31" si="18">R30/N30-1</f>
        <v>#DIV/0!</v>
      </c>
      <c r="S31" s="50" t="e">
        <f t="shared" ref="S31:T31" si="19">S30/O30-1</f>
        <v>#DIV/0!</v>
      </c>
      <c r="T31" s="50" t="e">
        <f t="shared" si="19"/>
        <v>#DIV/0!</v>
      </c>
      <c r="U31" s="50" t="e">
        <f>U30/Q30-1</f>
        <v>#DIV/0!</v>
      </c>
      <c r="V31" s="50"/>
    </row>
    <row r="32" spans="2:26" ht="13.8">
      <c r="B32" s="1011" t="s">
        <v>503</v>
      </c>
      <c r="C32" s="100">
        <f t="shared" ref="C32:F32" si="20">C22-C30</f>
        <v>23687.263999999999</v>
      </c>
      <c r="D32" s="100">
        <f t="shared" si="20"/>
        <v>24152.157999999999</v>
      </c>
      <c r="E32" s="100">
        <f t="shared" si="20"/>
        <v>24710.401999999998</v>
      </c>
      <c r="F32" s="100">
        <f t="shared" si="20"/>
        <v>27144.032000000003</v>
      </c>
      <c r="G32" s="100">
        <f>G22-G30</f>
        <v>24716.779000000002</v>
      </c>
      <c r="H32" s="100">
        <f t="shared" ref="H32:O32" si="21">H22-H30</f>
        <v>26137.4</v>
      </c>
      <c r="I32" s="100">
        <f t="shared" si="21"/>
        <v>26484.333000000002</v>
      </c>
      <c r="J32" s="100">
        <f t="shared" si="21"/>
        <v>29329.000000000004</v>
      </c>
      <c r="K32" s="100">
        <f t="shared" si="21"/>
        <v>0</v>
      </c>
      <c r="L32" s="100">
        <f t="shared" si="21"/>
        <v>0</v>
      </c>
      <c r="M32" s="100">
        <f t="shared" si="21"/>
        <v>0</v>
      </c>
      <c r="N32" s="100">
        <f t="shared" si="21"/>
        <v>0</v>
      </c>
      <c r="O32" s="100">
        <f t="shared" si="21"/>
        <v>0</v>
      </c>
      <c r="P32" s="100">
        <f t="shared" ref="P32:Q32" si="22">P22-P30</f>
        <v>0</v>
      </c>
      <c r="Q32" s="100">
        <f t="shared" si="22"/>
        <v>0</v>
      </c>
      <c r="R32" s="100">
        <f t="shared" ref="R32:S32" si="23">R22-R30</f>
        <v>0</v>
      </c>
      <c r="S32" s="100">
        <f t="shared" si="23"/>
        <v>0</v>
      </c>
      <c r="T32" s="100">
        <f t="shared" ref="T32:U32" si="24">T22-T30</f>
        <v>0</v>
      </c>
      <c r="U32" s="100">
        <f t="shared" si="24"/>
        <v>0</v>
      </c>
      <c r="V32" s="100"/>
      <c r="X32" t="str">
        <f>B32</f>
        <v>Total less China</v>
      </c>
    </row>
    <row r="33" spans="7:22" ht="13.8">
      <c r="G33" s="50">
        <f>G32/C32-1</f>
        <v>4.346280769277544E-2</v>
      </c>
      <c r="H33" s="50">
        <f t="shared" ref="H33" si="25">H32/D32-1</f>
        <v>8.2197292680844525E-2</v>
      </c>
      <c r="I33" s="50">
        <f t="shared" ref="I33" si="26">I32/E32-1</f>
        <v>7.1788836134677458E-2</v>
      </c>
      <c r="J33" s="50">
        <f t="shared" ref="J33" si="27">J32/F32-1</f>
        <v>8.0495336875523904E-2</v>
      </c>
      <c r="K33" s="50">
        <f t="shared" ref="K33" si="28">K32/G32-1</f>
        <v>-1</v>
      </c>
      <c r="L33" s="50">
        <f t="shared" ref="L33" si="29">L32/H32-1</f>
        <v>-1</v>
      </c>
      <c r="M33" s="50">
        <f t="shared" ref="M33" si="30">M32/I32-1</f>
        <v>-1</v>
      </c>
      <c r="N33" s="50">
        <f t="shared" ref="N33" si="31">N32/J32-1</f>
        <v>-1</v>
      </c>
      <c r="O33" s="50" t="e">
        <f t="shared" ref="O33:Q33" si="32">O32/K32-1</f>
        <v>#DIV/0!</v>
      </c>
      <c r="P33" s="50" t="e">
        <f t="shared" si="32"/>
        <v>#DIV/0!</v>
      </c>
      <c r="Q33" s="50" t="e">
        <f t="shared" si="32"/>
        <v>#DIV/0!</v>
      </c>
      <c r="R33" s="50" t="e">
        <f t="shared" ref="R33" si="33">R32/N32-1</f>
        <v>#DIV/0!</v>
      </c>
      <c r="S33" s="50" t="e">
        <f t="shared" ref="S33:U33" si="34">S32/O32-1</f>
        <v>#DIV/0!</v>
      </c>
      <c r="T33" s="50" t="e">
        <f t="shared" si="34"/>
        <v>#DIV/0!</v>
      </c>
      <c r="U33" s="50" t="e">
        <f t="shared" si="34"/>
        <v>#DIV/0!</v>
      </c>
      <c r="V33" s="50"/>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AM77"/>
  <sheetViews>
    <sheetView zoomScale="80" zoomScaleNormal="80" zoomScalePageLayoutView="80" workbookViewId="0"/>
  </sheetViews>
  <sheetFormatPr defaultColWidth="8.77734375" defaultRowHeight="13.2" outlineLevelCol="1"/>
  <cols>
    <col min="1" max="1" width="4.44140625" customWidth="1"/>
    <col min="2" max="2" width="20" customWidth="1"/>
    <col min="3" max="5" width="8.77734375" hidden="1" customWidth="1" outlineLevel="1"/>
    <col min="6" max="6" width="9.21875" hidden="1" customWidth="1" outlineLevel="1"/>
    <col min="7" max="10" width="10.33203125" hidden="1" customWidth="1" outlineLevel="1"/>
    <col min="11" max="11" width="10.33203125" customWidth="1" collapsed="1"/>
    <col min="12" max="22" width="10.33203125" customWidth="1"/>
    <col min="23" max="32" width="8.77734375" customWidth="1"/>
    <col min="35" max="35" width="15.44140625" customWidth="1"/>
  </cols>
  <sheetData>
    <row r="1" spans="1:35">
      <c r="A1" s="67"/>
      <c r="B1" s="67"/>
    </row>
    <row r="2" spans="1:35" ht="17.399999999999999">
      <c r="A2" s="67"/>
      <c r="B2" s="68" t="str">
        <f>'Charts for slides'!B2</f>
        <v>Quarterly Market Update for the quarter ended December 31, 2021</v>
      </c>
    </row>
    <row r="3" spans="1:35">
      <c r="A3" s="67"/>
      <c r="B3" s="1508" t="str">
        <f>Introduction!$B$2</f>
        <v>Sample template as of March 2022</v>
      </c>
    </row>
    <row r="4" spans="1:35" ht="13.8">
      <c r="A4" s="67"/>
      <c r="B4" s="71" t="s">
        <v>78</v>
      </c>
      <c r="O4" s="933"/>
    </row>
    <row r="5" spans="1:35">
      <c r="A5" s="67"/>
      <c r="C5" s="45"/>
      <c r="D5" s="45"/>
      <c r="E5" s="45"/>
      <c r="F5" s="45"/>
      <c r="G5" s="45"/>
      <c r="H5" s="45"/>
      <c r="I5" s="45"/>
      <c r="J5" s="45"/>
      <c r="K5" s="45"/>
      <c r="L5" s="45"/>
      <c r="M5" s="45"/>
      <c r="N5" s="45"/>
      <c r="O5" s="45"/>
      <c r="P5" s="45"/>
      <c r="Q5" s="45"/>
      <c r="R5" s="45"/>
      <c r="S5" s="45"/>
      <c r="T5" s="45"/>
      <c r="U5" s="45"/>
      <c r="V5" s="45"/>
    </row>
    <row r="6" spans="1:35">
      <c r="B6" s="41" t="s">
        <v>75</v>
      </c>
      <c r="C6" s="45" t="s">
        <v>308</v>
      </c>
      <c r="D6" s="45"/>
      <c r="E6" s="45"/>
      <c r="F6" s="45"/>
      <c r="G6" s="45" t="s">
        <v>308</v>
      </c>
      <c r="H6" s="45"/>
      <c r="I6" s="45"/>
      <c r="J6" s="45"/>
      <c r="K6" s="45" t="s">
        <v>308</v>
      </c>
      <c r="L6" s="45"/>
      <c r="M6" s="45"/>
      <c r="N6" s="45"/>
      <c r="O6" s="735"/>
      <c r="P6" s="735"/>
      <c r="Q6" s="735"/>
      <c r="R6" s="735"/>
      <c r="S6" s="23"/>
      <c r="T6" s="23"/>
      <c r="U6" s="23"/>
      <c r="V6" s="23"/>
      <c r="W6" s="25" t="s">
        <v>334</v>
      </c>
      <c r="X6" s="25" t="s">
        <v>459</v>
      </c>
      <c r="Y6" s="25" t="s">
        <v>334</v>
      </c>
    </row>
    <row r="7" spans="1:35" ht="13.8">
      <c r="B7" s="47" t="s">
        <v>60</v>
      </c>
      <c r="C7" s="82" t="s">
        <v>126</v>
      </c>
      <c r="D7" s="83" t="s">
        <v>127</v>
      </c>
      <c r="E7" s="83" t="s">
        <v>128</v>
      </c>
      <c r="F7" s="413" t="s">
        <v>129</v>
      </c>
      <c r="G7" s="410" t="s">
        <v>130</v>
      </c>
      <c r="H7" s="83" t="s">
        <v>131</v>
      </c>
      <c r="I7" s="83" t="s">
        <v>132</v>
      </c>
      <c r="J7" s="413" t="s">
        <v>133</v>
      </c>
      <c r="K7" s="410" t="s">
        <v>134</v>
      </c>
      <c r="L7" s="83" t="s">
        <v>135</v>
      </c>
      <c r="M7" s="83" t="s">
        <v>136</v>
      </c>
      <c r="N7" s="413" t="s">
        <v>137</v>
      </c>
      <c r="O7" s="410" t="s">
        <v>138</v>
      </c>
      <c r="P7" s="83" t="s">
        <v>139</v>
      </c>
      <c r="Q7" s="83" t="s">
        <v>140</v>
      </c>
      <c r="R7" s="413" t="s">
        <v>141</v>
      </c>
      <c r="S7" s="410" t="s">
        <v>142</v>
      </c>
      <c r="T7" s="83" t="s">
        <v>143</v>
      </c>
      <c r="U7" s="83" t="s">
        <v>144</v>
      </c>
      <c r="V7" s="413" t="s">
        <v>145</v>
      </c>
      <c r="W7" s="402" t="s">
        <v>307</v>
      </c>
      <c r="X7" s="402" t="s">
        <v>460</v>
      </c>
      <c r="Y7" s="402" t="s">
        <v>350</v>
      </c>
      <c r="AB7" s="1109" t="s">
        <v>519</v>
      </c>
      <c r="AC7" s="1109" t="s">
        <v>520</v>
      </c>
      <c r="AE7">
        <v>2016</v>
      </c>
      <c r="AF7">
        <v>2017</v>
      </c>
      <c r="AG7">
        <v>2018</v>
      </c>
      <c r="AH7">
        <v>2019</v>
      </c>
    </row>
    <row r="8" spans="1:35" ht="16.5" customHeight="1">
      <c r="B8" s="342" t="s">
        <v>555</v>
      </c>
      <c r="C8" s="79">
        <v>80.599999999999994</v>
      </c>
      <c r="D8" s="53">
        <v>99.1</v>
      </c>
      <c r="E8" s="53">
        <v>95.8</v>
      </c>
      <c r="F8" s="415">
        <v>100.9</v>
      </c>
      <c r="G8" s="390">
        <v>109.1</v>
      </c>
      <c r="H8" s="79">
        <v>112.7</v>
      </c>
      <c r="I8" s="53">
        <v>116</v>
      </c>
      <c r="J8" s="415">
        <v>110.5</v>
      </c>
      <c r="K8" s="390"/>
      <c r="L8" s="79"/>
      <c r="M8" s="79"/>
      <c r="N8" s="415"/>
      <c r="O8" s="390"/>
      <c r="P8" s="79"/>
      <c r="Q8" s="394"/>
      <c r="R8" s="932"/>
      <c r="S8" s="390"/>
      <c r="T8" s="79"/>
      <c r="U8" s="79"/>
      <c r="V8" s="934"/>
      <c r="W8" s="666" t="e">
        <f t="shared" ref="W8:W11" si="0">U8/Q8-1</f>
        <v>#DIV/0!</v>
      </c>
      <c r="X8" s="1010">
        <f t="shared" ref="X8:X11" si="1">U8-Q8</f>
        <v>0</v>
      </c>
      <c r="Y8" s="1509" t="e">
        <f t="shared" ref="Y8:Y11" si="2">U8/T8-1</f>
        <v>#DIV/0!</v>
      </c>
      <c r="Z8" s="343" t="str">
        <f>B8</f>
        <v>II-VI Photonic Solutions</v>
      </c>
      <c r="AB8" s="332" t="e">
        <f>W8</f>
        <v>#DIV/0!</v>
      </c>
      <c r="AC8" s="4"/>
      <c r="AE8" s="94">
        <f>SUM(C8:F8)</f>
        <v>376.4</v>
      </c>
      <c r="AF8" s="94">
        <f>SUM(G8:J8)</f>
        <v>448.3</v>
      </c>
      <c r="AG8" s="94">
        <f t="shared" ref="AG8:AG24" si="3">SUM(K8:P8)</f>
        <v>0</v>
      </c>
      <c r="AH8" s="94">
        <f>SUM(O8:R8)</f>
        <v>0</v>
      </c>
      <c r="AI8" s="94"/>
    </row>
    <row r="9" spans="1:35" ht="16.5" customHeight="1">
      <c r="B9" s="342" t="s">
        <v>156</v>
      </c>
      <c r="C9" s="79">
        <v>84.489000000000004</v>
      </c>
      <c r="D9" s="53">
        <v>116.2</v>
      </c>
      <c r="E9" s="53">
        <v>135.304</v>
      </c>
      <c r="F9" s="415">
        <v>142</v>
      </c>
      <c r="G9" s="390">
        <v>114.7</v>
      </c>
      <c r="H9" s="79">
        <v>78.900000000000006</v>
      </c>
      <c r="I9" s="53">
        <v>104.998</v>
      </c>
      <c r="J9" s="415">
        <v>86.6</v>
      </c>
      <c r="K9" s="390"/>
      <c r="L9" s="79"/>
      <c r="M9" s="79"/>
      <c r="N9" s="415"/>
      <c r="O9" s="570"/>
      <c r="P9" s="394"/>
      <c r="Q9" s="394"/>
      <c r="R9" s="932"/>
      <c r="S9" s="390"/>
      <c r="T9" s="79"/>
      <c r="U9" s="79"/>
      <c r="V9" s="934"/>
      <c r="W9" s="666" t="e">
        <f t="shared" si="0"/>
        <v>#DIV/0!</v>
      </c>
      <c r="X9" s="1010">
        <f t="shared" si="1"/>
        <v>0</v>
      </c>
      <c r="Y9" s="1509" t="e">
        <f t="shared" si="2"/>
        <v>#DIV/0!</v>
      </c>
      <c r="Z9" s="343" t="str">
        <f t="shared" ref="Z9:Z24" si="4">B9</f>
        <v>Acacia</v>
      </c>
      <c r="AC9" s="332" t="e">
        <f>W9</f>
        <v>#DIV/0!</v>
      </c>
      <c r="AE9" s="94">
        <f t="shared" ref="AE9:AE24" si="5">SUM(C9:F9)</f>
        <v>477.99300000000005</v>
      </c>
      <c r="AF9" s="94">
        <f t="shared" ref="AF9:AF24" si="6">SUM(G9:J9)</f>
        <v>385.19799999999998</v>
      </c>
      <c r="AG9" s="94">
        <f t="shared" si="3"/>
        <v>0</v>
      </c>
      <c r="AH9" s="94">
        <f t="shared" ref="AH9:AH24" si="7">SUM(O9:R9)</f>
        <v>0</v>
      </c>
    </row>
    <row r="10" spans="1:35" ht="16.5" customHeight="1">
      <c r="B10" s="342" t="s">
        <v>45</v>
      </c>
      <c r="C10" s="79">
        <v>150.44951379120542</v>
      </c>
      <c r="D10" s="53">
        <v>152.93469275282447</v>
      </c>
      <c r="E10" s="53">
        <v>161</v>
      </c>
      <c r="F10" s="415">
        <v>147</v>
      </c>
      <c r="G10" s="390">
        <v>184</v>
      </c>
      <c r="H10" s="79">
        <v>163.90556325191395</v>
      </c>
      <c r="I10" s="53">
        <v>151.55247492090146</v>
      </c>
      <c r="J10" s="415">
        <v>175</v>
      </c>
      <c r="K10" s="390"/>
      <c r="L10" s="79"/>
      <c r="M10" s="79"/>
      <c r="N10" s="415"/>
      <c r="O10" s="390"/>
      <c r="P10" s="79"/>
      <c r="Q10" s="79"/>
      <c r="R10" s="415"/>
      <c r="S10" s="390"/>
      <c r="T10" s="394"/>
      <c r="U10" s="79"/>
      <c r="V10" s="523"/>
      <c r="W10" s="666" t="e">
        <f t="shared" si="0"/>
        <v>#DIV/0!</v>
      </c>
      <c r="X10" s="1010">
        <f t="shared" si="1"/>
        <v>0</v>
      </c>
      <c r="Y10" s="1509" t="e">
        <f t="shared" si="2"/>
        <v>#DIV/0!</v>
      </c>
      <c r="Z10" s="343" t="str">
        <f t="shared" si="4"/>
        <v>Accelink</v>
      </c>
      <c r="AB10" s="332" t="e">
        <f t="shared" ref="AB10:AB23" si="8">W10</f>
        <v>#DIV/0!</v>
      </c>
      <c r="AC10" s="4"/>
      <c r="AE10" s="94">
        <f t="shared" si="5"/>
        <v>611.38420654402989</v>
      </c>
      <c r="AF10" s="94">
        <f t="shared" si="6"/>
        <v>674.45803817281535</v>
      </c>
      <c r="AG10" s="94">
        <f t="shared" si="3"/>
        <v>0</v>
      </c>
      <c r="AH10" s="94">
        <f t="shared" si="7"/>
        <v>0</v>
      </c>
    </row>
    <row r="11" spans="1:35" ht="16.5" customHeight="1">
      <c r="B11" s="61" t="s">
        <v>47</v>
      </c>
      <c r="C11" s="79">
        <v>50.4</v>
      </c>
      <c r="D11" s="53">
        <v>55.3</v>
      </c>
      <c r="E11" s="53">
        <v>70.099999999999994</v>
      </c>
      <c r="F11" s="415">
        <v>85</v>
      </c>
      <c r="G11" s="390">
        <v>96.2</v>
      </c>
      <c r="H11" s="79">
        <v>117.4</v>
      </c>
      <c r="I11" s="53">
        <v>88.879000000000005</v>
      </c>
      <c r="J11" s="415">
        <v>79.855000000000004</v>
      </c>
      <c r="K11" s="390"/>
      <c r="L11" s="608"/>
      <c r="M11" s="608"/>
      <c r="N11" s="415"/>
      <c r="O11" s="390"/>
      <c r="P11" s="79"/>
      <c r="Q11" s="79"/>
      <c r="R11" s="932"/>
      <c r="S11" s="390"/>
      <c r="T11" s="394"/>
      <c r="U11" s="394"/>
      <c r="V11" s="934"/>
      <c r="W11" s="666" t="e">
        <f t="shared" si="0"/>
        <v>#DIV/0!</v>
      </c>
      <c r="X11" s="1010">
        <f t="shared" si="1"/>
        <v>0</v>
      </c>
      <c r="Y11" s="1509" t="e">
        <f t="shared" si="2"/>
        <v>#DIV/0!</v>
      </c>
      <c r="Z11" s="343" t="str">
        <f t="shared" si="4"/>
        <v>Applied Optoelectronics</v>
      </c>
      <c r="AC11" s="332" t="e">
        <f>W11</f>
        <v>#DIV/0!</v>
      </c>
      <c r="AE11" s="94">
        <f t="shared" si="5"/>
        <v>260.79999999999995</v>
      </c>
      <c r="AF11" s="94">
        <f t="shared" si="6"/>
        <v>382.33400000000006</v>
      </c>
      <c r="AG11" s="94">
        <f t="shared" si="3"/>
        <v>0</v>
      </c>
      <c r="AH11" s="94">
        <f t="shared" si="7"/>
        <v>0</v>
      </c>
    </row>
    <row r="12" spans="1:35" ht="16.5" customHeight="1">
      <c r="B12" s="61" t="s">
        <v>157</v>
      </c>
      <c r="C12" s="79">
        <v>12</v>
      </c>
      <c r="D12" s="53">
        <v>12</v>
      </c>
      <c r="E12" s="53">
        <v>12</v>
      </c>
      <c r="F12" s="415">
        <v>10</v>
      </c>
      <c r="G12" s="390">
        <v>7</v>
      </c>
      <c r="H12" s="79">
        <v>6.6750600590181044</v>
      </c>
      <c r="I12" s="53">
        <v>7.1365271954084522</v>
      </c>
      <c r="J12" s="998">
        <v>7.3</v>
      </c>
      <c r="K12" s="380"/>
      <c r="L12" s="610" t="s">
        <v>429</v>
      </c>
      <c r="M12" s="610"/>
      <c r="N12" s="611"/>
      <c r="O12" s="611"/>
      <c r="P12" s="611"/>
      <c r="Q12" s="611"/>
      <c r="R12" s="1126"/>
      <c r="S12" s="611"/>
      <c r="T12" s="1513"/>
      <c r="U12" s="611"/>
      <c r="V12" s="1126"/>
      <c r="W12" s="1510"/>
      <c r="X12" s="1511"/>
      <c r="Y12" s="1512"/>
      <c r="Z12" s="343"/>
      <c r="AB12" s="332"/>
      <c r="AC12" s="4"/>
      <c r="AE12" s="94">
        <f t="shared" si="5"/>
        <v>46</v>
      </c>
      <c r="AF12" s="94">
        <f t="shared" si="6"/>
        <v>28.111587254426556</v>
      </c>
      <c r="AG12" s="94">
        <f t="shared" si="3"/>
        <v>0</v>
      </c>
      <c r="AH12" s="94">
        <f t="shared" si="7"/>
        <v>0</v>
      </c>
    </row>
    <row r="13" spans="1:35" ht="16.5" customHeight="1">
      <c r="B13" s="342" t="s">
        <v>159</v>
      </c>
      <c r="C13" s="391">
        <v>22.371873279921701</v>
      </c>
      <c r="D13" s="391">
        <v>29.514038149474999</v>
      </c>
      <c r="E13" s="391">
        <v>25.587815126050401</v>
      </c>
      <c r="F13" s="415">
        <v>29.9189939225306</v>
      </c>
      <c r="G13" s="390">
        <v>27.8867102396514</v>
      </c>
      <c r="H13" s="79">
        <v>34.878141013488928</v>
      </c>
      <c r="I13" s="79">
        <v>34.670123858507509</v>
      </c>
      <c r="J13" s="415">
        <v>32.582224943681013</v>
      </c>
      <c r="K13" s="390"/>
      <c r="L13" s="609"/>
      <c r="M13" s="609"/>
      <c r="N13" s="932"/>
      <c r="O13" s="390"/>
      <c r="P13" s="79"/>
      <c r="Q13" s="79"/>
      <c r="R13" s="932"/>
      <c r="S13" s="390"/>
      <c r="T13" s="394"/>
      <c r="U13" s="79"/>
      <c r="V13" s="523"/>
      <c r="W13" s="666">
        <v>-1</v>
      </c>
      <c r="X13" s="1010">
        <v>-2379.933835272644</v>
      </c>
      <c r="Y13" s="1509">
        <v>-1</v>
      </c>
      <c r="Z13" s="343" t="str">
        <f t="shared" si="4"/>
        <v>Eoptolink</v>
      </c>
      <c r="AC13" s="332">
        <f>W13</f>
        <v>-1</v>
      </c>
      <c r="AE13" s="94">
        <f t="shared" si="5"/>
        <v>107.3927204779777</v>
      </c>
      <c r="AF13" s="94">
        <f t="shared" si="6"/>
        <v>130.01720005532886</v>
      </c>
      <c r="AG13" s="94">
        <f t="shared" si="3"/>
        <v>0</v>
      </c>
      <c r="AH13" s="94">
        <f t="shared" si="7"/>
        <v>0</v>
      </c>
    </row>
    <row r="14" spans="1:35" ht="16.5" customHeight="1">
      <c r="B14" s="61" t="s">
        <v>50</v>
      </c>
      <c r="C14" s="79">
        <v>318.8</v>
      </c>
      <c r="D14" s="79">
        <v>341</v>
      </c>
      <c r="E14" s="53">
        <v>369.9</v>
      </c>
      <c r="F14" s="415">
        <v>381</v>
      </c>
      <c r="G14" s="390">
        <v>357.52699999999999</v>
      </c>
      <c r="H14" s="79">
        <v>341.8</v>
      </c>
      <c r="I14" s="391">
        <v>332.20499999999998</v>
      </c>
      <c r="J14" s="415">
        <v>332.40300000000002</v>
      </c>
      <c r="K14" s="390"/>
      <c r="L14" s="609"/>
      <c r="M14" s="609"/>
      <c r="N14" s="932"/>
      <c r="O14" s="390"/>
      <c r="P14" s="79"/>
      <c r="Q14" s="610" t="s">
        <v>429</v>
      </c>
      <c r="R14" s="1125"/>
      <c r="S14" s="611"/>
      <c r="T14" s="1513"/>
      <c r="U14" s="611"/>
      <c r="V14" s="1125"/>
      <c r="W14" s="1510"/>
      <c r="X14" s="1511"/>
      <c r="Y14" s="1512"/>
      <c r="Z14" s="343"/>
      <c r="AB14" s="332">
        <f t="shared" si="8"/>
        <v>0</v>
      </c>
      <c r="AC14" s="4"/>
      <c r="AE14" s="94">
        <f t="shared" si="5"/>
        <v>1410.6999999999998</v>
      </c>
      <c r="AF14" s="94">
        <f>SUM(G14:J14)</f>
        <v>1363.9349999999999</v>
      </c>
      <c r="AG14" s="94">
        <f t="shared" si="3"/>
        <v>0</v>
      </c>
      <c r="AH14" s="94">
        <f t="shared" si="7"/>
        <v>0</v>
      </c>
    </row>
    <row r="15" spans="1:35" ht="16.5" customHeight="1">
      <c r="B15" s="61" t="s">
        <v>51</v>
      </c>
      <c r="C15" s="79">
        <v>142.59066723747785</v>
      </c>
      <c r="D15" s="79">
        <v>179.61913330334386</v>
      </c>
      <c r="E15" s="79">
        <v>164.23751686909583</v>
      </c>
      <c r="F15" s="415">
        <v>218</v>
      </c>
      <c r="G15" s="390">
        <v>197</v>
      </c>
      <c r="H15" s="79">
        <v>134.15231498359458</v>
      </c>
      <c r="I15" s="53">
        <v>162</v>
      </c>
      <c r="J15" s="415">
        <v>155</v>
      </c>
      <c r="K15" s="79"/>
      <c r="L15" s="79"/>
      <c r="M15" s="79"/>
      <c r="N15" s="415"/>
      <c r="O15" s="390"/>
      <c r="P15" s="79"/>
      <c r="Q15" s="79"/>
      <c r="R15" s="415"/>
      <c r="S15" s="390"/>
      <c r="T15" s="394"/>
      <c r="U15" s="79"/>
      <c r="V15" s="523"/>
      <c r="W15" s="666" t="e">
        <f t="shared" ref="W15:W19" si="9">U15/Q15-1</f>
        <v>#DIV/0!</v>
      </c>
      <c r="X15" s="1010">
        <f t="shared" ref="X15:X19" si="10">U15-Q15</f>
        <v>0</v>
      </c>
      <c r="Y15" s="1509" t="e">
        <f t="shared" ref="Y15:Y19" si="11">U15/T15-1</f>
        <v>#DIV/0!</v>
      </c>
      <c r="Z15" s="343" t="str">
        <f t="shared" si="4"/>
        <v>Hisense</v>
      </c>
      <c r="AC15" s="332" t="e">
        <f>W15</f>
        <v>#DIV/0!</v>
      </c>
      <c r="AE15" s="94">
        <f t="shared" si="5"/>
        <v>704.44731740991756</v>
      </c>
      <c r="AF15" s="94">
        <f t="shared" si="6"/>
        <v>648.15231498359458</v>
      </c>
      <c r="AG15" s="94">
        <f t="shared" si="3"/>
        <v>0</v>
      </c>
      <c r="AH15" s="94">
        <f>SUM(O15:R15)</f>
        <v>0</v>
      </c>
    </row>
    <row r="16" spans="1:35" ht="16.5" customHeight="1">
      <c r="B16" s="342" t="s">
        <v>351</v>
      </c>
      <c r="C16" s="391">
        <v>46.960053853097321</v>
      </c>
      <c r="D16" s="391">
        <v>46.960053853097321</v>
      </c>
      <c r="E16" s="391">
        <v>50.916575266356539</v>
      </c>
      <c r="F16" s="415">
        <v>49.689984268140876</v>
      </c>
      <c r="G16" s="390">
        <v>53.957879448075531</v>
      </c>
      <c r="H16" s="79">
        <v>54.174261757200142</v>
      </c>
      <c r="I16" s="53">
        <v>72</v>
      </c>
      <c r="J16" s="415">
        <v>83</v>
      </c>
      <c r="K16" s="79"/>
      <c r="L16" s="79"/>
      <c r="M16" s="79"/>
      <c r="N16" s="415"/>
      <c r="O16" s="390"/>
      <c r="P16" s="79"/>
      <c r="Q16" s="79"/>
      <c r="R16" s="932"/>
      <c r="S16" s="390"/>
      <c r="T16" s="394"/>
      <c r="U16" s="394"/>
      <c r="V16" s="523"/>
      <c r="W16" s="666" t="e">
        <f t="shared" si="9"/>
        <v>#DIV/0!</v>
      </c>
      <c r="X16" s="1010">
        <f t="shared" si="10"/>
        <v>0</v>
      </c>
      <c r="Y16" s="1509" t="e">
        <f t="shared" si="11"/>
        <v>#DIV/0!</v>
      </c>
      <c r="Z16" s="343" t="str">
        <f t="shared" si="4"/>
        <v>HGG</v>
      </c>
      <c r="AC16" s="332" t="e">
        <f>W16</f>
        <v>#DIV/0!</v>
      </c>
      <c r="AE16" s="94">
        <f t="shared" si="5"/>
        <v>194.52666724069206</v>
      </c>
      <c r="AF16" s="94">
        <f t="shared" si="6"/>
        <v>263.13214120527567</v>
      </c>
      <c r="AG16" s="94">
        <f t="shared" si="3"/>
        <v>0</v>
      </c>
      <c r="AH16" s="94">
        <f t="shared" si="7"/>
        <v>0</v>
      </c>
    </row>
    <row r="17" spans="2:34" ht="16.5" customHeight="1">
      <c r="B17" s="61" t="s">
        <v>162</v>
      </c>
      <c r="C17" s="79">
        <v>55</v>
      </c>
      <c r="D17" s="79">
        <v>60</v>
      </c>
      <c r="E17" s="53">
        <v>88</v>
      </c>
      <c r="F17" s="415">
        <v>93.5</v>
      </c>
      <c r="G17" s="570">
        <v>98</v>
      </c>
      <c r="H17" s="79">
        <v>153</v>
      </c>
      <c r="I17" s="53">
        <v>171</v>
      </c>
      <c r="J17" s="415">
        <v>184</v>
      </c>
      <c r="K17" s="79"/>
      <c r="L17" s="79"/>
      <c r="M17" s="79"/>
      <c r="N17" s="415"/>
      <c r="O17" s="390"/>
      <c r="P17" s="79"/>
      <c r="Q17" s="79"/>
      <c r="R17" s="932"/>
      <c r="S17" s="390"/>
      <c r="T17" s="394"/>
      <c r="U17" s="394"/>
      <c r="V17" s="523"/>
      <c r="W17" s="666" t="e">
        <f t="shared" si="9"/>
        <v>#DIV/0!</v>
      </c>
      <c r="X17" s="1010">
        <f t="shared" si="10"/>
        <v>0</v>
      </c>
      <c r="Y17" s="1509" t="e">
        <f t="shared" si="11"/>
        <v>#DIV/0!</v>
      </c>
      <c r="Z17" s="343" t="str">
        <f t="shared" si="4"/>
        <v>Innolight</v>
      </c>
      <c r="AB17" s="332" t="e">
        <f t="shared" si="8"/>
        <v>#DIV/0!</v>
      </c>
      <c r="AC17" s="4"/>
      <c r="AE17" s="94">
        <f t="shared" si="5"/>
        <v>296.5</v>
      </c>
      <c r="AF17" s="94">
        <f t="shared" si="6"/>
        <v>606</v>
      </c>
      <c r="AG17" s="94">
        <f t="shared" si="3"/>
        <v>0</v>
      </c>
      <c r="AH17" s="94">
        <f t="shared" si="7"/>
        <v>0</v>
      </c>
    </row>
    <row r="18" spans="2:34" ht="16.5" customHeight="1">
      <c r="B18" s="342" t="s">
        <v>475</v>
      </c>
      <c r="C18" s="79">
        <v>197.2</v>
      </c>
      <c r="D18" s="53">
        <v>201.2</v>
      </c>
      <c r="E18" s="53">
        <v>218.3</v>
      </c>
      <c r="F18" s="415">
        <v>237</v>
      </c>
      <c r="G18" s="390">
        <v>216.1</v>
      </c>
      <c r="H18" s="79">
        <v>186.8</v>
      </c>
      <c r="I18" s="53">
        <v>207.9</v>
      </c>
      <c r="J18" s="415">
        <v>360.1</v>
      </c>
      <c r="K18" s="390"/>
      <c r="L18" s="79"/>
      <c r="M18" s="79"/>
      <c r="N18" s="415"/>
      <c r="O18" s="390"/>
      <c r="P18" s="79"/>
      <c r="Q18" s="79"/>
      <c r="R18" s="932"/>
      <c r="S18" s="390"/>
      <c r="T18" s="394"/>
      <c r="U18" s="337"/>
      <c r="V18" s="523"/>
      <c r="W18" s="666" t="e">
        <f t="shared" si="9"/>
        <v>#DIV/0!</v>
      </c>
      <c r="X18" s="1010">
        <f t="shared" si="10"/>
        <v>0</v>
      </c>
      <c r="Y18" s="1509" t="e">
        <f t="shared" si="11"/>
        <v>#DIV/0!</v>
      </c>
      <c r="Z18" s="343" t="str">
        <f t="shared" si="4"/>
        <v>Lumentum (optical comm)</v>
      </c>
      <c r="AB18" s="332" t="e">
        <f t="shared" si="8"/>
        <v>#DIV/0!</v>
      </c>
      <c r="AC18" s="4"/>
      <c r="AE18" s="94">
        <f t="shared" si="5"/>
        <v>853.7</v>
      </c>
      <c r="AF18" s="94">
        <f t="shared" si="6"/>
        <v>970.9</v>
      </c>
      <c r="AG18" s="94">
        <f t="shared" si="3"/>
        <v>0</v>
      </c>
      <c r="AH18" s="94">
        <f t="shared" si="7"/>
        <v>0</v>
      </c>
    </row>
    <row r="19" spans="2:34" ht="16.5" customHeight="1">
      <c r="B19" s="61" t="s">
        <v>52</v>
      </c>
      <c r="C19" s="79">
        <v>99.1</v>
      </c>
      <c r="D19" s="53">
        <v>99.1</v>
      </c>
      <c r="E19" s="53">
        <v>103.3</v>
      </c>
      <c r="F19" s="415">
        <v>109.8</v>
      </c>
      <c r="G19" s="390">
        <v>71.7</v>
      </c>
      <c r="H19" s="79">
        <v>73</v>
      </c>
      <c r="I19" s="53">
        <v>71.120999999999995</v>
      </c>
      <c r="J19" s="415">
        <v>76.900000000000006</v>
      </c>
      <c r="K19" s="390"/>
      <c r="L19" s="79"/>
      <c r="M19" s="79"/>
      <c r="N19" s="415"/>
      <c r="O19" s="390"/>
      <c r="P19" s="79"/>
      <c r="Q19" s="79"/>
      <c r="R19" s="932"/>
      <c r="S19" s="390"/>
      <c r="T19" s="394"/>
      <c r="U19" s="394"/>
      <c r="V19" s="934"/>
      <c r="W19" s="666" t="e">
        <f t="shared" si="9"/>
        <v>#DIV/0!</v>
      </c>
      <c r="X19" s="1010">
        <f t="shared" si="10"/>
        <v>0</v>
      </c>
      <c r="Y19" s="1509" t="e">
        <f t="shared" si="11"/>
        <v>#DIV/0!</v>
      </c>
      <c r="Z19" s="343" t="str">
        <f t="shared" si="4"/>
        <v>NeoPhotonics</v>
      </c>
      <c r="AC19" s="332" t="e">
        <f>W19</f>
        <v>#DIV/0!</v>
      </c>
      <c r="AE19" s="94">
        <f t="shared" si="5"/>
        <v>411.3</v>
      </c>
      <c r="AF19" s="94">
        <f t="shared" si="6"/>
        <v>292.721</v>
      </c>
      <c r="AG19" s="94">
        <f t="shared" si="3"/>
        <v>0</v>
      </c>
      <c r="AH19" s="94">
        <f t="shared" si="7"/>
        <v>0</v>
      </c>
    </row>
    <row r="20" spans="2:34" ht="16.5" customHeight="1">
      <c r="B20" s="61" t="s">
        <v>97</v>
      </c>
      <c r="C20" s="79">
        <v>101.1</v>
      </c>
      <c r="D20" s="53">
        <v>125.185</v>
      </c>
      <c r="E20" s="53">
        <v>135.49199999999999</v>
      </c>
      <c r="F20" s="415">
        <v>154</v>
      </c>
      <c r="G20" s="390">
        <v>162</v>
      </c>
      <c r="H20" s="79">
        <v>149</v>
      </c>
      <c r="I20" s="79">
        <v>155.59800000000001</v>
      </c>
      <c r="J20" s="415">
        <v>139.33500000000001</v>
      </c>
      <c r="K20" s="390"/>
      <c r="L20" s="79"/>
      <c r="M20" s="79"/>
      <c r="N20" s="415"/>
      <c r="O20" s="611" t="s">
        <v>501</v>
      </c>
      <c r="P20" s="1108"/>
      <c r="Q20" s="1108"/>
      <c r="R20" s="1126"/>
      <c r="S20" s="611"/>
      <c r="T20" s="1015"/>
      <c r="U20" s="1059"/>
      <c r="V20" s="1126"/>
      <c r="W20" s="1510"/>
      <c r="X20" s="1511"/>
      <c r="Y20" s="1512"/>
      <c r="Z20" s="343"/>
      <c r="AB20" s="332"/>
      <c r="AC20" s="4"/>
      <c r="AE20" s="94">
        <f t="shared" si="5"/>
        <v>515.77700000000004</v>
      </c>
      <c r="AF20" s="94">
        <f t="shared" si="6"/>
        <v>605.93299999999999</v>
      </c>
      <c r="AG20" s="94">
        <f t="shared" si="3"/>
        <v>0</v>
      </c>
      <c r="AH20" s="94">
        <f t="shared" si="7"/>
        <v>0</v>
      </c>
    </row>
    <row r="21" spans="2:34" ht="16.5" customHeight="1">
      <c r="B21" s="61" t="s">
        <v>164</v>
      </c>
      <c r="C21" s="391">
        <v>13.607873746222266</v>
      </c>
      <c r="D21" s="1144">
        <v>13.354742881217851</v>
      </c>
      <c r="E21" s="1144">
        <v>16.949070840635351</v>
      </c>
      <c r="F21" s="415">
        <v>24.856084539520594</v>
      </c>
      <c r="G21" s="390">
        <v>20.245789248394285</v>
      </c>
      <c r="H21" s="391">
        <v>17.374198050997453</v>
      </c>
      <c r="I21" s="391">
        <v>14.760861766622105</v>
      </c>
      <c r="J21" s="415">
        <v>15.234050035451244</v>
      </c>
      <c r="K21" s="390"/>
      <c r="L21" s="391"/>
      <c r="M21" s="391"/>
      <c r="N21" s="415"/>
      <c r="O21" s="390"/>
      <c r="P21" s="79"/>
      <c r="Q21" s="79"/>
      <c r="R21" s="932"/>
      <c r="S21" s="390"/>
      <c r="T21" s="394"/>
      <c r="U21" s="394"/>
      <c r="V21" s="934"/>
      <c r="W21" s="666" t="e">
        <f t="shared" ref="W21:W24" si="12">U21/Q21-1</f>
        <v>#DIV/0!</v>
      </c>
      <c r="X21" s="1010">
        <f t="shared" ref="X21:X24" si="13">U21-Q21</f>
        <v>0</v>
      </c>
      <c r="Y21" s="1509" t="e">
        <f t="shared" ref="Y21:Y24" si="14">U21/T21-1</f>
        <v>#DIV/0!</v>
      </c>
      <c r="Z21" s="343" t="str">
        <f t="shared" si="4"/>
        <v>OE Solutions</v>
      </c>
      <c r="AB21" s="332"/>
      <c r="AC21" s="4"/>
      <c r="AE21" s="94">
        <f t="shared" ref="AE21" si="15">SUM(C21:F21)</f>
        <v>68.767772007596065</v>
      </c>
      <c r="AF21" s="94">
        <f t="shared" ref="AF21" si="16">SUM(G21:J21)</f>
        <v>67.614899101465085</v>
      </c>
      <c r="AG21" s="94">
        <f t="shared" si="3"/>
        <v>0</v>
      </c>
      <c r="AH21" s="94">
        <f t="shared" ref="AH21" si="17">SUM(O21:R21)</f>
        <v>0</v>
      </c>
    </row>
    <row r="22" spans="2:34" ht="16.5" customHeight="1">
      <c r="B22" s="61" t="s">
        <v>54</v>
      </c>
      <c r="C22" s="79">
        <v>48</v>
      </c>
      <c r="D22" s="53">
        <v>48</v>
      </c>
      <c r="E22" s="53">
        <v>52</v>
      </c>
      <c r="F22" s="415">
        <v>57.889229896322277</v>
      </c>
      <c r="G22" s="390">
        <v>55</v>
      </c>
      <c r="H22" s="79">
        <v>41</v>
      </c>
      <c r="I22" s="53">
        <v>68.5</v>
      </c>
      <c r="J22" s="415">
        <v>79.26127045901157</v>
      </c>
      <c r="K22" s="390"/>
      <c r="L22" s="79"/>
      <c r="M22" s="79"/>
      <c r="N22" s="415"/>
      <c r="O22" s="390"/>
      <c r="P22" s="79"/>
      <c r="Q22" s="79"/>
      <c r="R22" s="932"/>
      <c r="S22" s="390"/>
      <c r="T22" s="394"/>
      <c r="U22" s="394"/>
      <c r="V22" s="523"/>
      <c r="W22" s="666" t="e">
        <f t="shared" si="12"/>
        <v>#DIV/0!</v>
      </c>
      <c r="X22" s="1010">
        <f t="shared" si="13"/>
        <v>0</v>
      </c>
      <c r="Y22" s="1509" t="e">
        <f t="shared" si="14"/>
        <v>#DIV/0!</v>
      </c>
      <c r="Z22" s="343" t="str">
        <f t="shared" si="4"/>
        <v>O-Net</v>
      </c>
      <c r="AC22" s="332" t="e">
        <f>W22</f>
        <v>#DIV/0!</v>
      </c>
      <c r="AE22" s="94">
        <f t="shared" si="5"/>
        <v>205.88922989632226</v>
      </c>
      <c r="AF22" s="94">
        <f t="shared" si="6"/>
        <v>243.76127045901157</v>
      </c>
      <c r="AG22" s="94">
        <f t="shared" si="3"/>
        <v>0</v>
      </c>
      <c r="AH22" s="94">
        <f t="shared" si="7"/>
        <v>0</v>
      </c>
    </row>
    <row r="23" spans="2:34" ht="16.5" customHeight="1">
      <c r="B23" s="61" t="s">
        <v>56</v>
      </c>
      <c r="C23" s="79">
        <v>144.02238700372541</v>
      </c>
      <c r="D23" s="79">
        <v>148.30991581558402</v>
      </c>
      <c r="E23" s="79">
        <v>173.78761738591282</v>
      </c>
      <c r="F23" s="415">
        <v>176</v>
      </c>
      <c r="G23" s="390">
        <v>172.7</v>
      </c>
      <c r="H23" s="79">
        <v>164</v>
      </c>
      <c r="I23" s="79">
        <v>139.83747154431131</v>
      </c>
      <c r="J23" s="415">
        <v>143.31200704388237</v>
      </c>
      <c r="K23" s="390"/>
      <c r="L23" s="79"/>
      <c r="M23" s="79"/>
      <c r="N23" s="932"/>
      <c r="O23" s="390"/>
      <c r="P23" s="79"/>
      <c r="Q23" s="79"/>
      <c r="R23" s="932"/>
      <c r="S23" s="390"/>
      <c r="T23" s="79"/>
      <c r="U23" s="79"/>
      <c r="V23" s="934"/>
      <c r="W23" s="666" t="e">
        <f t="shared" si="12"/>
        <v>#DIV/0!</v>
      </c>
      <c r="X23" s="1010">
        <f t="shared" si="13"/>
        <v>0</v>
      </c>
      <c r="Y23" s="1509" t="e">
        <f t="shared" si="14"/>
        <v>#DIV/0!</v>
      </c>
      <c r="Z23" s="343" t="str">
        <f t="shared" si="4"/>
        <v>Sumitomo</v>
      </c>
      <c r="AB23" s="332" t="e">
        <f t="shared" si="8"/>
        <v>#DIV/0!</v>
      </c>
      <c r="AC23" s="4"/>
      <c r="AE23" s="94">
        <f t="shared" si="5"/>
        <v>642.11992020522234</v>
      </c>
      <c r="AF23" s="94">
        <f t="shared" si="6"/>
        <v>619.84947858819373</v>
      </c>
      <c r="AG23" s="94">
        <f t="shared" si="3"/>
        <v>0</v>
      </c>
      <c r="AH23" s="94">
        <f t="shared" si="7"/>
        <v>0</v>
      </c>
    </row>
    <row r="24" spans="2:34" ht="16.5" customHeight="1">
      <c r="B24" s="61" t="s">
        <v>19</v>
      </c>
      <c r="C24" s="54">
        <f>SUM(C8:C23)</f>
        <v>1566.69136891165</v>
      </c>
      <c r="D24" s="54">
        <f>SUM(D8:D23)</f>
        <v>1727.7775767555424</v>
      </c>
      <c r="E24" s="54">
        <f t="shared" ref="E24:N24" si="18">SUM(E8:E23)</f>
        <v>1872.674595488051</v>
      </c>
      <c r="F24" s="416">
        <f t="shared" si="18"/>
        <v>2016.5542926265146</v>
      </c>
      <c r="G24" s="54">
        <f t="shared" si="18"/>
        <v>1943.1173789361212</v>
      </c>
      <c r="H24" s="79">
        <f t="shared" si="18"/>
        <v>1828.7595391162131</v>
      </c>
      <c r="I24" s="79">
        <f t="shared" si="18"/>
        <v>1898.158459285751</v>
      </c>
      <c r="J24" s="416">
        <f t="shared" si="18"/>
        <v>2060.3825524820263</v>
      </c>
      <c r="K24" s="54">
        <f t="shared" si="18"/>
        <v>0</v>
      </c>
      <c r="L24" s="79">
        <f t="shared" si="18"/>
        <v>0</v>
      </c>
      <c r="M24" s="79">
        <f t="shared" si="18"/>
        <v>0</v>
      </c>
      <c r="N24" s="416">
        <f t="shared" si="18"/>
        <v>0</v>
      </c>
      <c r="O24" s="54">
        <f>SUM(O8:O23)</f>
        <v>0</v>
      </c>
      <c r="P24" s="79">
        <f t="shared" ref="P24" si="19">SUM(P8:P23)</f>
        <v>0</v>
      </c>
      <c r="Q24" s="79">
        <f>SUM(Q8:Q23)</f>
        <v>0</v>
      </c>
      <c r="R24" s="932">
        <f>SUM(R8:R23)</f>
        <v>0</v>
      </c>
      <c r="S24" s="54">
        <f>SUM(S8:S23)</f>
        <v>0</v>
      </c>
      <c r="T24" s="54">
        <f>SUM(T8:T23)</f>
        <v>0</v>
      </c>
      <c r="U24" s="54">
        <f>SUM(U8:U23)</f>
        <v>0</v>
      </c>
      <c r="V24" s="416"/>
      <c r="W24" s="666" t="e">
        <f t="shared" si="12"/>
        <v>#DIV/0!</v>
      </c>
      <c r="X24" s="1010">
        <f t="shared" si="13"/>
        <v>0</v>
      </c>
      <c r="Y24" s="1509" t="e">
        <f t="shared" si="14"/>
        <v>#DIV/0!</v>
      </c>
      <c r="Z24" s="343" t="str">
        <f t="shared" si="4"/>
        <v>Total</v>
      </c>
      <c r="AE24" s="94">
        <f t="shared" si="5"/>
        <v>7183.6978337817573</v>
      </c>
      <c r="AF24" s="94">
        <f t="shared" si="6"/>
        <v>7730.4179298201107</v>
      </c>
      <c r="AG24" s="94">
        <f t="shared" si="3"/>
        <v>0</v>
      </c>
      <c r="AH24" s="94">
        <f t="shared" si="7"/>
        <v>0</v>
      </c>
    </row>
    <row r="25" spans="2:34" ht="16.5" customHeight="1">
      <c r="B25" s="70" t="s">
        <v>94</v>
      </c>
      <c r="C25" s="49">
        <v>0.21145030751046678</v>
      </c>
      <c r="D25" s="49">
        <v>0.29964158234486171</v>
      </c>
      <c r="E25" s="49">
        <v>0.33384625904639553</v>
      </c>
      <c r="F25" s="49">
        <v>0.37113188417119014</v>
      </c>
      <c r="G25" s="49">
        <f t="shared" ref="G25:Q25" si="20">G24/(C24)-1</f>
        <v>0.2402681328907601</v>
      </c>
      <c r="H25" s="49">
        <f t="shared" si="20"/>
        <v>5.8446158648670865E-2</v>
      </c>
      <c r="I25" s="49">
        <f t="shared" si="20"/>
        <v>1.3608271217594226E-2</v>
      </c>
      <c r="J25" s="598">
        <f t="shared" si="20"/>
        <v>2.1734232505303153E-2</v>
      </c>
      <c r="K25" s="49">
        <f t="shared" si="20"/>
        <v>-1</v>
      </c>
      <c r="L25" s="49">
        <f t="shared" si="20"/>
        <v>-1</v>
      </c>
      <c r="M25" s="49">
        <f>M24/(I24)-1</f>
        <v>-1</v>
      </c>
      <c r="N25" s="598">
        <f t="shared" si="20"/>
        <v>-1</v>
      </c>
      <c r="O25" s="598" t="e">
        <f t="shared" si="20"/>
        <v>#DIV/0!</v>
      </c>
      <c r="P25" s="598" t="e">
        <f t="shared" si="20"/>
        <v>#DIV/0!</v>
      </c>
      <c r="Q25" s="598" t="e">
        <f t="shared" si="20"/>
        <v>#DIV/0!</v>
      </c>
      <c r="R25" s="598" t="e">
        <f>R24/(N24)-1</f>
        <v>#DIV/0!</v>
      </c>
      <c r="S25" s="598" t="e">
        <f>S24/(O24)-1</f>
        <v>#DIV/0!</v>
      </c>
      <c r="T25" s="598" t="e">
        <f>T24/(P24)-1</f>
        <v>#DIV/0!</v>
      </c>
      <c r="U25" s="598" t="e">
        <f>U24/(Q24)-1</f>
        <v>#DIV/0!</v>
      </c>
      <c r="V25" s="1137" t="s">
        <v>548</v>
      </c>
      <c r="W25" s="21"/>
    </row>
    <row r="26" spans="2:34" ht="13.8">
      <c r="B26" s="51"/>
      <c r="C26" s="51"/>
      <c r="D26" s="51"/>
      <c r="E26" s="51"/>
      <c r="F26" s="49">
        <v>0.30637453624552036</v>
      </c>
      <c r="G26" s="50">
        <f>G24/F24-1</f>
        <v>-3.641702777798439E-2</v>
      </c>
      <c r="H26" s="50">
        <f t="shared" ref="H26:Q26" si="21">H24/G24-1</f>
        <v>-5.8852769811837291E-2</v>
      </c>
      <c r="I26" s="50">
        <f t="shared" si="21"/>
        <v>3.7948630579981213E-2</v>
      </c>
      <c r="J26" s="50">
        <f t="shared" si="21"/>
        <v>8.5463936060068413E-2</v>
      </c>
      <c r="K26" s="50">
        <f t="shared" si="21"/>
        <v>-1</v>
      </c>
      <c r="L26" s="50" t="e">
        <f t="shared" si="21"/>
        <v>#DIV/0!</v>
      </c>
      <c r="M26" s="50" t="e">
        <f t="shared" si="21"/>
        <v>#DIV/0!</v>
      </c>
      <c r="N26" s="50" t="e">
        <f t="shared" si="21"/>
        <v>#DIV/0!</v>
      </c>
      <c r="O26" s="50" t="e">
        <f t="shared" si="21"/>
        <v>#DIV/0!</v>
      </c>
      <c r="P26" s="50" t="e">
        <f t="shared" si="21"/>
        <v>#DIV/0!</v>
      </c>
      <c r="Q26" s="50" t="e">
        <f t="shared" si="21"/>
        <v>#DIV/0!</v>
      </c>
      <c r="R26" s="50" t="e">
        <f>R24/Q24-1</f>
        <v>#DIV/0!</v>
      </c>
      <c r="S26" s="50" t="e">
        <f>S24/R24-1</f>
        <v>#DIV/0!</v>
      </c>
      <c r="T26" s="50" t="e">
        <f>T24/S24-1</f>
        <v>#DIV/0!</v>
      </c>
      <c r="U26" s="50" t="e">
        <f>U24/T24-1</f>
        <v>#DIV/0!</v>
      </c>
      <c r="V26" s="551" t="s">
        <v>547</v>
      </c>
      <c r="W26" s="21"/>
    </row>
    <row r="27" spans="2:34" ht="13.8">
      <c r="B27" s="51"/>
      <c r="C27" s="100">
        <v>6139.9470135078491</v>
      </c>
      <c r="D27" s="100">
        <v>6568.0276285603068</v>
      </c>
      <c r="E27" s="100">
        <v>7063.9604779583224</v>
      </c>
      <c r="F27" s="100">
        <v>7638.5500617741618</v>
      </c>
      <c r="G27" s="100">
        <f t="shared" ref="G27:N27" si="22">SUM(D24:G24)</f>
        <v>7560.1238438062292</v>
      </c>
      <c r="H27" s="100">
        <f t="shared" si="22"/>
        <v>7661.1058061669</v>
      </c>
      <c r="I27" s="100">
        <f t="shared" si="22"/>
        <v>7686.5896699646</v>
      </c>
      <c r="J27" s="100">
        <f t="shared" si="22"/>
        <v>7730.4179298201107</v>
      </c>
      <c r="K27" s="100">
        <f t="shared" si="22"/>
        <v>5787.3005508839906</v>
      </c>
      <c r="L27" s="100">
        <f t="shared" si="22"/>
        <v>3958.5410117677775</v>
      </c>
      <c r="M27" s="100">
        <f t="shared" si="22"/>
        <v>2060.3825524820263</v>
      </c>
      <c r="N27" s="100">
        <f t="shared" si="22"/>
        <v>0</v>
      </c>
      <c r="O27" s="100">
        <f t="shared" ref="O27:U27" si="23">SUM(L24:O24)</f>
        <v>0</v>
      </c>
      <c r="P27" s="100">
        <f t="shared" si="23"/>
        <v>0</v>
      </c>
      <c r="Q27" s="100">
        <f t="shared" si="23"/>
        <v>0</v>
      </c>
      <c r="R27" s="100">
        <f t="shared" si="23"/>
        <v>0</v>
      </c>
      <c r="S27" s="100">
        <f t="shared" si="23"/>
        <v>0</v>
      </c>
      <c r="T27" s="100">
        <f t="shared" si="23"/>
        <v>0</v>
      </c>
      <c r="U27" s="100">
        <f t="shared" si="23"/>
        <v>0</v>
      </c>
      <c r="V27" s="1139" t="s">
        <v>546</v>
      </c>
      <c r="W27" s="21"/>
      <c r="X27" s="100"/>
      <c r="Y27" s="100"/>
    </row>
    <row r="28" spans="2:34" ht="13.8">
      <c r="C28" s="49">
        <v>0.18307321569776835</v>
      </c>
      <c r="D28" s="49">
        <v>0.23098173442543501</v>
      </c>
      <c r="E28" s="49">
        <v>0.27327498274313822</v>
      </c>
      <c r="F28" s="49">
        <v>0.30637453624552036</v>
      </c>
      <c r="G28" s="49">
        <f t="shared" ref="G28:M28" si="24">G27/C27-1</f>
        <v>0.23130115409367513</v>
      </c>
      <c r="H28" s="49">
        <f t="shared" si="24"/>
        <v>0.16642411381667599</v>
      </c>
      <c r="I28" s="49">
        <f t="shared" si="24"/>
        <v>8.8141658485925589E-2</v>
      </c>
      <c r="J28" s="49">
        <f t="shared" si="24"/>
        <v>1.2026872548192902E-2</v>
      </c>
      <c r="K28" s="49">
        <f t="shared" si="24"/>
        <v>-0.23449659417612012</v>
      </c>
      <c r="L28" s="49">
        <f t="shared" si="24"/>
        <v>-0.48329378135186418</v>
      </c>
      <c r="M28" s="49">
        <f t="shared" si="24"/>
        <v>-0.73195101586689548</v>
      </c>
      <c r="N28" s="49">
        <f t="shared" ref="N28:U28" si="25">N27/J27-1</f>
        <v>-1</v>
      </c>
      <c r="O28" s="49">
        <f t="shared" si="25"/>
        <v>-1</v>
      </c>
      <c r="P28" s="49">
        <f t="shared" si="25"/>
        <v>-1</v>
      </c>
      <c r="Q28" s="49">
        <f t="shared" si="25"/>
        <v>-1</v>
      </c>
      <c r="R28" s="49" t="e">
        <f t="shared" si="25"/>
        <v>#DIV/0!</v>
      </c>
      <c r="S28" s="49" t="e">
        <f t="shared" si="25"/>
        <v>#DIV/0!</v>
      </c>
      <c r="T28" s="49" t="e">
        <f t="shared" si="25"/>
        <v>#DIV/0!</v>
      </c>
      <c r="U28" s="49" t="e">
        <f t="shared" si="25"/>
        <v>#DIV/0!</v>
      </c>
      <c r="V28" s="1138" t="s">
        <v>545</v>
      </c>
      <c r="X28" s="49"/>
      <c r="Y28" s="49"/>
    </row>
    <row r="29" spans="2:34" ht="13.8">
      <c r="J29" s="1140">
        <f>J18+J20</f>
        <v>499.43500000000006</v>
      </c>
      <c r="K29" s="1140">
        <f t="shared" ref="K29:M29" si="26">K18+K20</f>
        <v>0</v>
      </c>
      <c r="L29" s="1140">
        <f t="shared" si="26"/>
        <v>0</v>
      </c>
      <c r="M29" s="1140">
        <f t="shared" si="26"/>
        <v>0</v>
      </c>
      <c r="N29" s="1140">
        <f>N18+N20</f>
        <v>0</v>
      </c>
      <c r="O29" s="1140">
        <f t="shared" ref="O29:T29" si="27">O18</f>
        <v>0</v>
      </c>
      <c r="P29" s="1140">
        <f t="shared" si="27"/>
        <v>0</v>
      </c>
      <c r="Q29" s="1140">
        <f t="shared" si="27"/>
        <v>0</v>
      </c>
      <c r="R29" s="1140">
        <f t="shared" si="27"/>
        <v>0</v>
      </c>
      <c r="S29" s="1140">
        <f t="shared" si="27"/>
        <v>0</v>
      </c>
      <c r="T29" s="1140">
        <f t="shared" si="27"/>
        <v>0</v>
      </c>
      <c r="U29" s="1140">
        <f t="shared" ref="U29" si="28">U18</f>
        <v>0</v>
      </c>
      <c r="V29" s="1138" t="s">
        <v>549</v>
      </c>
    </row>
    <row r="30" spans="2:34" ht="13.8">
      <c r="G30" s="5"/>
      <c r="J30" s="51"/>
      <c r="K30" s="51"/>
      <c r="L30" s="51"/>
      <c r="M30" s="51"/>
      <c r="N30" s="51"/>
      <c r="O30" s="50" t="e">
        <f t="shared" ref="O30:U30" si="29">O29/N29-1</f>
        <v>#DIV/0!</v>
      </c>
      <c r="P30" s="50" t="e">
        <f t="shared" si="29"/>
        <v>#DIV/0!</v>
      </c>
      <c r="Q30" s="50" t="e">
        <f t="shared" si="29"/>
        <v>#DIV/0!</v>
      </c>
      <c r="R30" s="50" t="e">
        <f t="shared" si="29"/>
        <v>#DIV/0!</v>
      </c>
      <c r="S30" s="50" t="e">
        <f t="shared" si="29"/>
        <v>#DIV/0!</v>
      </c>
      <c r="T30" s="50" t="e">
        <f t="shared" si="29"/>
        <v>#DIV/0!</v>
      </c>
      <c r="U30" s="50" t="e">
        <f t="shared" si="29"/>
        <v>#DIV/0!</v>
      </c>
      <c r="V30" s="1138" t="s">
        <v>550</v>
      </c>
    </row>
    <row r="31" spans="2:34" ht="14.4">
      <c r="B31" s="60"/>
      <c r="C31" s="1141">
        <f t="shared" ref="C31:K31" si="30">C22+C17+C16+C15+C13+C12+C10</f>
        <v>477.37210816170227</v>
      </c>
      <c r="D31" s="1141">
        <f t="shared" si="30"/>
        <v>529.02791805874074</v>
      </c>
      <c r="E31" s="1141">
        <f t="shared" si="30"/>
        <v>553.74190726150277</v>
      </c>
      <c r="F31" s="1141">
        <f t="shared" si="30"/>
        <v>605.99820808699371</v>
      </c>
      <c r="G31" s="1141">
        <f t="shared" si="30"/>
        <v>622.84458968772697</v>
      </c>
      <c r="H31" s="1141">
        <f t="shared" si="30"/>
        <v>587.78534106521568</v>
      </c>
      <c r="I31" s="1141">
        <f t="shared" si="30"/>
        <v>666.8591259748174</v>
      </c>
      <c r="J31" s="1141">
        <f t="shared" si="30"/>
        <v>716.14349540269257</v>
      </c>
      <c r="K31" s="1141">
        <f t="shared" si="30"/>
        <v>0</v>
      </c>
      <c r="L31" s="1141">
        <f t="shared" ref="L31:R31" si="31">L22+L17+L16+L15+L13+L10</f>
        <v>0</v>
      </c>
      <c r="M31" s="1141">
        <f t="shared" si="31"/>
        <v>0</v>
      </c>
      <c r="N31" s="1141">
        <f t="shared" si="31"/>
        <v>0</v>
      </c>
      <c r="O31" s="1141">
        <f t="shared" si="31"/>
        <v>0</v>
      </c>
      <c r="P31" s="1141">
        <f t="shared" si="31"/>
        <v>0</v>
      </c>
      <c r="Q31" s="1141">
        <f t="shared" si="31"/>
        <v>0</v>
      </c>
      <c r="R31" s="1141">
        <f t="shared" si="31"/>
        <v>0</v>
      </c>
      <c r="S31" s="1141">
        <f t="shared" ref="S31" si="32">S22+S17+S16+S15+S13+S10</f>
        <v>0</v>
      </c>
      <c r="T31" s="1141">
        <f t="shared" ref="T31:U31" si="33">T22+T17+T16+T15+T13+T10</f>
        <v>0</v>
      </c>
      <c r="U31" s="1141">
        <f t="shared" si="33"/>
        <v>0</v>
      </c>
      <c r="V31" s="1012" t="s">
        <v>554</v>
      </c>
    </row>
    <row r="32" spans="2:34" ht="14.4">
      <c r="B32" s="60"/>
      <c r="C32" s="1142">
        <v>0.15412283765101042</v>
      </c>
      <c r="D32" s="1142">
        <v>0.24977145275325552</v>
      </c>
      <c r="E32" s="1142">
        <v>0.30182407491479979</v>
      </c>
      <c r="F32" s="1142">
        <v>0.35663690058550701</v>
      </c>
      <c r="G32" s="1143">
        <f t="shared" ref="G32:U32" si="34">G31/C31-1</f>
        <v>0.30473603094705348</v>
      </c>
      <c r="H32" s="1143">
        <f t="shared" si="34"/>
        <v>0.11106677171610202</v>
      </c>
      <c r="I32" s="1143">
        <f t="shared" si="34"/>
        <v>0.20427787247082141</v>
      </c>
      <c r="J32" s="1143">
        <f t="shared" si="34"/>
        <v>0.18175843731189212</v>
      </c>
      <c r="K32" s="1143">
        <f t="shared" si="34"/>
        <v>-1</v>
      </c>
      <c r="L32" s="1143">
        <f t="shared" si="34"/>
        <v>-1</v>
      </c>
      <c r="M32" s="1143">
        <f t="shared" si="34"/>
        <v>-1</v>
      </c>
      <c r="N32" s="1143">
        <f t="shared" si="34"/>
        <v>-1</v>
      </c>
      <c r="O32" s="1143" t="e">
        <f t="shared" si="34"/>
        <v>#DIV/0!</v>
      </c>
      <c r="P32" s="1143" t="e">
        <f t="shared" si="34"/>
        <v>#DIV/0!</v>
      </c>
      <c r="Q32" s="1143" t="e">
        <f t="shared" si="34"/>
        <v>#DIV/0!</v>
      </c>
      <c r="R32" s="1143" t="e">
        <f t="shared" si="34"/>
        <v>#DIV/0!</v>
      </c>
      <c r="S32" s="1143" t="e">
        <f t="shared" si="34"/>
        <v>#DIV/0!</v>
      </c>
      <c r="T32" s="1143" t="e">
        <f t="shared" si="34"/>
        <v>#DIV/0!</v>
      </c>
      <c r="U32" s="1143" t="e">
        <f t="shared" si="34"/>
        <v>#DIV/0!</v>
      </c>
      <c r="V32" s="1012" t="s">
        <v>551</v>
      </c>
    </row>
    <row r="33" spans="2:22" ht="13.8">
      <c r="B33" s="1" t="s">
        <v>174</v>
      </c>
      <c r="F33" s="1141">
        <f>SUM(C24:F24)</f>
        <v>7183.6978337817573</v>
      </c>
      <c r="J33" s="1141">
        <f>SUM(G24:J24)</f>
        <v>7730.4179298201107</v>
      </c>
      <c r="N33" s="1141">
        <f>SUM(K24:P24)</f>
        <v>0</v>
      </c>
      <c r="R33" s="1141">
        <f>SUM(O24:R24)</f>
        <v>0</v>
      </c>
      <c r="V33" s="1012" t="s">
        <v>552</v>
      </c>
    </row>
    <row r="34" spans="2:22" ht="13.8">
      <c r="J34" s="1143">
        <f>J33/F33-1</f>
        <v>7.6105664337295709E-2</v>
      </c>
      <c r="N34" s="1143">
        <f>N33/J33-1</f>
        <v>-1</v>
      </c>
      <c r="R34" s="1143" t="e">
        <f>R33/N33-1</f>
        <v>#DIV/0!</v>
      </c>
      <c r="V34" s="1012" t="s">
        <v>553</v>
      </c>
    </row>
    <row r="35" spans="2:22" ht="13.8">
      <c r="B35" s="96" t="s">
        <v>172</v>
      </c>
      <c r="C35" s="82" t="s">
        <v>126</v>
      </c>
      <c r="D35" s="83" t="s">
        <v>127</v>
      </c>
      <c r="E35" s="83" t="s">
        <v>128</v>
      </c>
      <c r="F35" s="84" t="s">
        <v>129</v>
      </c>
      <c r="G35" s="82" t="s">
        <v>130</v>
      </c>
      <c r="H35" s="83" t="s">
        <v>131</v>
      </c>
      <c r="I35" s="83" t="s">
        <v>132</v>
      </c>
      <c r="J35" s="84" t="s">
        <v>133</v>
      </c>
      <c r="K35" s="82" t="s">
        <v>134</v>
      </c>
      <c r="L35" s="83" t="s">
        <v>135</v>
      </c>
      <c r="M35" s="83" t="s">
        <v>136</v>
      </c>
      <c r="N35" s="84" t="s">
        <v>137</v>
      </c>
      <c r="O35" s="82" t="str">
        <f t="shared" ref="O35:R35" si="35">O7</f>
        <v>1Q 19</v>
      </c>
      <c r="P35" s="83" t="str">
        <f t="shared" si="35"/>
        <v>2Q 19</v>
      </c>
      <c r="Q35" s="83" t="str">
        <f t="shared" si="35"/>
        <v>3Q 19</v>
      </c>
      <c r="R35" s="84" t="str">
        <f t="shared" si="35"/>
        <v>4Q 19</v>
      </c>
      <c r="S35" s="82" t="str">
        <f t="shared" ref="S35:V35" si="36">S7</f>
        <v>1Q 20</v>
      </c>
      <c r="T35" s="83" t="str">
        <f t="shared" si="36"/>
        <v>2Q 20</v>
      </c>
      <c r="U35" s="83" t="str">
        <f t="shared" si="36"/>
        <v>3Q 20</v>
      </c>
      <c r="V35" s="84" t="str">
        <f t="shared" si="36"/>
        <v>4Q 20</v>
      </c>
    </row>
    <row r="36" spans="2:22">
      <c r="B36" t="str">
        <f>B8</f>
        <v>II-VI Photonic Solutions</v>
      </c>
      <c r="C36" s="5">
        <f t="shared" ref="C36:O36" si="37">C8/C$24</f>
        <v>5.1445997341512929E-2</v>
      </c>
      <c r="D36" s="5">
        <f t="shared" si="37"/>
        <v>5.7356919856601039E-2</v>
      </c>
      <c r="E36" s="5">
        <f t="shared" si="37"/>
        <v>5.1156778775563454E-2</v>
      </c>
      <c r="F36" s="417">
        <f t="shared" si="37"/>
        <v>5.0035845981900209E-2</v>
      </c>
      <c r="G36" s="5">
        <f t="shared" si="37"/>
        <v>5.6146891167086099E-2</v>
      </c>
      <c r="H36" s="5">
        <f t="shared" si="37"/>
        <v>6.1626472802687154E-2</v>
      </c>
      <c r="I36" s="5">
        <f t="shared" si="37"/>
        <v>6.1111863149533409E-2</v>
      </c>
      <c r="J36" s="417">
        <f t="shared" si="37"/>
        <v>5.3630817183385145E-2</v>
      </c>
      <c r="K36" s="5" t="e">
        <f t="shared" si="37"/>
        <v>#DIV/0!</v>
      </c>
      <c r="L36" s="5" t="e">
        <f t="shared" si="37"/>
        <v>#DIV/0!</v>
      </c>
      <c r="M36" s="5" t="e">
        <f t="shared" si="37"/>
        <v>#DIV/0!</v>
      </c>
      <c r="N36" s="417" t="e">
        <f t="shared" si="37"/>
        <v>#DIV/0!</v>
      </c>
      <c r="O36" s="5" t="e">
        <f t="shared" si="37"/>
        <v>#DIV/0!</v>
      </c>
      <c r="P36" s="5" t="e">
        <f t="shared" ref="P36:S36" si="38">P8/P$24</f>
        <v>#DIV/0!</v>
      </c>
      <c r="Q36" s="5" t="e">
        <f t="shared" si="38"/>
        <v>#DIV/0!</v>
      </c>
      <c r="R36" s="417" t="e">
        <f t="shared" si="38"/>
        <v>#DIV/0!</v>
      </c>
      <c r="S36" s="5" t="e">
        <f t="shared" si="38"/>
        <v>#DIV/0!</v>
      </c>
      <c r="T36" s="5" t="e">
        <f t="shared" ref="T36:U36" si="39">T8/T$24</f>
        <v>#DIV/0!</v>
      </c>
      <c r="U36" s="5" t="e">
        <f t="shared" si="39"/>
        <v>#DIV/0!</v>
      </c>
      <c r="V36" s="417"/>
    </row>
    <row r="37" spans="2:22">
      <c r="B37" t="str">
        <f>B9</f>
        <v>Acacia</v>
      </c>
      <c r="C37" s="5">
        <f t="shared" ref="C37:O37" si="40">C9/C$24</f>
        <v>5.3928298627631342E-2</v>
      </c>
      <c r="D37" s="5">
        <f t="shared" si="40"/>
        <v>6.7254027117427256E-2</v>
      </c>
      <c r="E37" s="5">
        <f t="shared" si="40"/>
        <v>7.2251741079841725E-2</v>
      </c>
      <c r="F37" s="412">
        <f t="shared" si="40"/>
        <v>7.0417146971554309E-2</v>
      </c>
      <c r="G37" s="5">
        <f t="shared" si="40"/>
        <v>5.9028858083086853E-2</v>
      </c>
      <c r="H37" s="5">
        <f t="shared" si="40"/>
        <v>4.3143999149352415E-2</v>
      </c>
      <c r="I37" s="5">
        <f t="shared" si="40"/>
        <v>5.5315719025644049E-2</v>
      </c>
      <c r="J37" s="412">
        <f t="shared" si="40"/>
        <v>4.2031029575395049E-2</v>
      </c>
      <c r="K37" s="5" t="e">
        <f t="shared" si="40"/>
        <v>#DIV/0!</v>
      </c>
      <c r="L37" s="5" t="e">
        <f t="shared" si="40"/>
        <v>#DIV/0!</v>
      </c>
      <c r="M37" s="5" t="e">
        <f t="shared" si="40"/>
        <v>#DIV/0!</v>
      </c>
      <c r="N37" s="412" t="e">
        <f t="shared" si="40"/>
        <v>#DIV/0!</v>
      </c>
      <c r="O37" s="5" t="e">
        <f t="shared" si="40"/>
        <v>#DIV/0!</v>
      </c>
      <c r="P37" s="5" t="e">
        <f t="shared" ref="P37:S37" si="41">P9/P$24</f>
        <v>#DIV/0!</v>
      </c>
      <c r="Q37" s="5" t="e">
        <f t="shared" si="41"/>
        <v>#DIV/0!</v>
      </c>
      <c r="R37" s="412" t="e">
        <f t="shared" si="41"/>
        <v>#DIV/0!</v>
      </c>
      <c r="S37" s="5" t="e">
        <f t="shared" si="41"/>
        <v>#DIV/0!</v>
      </c>
      <c r="T37" s="5" t="e">
        <f t="shared" ref="T37:U37" si="42">T9/T$24</f>
        <v>#DIV/0!</v>
      </c>
      <c r="U37" s="5" t="e">
        <f t="shared" si="42"/>
        <v>#DIV/0!</v>
      </c>
      <c r="V37" s="412"/>
    </row>
    <row r="38" spans="2:22">
      <c r="B38" t="str">
        <f>B10</f>
        <v>Accelink</v>
      </c>
      <c r="C38" s="5">
        <f t="shared" ref="C38:O38" si="43">C10/C$24</f>
        <v>9.6030090403650958E-2</v>
      </c>
      <c r="D38" s="5">
        <f t="shared" si="43"/>
        <v>8.8515266554164043E-2</v>
      </c>
      <c r="E38" s="5">
        <f t="shared" si="43"/>
        <v>8.5973292096719375E-2</v>
      </c>
      <c r="F38" s="412">
        <f t="shared" si="43"/>
        <v>7.2896623977594943E-2</v>
      </c>
      <c r="G38" s="5">
        <f t="shared" si="43"/>
        <v>9.4693198668596171E-2</v>
      </c>
      <c r="H38" s="5">
        <f t="shared" si="43"/>
        <v>8.962663474670092E-2</v>
      </c>
      <c r="I38" s="5">
        <f t="shared" si="43"/>
        <v>7.9841845752924342E-2</v>
      </c>
      <c r="J38" s="412">
        <f t="shared" si="43"/>
        <v>8.4935683322103175E-2</v>
      </c>
      <c r="K38" s="5" t="e">
        <f t="shared" si="43"/>
        <v>#DIV/0!</v>
      </c>
      <c r="L38" s="5" t="e">
        <f t="shared" si="43"/>
        <v>#DIV/0!</v>
      </c>
      <c r="M38" s="5" t="e">
        <f t="shared" si="43"/>
        <v>#DIV/0!</v>
      </c>
      <c r="N38" s="412" t="e">
        <f t="shared" si="43"/>
        <v>#DIV/0!</v>
      </c>
      <c r="O38" s="5" t="e">
        <f t="shared" si="43"/>
        <v>#DIV/0!</v>
      </c>
      <c r="P38" s="5" t="e">
        <f t="shared" ref="P38:S38" si="44">P10/P$24</f>
        <v>#DIV/0!</v>
      </c>
      <c r="Q38" s="5" t="e">
        <f t="shared" si="44"/>
        <v>#DIV/0!</v>
      </c>
      <c r="R38" s="412" t="e">
        <f t="shared" si="44"/>
        <v>#DIV/0!</v>
      </c>
      <c r="S38" s="5" t="e">
        <f t="shared" si="44"/>
        <v>#DIV/0!</v>
      </c>
      <c r="T38" s="5" t="e">
        <f t="shared" ref="T38:U38" si="45">T10/T$24</f>
        <v>#DIV/0!</v>
      </c>
      <c r="U38" s="5" t="e">
        <f t="shared" si="45"/>
        <v>#DIV/0!</v>
      </c>
      <c r="V38" s="412"/>
    </row>
    <row r="39" spans="2:22">
      <c r="B39" t="str">
        <f>B11</f>
        <v>Applied Optoelectronics</v>
      </c>
      <c r="C39" s="5">
        <f t="shared" ref="C39:O39" si="46">C11/C$24</f>
        <v>3.2169705533650762E-2</v>
      </c>
      <c r="D39" s="5">
        <f t="shared" si="46"/>
        <v>3.2006434592028635E-2</v>
      </c>
      <c r="E39" s="42">
        <f t="shared" si="46"/>
        <v>3.7433091776273464E-2</v>
      </c>
      <c r="F39" s="548">
        <f t="shared" si="46"/>
        <v>4.2151109102690959E-2</v>
      </c>
      <c r="G39" s="5">
        <f t="shared" si="46"/>
        <v>4.9508074521298656E-2</v>
      </c>
      <c r="H39" s="5">
        <f t="shared" si="46"/>
        <v>6.4196520914245533E-2</v>
      </c>
      <c r="I39" s="5">
        <f t="shared" si="46"/>
        <v>4.682380417989121E-2</v>
      </c>
      <c r="J39" s="548">
        <f t="shared" si="46"/>
        <v>3.8757365666780279E-2</v>
      </c>
      <c r="K39" s="5" t="e">
        <f t="shared" si="46"/>
        <v>#DIV/0!</v>
      </c>
      <c r="L39" s="5" t="e">
        <f t="shared" si="46"/>
        <v>#DIV/0!</v>
      </c>
      <c r="M39" s="5" t="e">
        <f t="shared" si="46"/>
        <v>#DIV/0!</v>
      </c>
      <c r="N39" s="548" t="e">
        <f t="shared" si="46"/>
        <v>#DIV/0!</v>
      </c>
      <c r="O39" s="5" t="e">
        <f t="shared" si="46"/>
        <v>#DIV/0!</v>
      </c>
      <c r="P39" s="5" t="e">
        <f t="shared" ref="P39:S39" si="47">P11/P$24</f>
        <v>#DIV/0!</v>
      </c>
      <c r="Q39" s="5" t="e">
        <f t="shared" si="47"/>
        <v>#DIV/0!</v>
      </c>
      <c r="R39" s="548" t="e">
        <f t="shared" si="47"/>
        <v>#DIV/0!</v>
      </c>
      <c r="S39" s="5" t="e">
        <f t="shared" si="47"/>
        <v>#DIV/0!</v>
      </c>
      <c r="T39" s="5" t="e">
        <f t="shared" ref="T39:U39" si="48">T11/T$24</f>
        <v>#DIV/0!</v>
      </c>
      <c r="U39" s="5" t="e">
        <f t="shared" si="48"/>
        <v>#DIV/0!</v>
      </c>
      <c r="V39" s="548"/>
    </row>
    <row r="40" spans="2:22">
      <c r="B40" t="str">
        <f>B12</f>
        <v>Coadna</v>
      </c>
      <c r="C40" s="5">
        <f t="shared" ref="C40:K40" si="49">C12/C$24</f>
        <v>7.6594536984882777E-3</v>
      </c>
      <c r="D40" s="5">
        <f t="shared" si="49"/>
        <v>6.9453384286499746E-3</v>
      </c>
      <c r="E40" s="5">
        <f t="shared" si="49"/>
        <v>6.4079472370225619E-3</v>
      </c>
      <c r="F40" s="412">
        <f t="shared" si="49"/>
        <v>4.9589540120812889E-3</v>
      </c>
      <c r="G40" s="5">
        <f t="shared" si="49"/>
        <v>3.6024586450009413E-3</v>
      </c>
      <c r="H40" s="5">
        <f t="shared" si="49"/>
        <v>3.6500479785570765E-3</v>
      </c>
      <c r="I40" s="5">
        <f t="shared" si="49"/>
        <v>3.7597109769717655E-3</v>
      </c>
      <c r="J40" s="412">
        <f t="shared" si="49"/>
        <v>3.5430313614363035E-3</v>
      </c>
      <c r="K40" s="5" t="e">
        <f t="shared" si="49"/>
        <v>#DIV/0!</v>
      </c>
      <c r="L40" s="587"/>
      <c r="M40" s="587"/>
      <c r="N40" s="694"/>
      <c r="O40" s="587"/>
      <c r="P40" s="587"/>
      <c r="Q40" s="587"/>
      <c r="R40" s="694"/>
      <c r="S40" s="587"/>
      <c r="T40" s="587"/>
      <c r="U40" s="587"/>
      <c r="V40" s="694"/>
    </row>
    <row r="41" spans="2:22">
      <c r="B41" t="s">
        <v>159</v>
      </c>
      <c r="C41" s="5">
        <f t="shared" ref="C41:J51" si="50">C13/C$24</f>
        <v>1.4279693961333946E-2</v>
      </c>
      <c r="D41" s="5">
        <f t="shared" si="50"/>
        <v>1.7082081945349173E-2</v>
      </c>
      <c r="E41" s="5">
        <f t="shared" si="50"/>
        <v>1.3663780769868232E-2</v>
      </c>
      <c r="F41" s="412">
        <f t="shared" si="50"/>
        <v>1.4836691494956882E-2</v>
      </c>
      <c r="G41" s="5">
        <f t="shared" si="50"/>
        <v>1.4351531483352636E-2</v>
      </c>
      <c r="H41" s="5">
        <f t="shared" si="50"/>
        <v>1.9072021371571098E-2</v>
      </c>
      <c r="I41" s="5">
        <f t="shared" si="50"/>
        <v>1.8265136763952451E-2</v>
      </c>
      <c r="J41" s="412">
        <f t="shared" si="50"/>
        <v>1.5813677369977266E-2</v>
      </c>
      <c r="K41" s="5" t="e">
        <f t="shared" ref="K41:P41" si="51">K13/K$24</f>
        <v>#DIV/0!</v>
      </c>
      <c r="L41" s="5" t="e">
        <f t="shared" si="51"/>
        <v>#DIV/0!</v>
      </c>
      <c r="M41" s="5" t="e">
        <f t="shared" si="51"/>
        <v>#DIV/0!</v>
      </c>
      <c r="N41" s="412" t="e">
        <f t="shared" si="51"/>
        <v>#DIV/0!</v>
      </c>
      <c r="O41" s="5" t="e">
        <f t="shared" si="51"/>
        <v>#DIV/0!</v>
      </c>
      <c r="P41" s="5" t="e">
        <f t="shared" si="51"/>
        <v>#DIV/0!</v>
      </c>
      <c r="Q41" s="5" t="e">
        <f t="shared" ref="Q41:T41" si="52">Q13/Q$24</f>
        <v>#DIV/0!</v>
      </c>
      <c r="R41" s="412" t="e">
        <f t="shared" si="52"/>
        <v>#DIV/0!</v>
      </c>
      <c r="S41" s="5" t="e">
        <f t="shared" si="52"/>
        <v>#DIV/0!</v>
      </c>
      <c r="T41" s="5" t="e">
        <f t="shared" si="52"/>
        <v>#DIV/0!</v>
      </c>
      <c r="U41" s="5" t="e">
        <f t="shared" ref="U41" si="53">U13/U$24</f>
        <v>#DIV/0!</v>
      </c>
      <c r="V41" s="412"/>
    </row>
    <row r="42" spans="2:22">
      <c r="B42" t="str">
        <f>B14</f>
        <v>Finisar</v>
      </c>
      <c r="C42" s="5">
        <f t="shared" si="50"/>
        <v>0.20348615325650524</v>
      </c>
      <c r="D42" s="5">
        <f t="shared" si="50"/>
        <v>0.19736336701413679</v>
      </c>
      <c r="E42" s="5">
        <f t="shared" si="50"/>
        <v>0.19752497358122045</v>
      </c>
      <c r="F42" s="412">
        <f t="shared" si="50"/>
        <v>0.18893614786029711</v>
      </c>
      <c r="G42" s="5">
        <f t="shared" si="50"/>
        <v>0.18399660456732164</v>
      </c>
      <c r="H42" s="5">
        <f t="shared" si="50"/>
        <v>0.18690264777247978</v>
      </c>
      <c r="I42" s="5">
        <f t="shared" si="50"/>
        <v>0.17501436635854092</v>
      </c>
      <c r="J42" s="412">
        <f t="shared" si="50"/>
        <v>0.16133071967609749</v>
      </c>
      <c r="K42" s="5" t="e">
        <f t="shared" ref="K42:M51" si="54">K14/K$24</f>
        <v>#DIV/0!</v>
      </c>
      <c r="L42" s="5" t="e">
        <f t="shared" si="54"/>
        <v>#DIV/0!</v>
      </c>
      <c r="M42" s="5" t="e">
        <f t="shared" si="54"/>
        <v>#DIV/0!</v>
      </c>
      <c r="N42" s="412" t="e">
        <f t="shared" ref="N42:O42" si="55">N14/N$24</f>
        <v>#DIV/0!</v>
      </c>
      <c r="O42" s="5" t="e">
        <f t="shared" si="55"/>
        <v>#DIV/0!</v>
      </c>
      <c r="P42" s="5" t="e">
        <f t="shared" ref="P42" si="56">P14/P$24</f>
        <v>#DIV/0!</v>
      </c>
      <c r="Q42" s="587"/>
      <c r="R42" s="694"/>
      <c r="S42" s="587"/>
      <c r="T42" s="587"/>
      <c r="U42" s="587"/>
      <c r="V42" s="412"/>
    </row>
    <row r="43" spans="2:22">
      <c r="B43" t="str">
        <f>B15</f>
        <v>Hisense</v>
      </c>
      <c r="C43" s="5">
        <f t="shared" si="50"/>
        <v>9.1013884461834241E-2</v>
      </c>
      <c r="D43" s="5">
        <f t="shared" si="50"/>
        <v>0.10395963908770971</v>
      </c>
      <c r="E43" s="5">
        <f t="shared" si="50"/>
        <v>8.7702111869730745E-2</v>
      </c>
      <c r="F43" s="412">
        <f t="shared" si="50"/>
        <v>0.1081051974633721</v>
      </c>
      <c r="G43" s="5">
        <f t="shared" si="50"/>
        <v>0.1013834790093122</v>
      </c>
      <c r="H43" s="5">
        <f t="shared" si="50"/>
        <v>7.3357000805270731E-2</v>
      </c>
      <c r="I43" s="5">
        <f t="shared" si="50"/>
        <v>8.5345877846762175E-2</v>
      </c>
      <c r="J43" s="412">
        <f t="shared" si="50"/>
        <v>7.5228748085291383E-2</v>
      </c>
      <c r="K43" s="5" t="e">
        <f t="shared" si="54"/>
        <v>#DIV/0!</v>
      </c>
      <c r="L43" s="5" t="e">
        <f t="shared" si="54"/>
        <v>#DIV/0!</v>
      </c>
      <c r="M43" s="5" t="e">
        <f t="shared" si="54"/>
        <v>#DIV/0!</v>
      </c>
      <c r="N43" s="412" t="e">
        <f t="shared" ref="N43:O43" si="57">N15/N$24</f>
        <v>#DIV/0!</v>
      </c>
      <c r="O43" s="5" t="e">
        <f t="shared" si="57"/>
        <v>#DIV/0!</v>
      </c>
      <c r="P43" s="5" t="e">
        <f t="shared" ref="P43:S43" si="58">P15/P$24</f>
        <v>#DIV/0!</v>
      </c>
      <c r="Q43" s="5" t="e">
        <f t="shared" si="58"/>
        <v>#DIV/0!</v>
      </c>
      <c r="R43" s="412" t="e">
        <f t="shared" si="58"/>
        <v>#DIV/0!</v>
      </c>
      <c r="S43" s="5" t="e">
        <f t="shared" si="58"/>
        <v>#DIV/0!</v>
      </c>
      <c r="T43" s="5" t="e">
        <f t="shared" ref="T43:U43" si="59">T15/T$24</f>
        <v>#DIV/0!</v>
      </c>
      <c r="U43" s="5" t="e">
        <f t="shared" si="59"/>
        <v>#DIV/0!</v>
      </c>
      <c r="V43" s="412"/>
    </row>
    <row r="44" spans="2:22">
      <c r="B44" t="s">
        <v>351</v>
      </c>
      <c r="C44" s="5">
        <f t="shared" si="50"/>
        <v>2.9974029847192912E-2</v>
      </c>
      <c r="D44" s="5">
        <f t="shared" si="50"/>
        <v>2.717945555311576E-2</v>
      </c>
      <c r="E44" s="5">
        <f t="shared" si="50"/>
        <v>2.7189227316391725E-2</v>
      </c>
      <c r="F44" s="412">
        <f t="shared" si="50"/>
        <v>2.4641034684675333E-2</v>
      </c>
      <c r="G44" s="5">
        <f t="shared" si="50"/>
        <v>2.7768718469091187E-2</v>
      </c>
      <c r="H44" s="5">
        <f t="shared" si="50"/>
        <v>2.9623501941310998E-2</v>
      </c>
      <c r="I44" s="5">
        <f t="shared" si="50"/>
        <v>3.7931501265227638E-2</v>
      </c>
      <c r="J44" s="412">
        <f t="shared" si="50"/>
        <v>4.0283781232768934E-2</v>
      </c>
      <c r="K44" s="5" t="e">
        <f t="shared" si="54"/>
        <v>#DIV/0!</v>
      </c>
      <c r="L44" s="5" t="e">
        <f t="shared" si="54"/>
        <v>#DIV/0!</v>
      </c>
      <c r="M44" s="5" t="e">
        <f t="shared" si="54"/>
        <v>#DIV/0!</v>
      </c>
      <c r="N44" s="412" t="e">
        <f t="shared" ref="N44:O44" si="60">N16/N$24</f>
        <v>#DIV/0!</v>
      </c>
      <c r="O44" s="5" t="e">
        <f t="shared" si="60"/>
        <v>#DIV/0!</v>
      </c>
      <c r="P44" s="5" t="e">
        <f t="shared" ref="P44:S44" si="61">P16/P$24</f>
        <v>#DIV/0!</v>
      </c>
      <c r="Q44" s="5" t="e">
        <f t="shared" si="61"/>
        <v>#DIV/0!</v>
      </c>
      <c r="R44" s="412" t="e">
        <f t="shared" si="61"/>
        <v>#DIV/0!</v>
      </c>
      <c r="S44" s="5" t="e">
        <f t="shared" si="61"/>
        <v>#DIV/0!</v>
      </c>
      <c r="T44" s="5" t="e">
        <f t="shared" ref="T44:U44" si="62">T16/T$24</f>
        <v>#DIV/0!</v>
      </c>
      <c r="U44" s="5" t="e">
        <f t="shared" si="62"/>
        <v>#DIV/0!</v>
      </c>
      <c r="V44" s="412"/>
    </row>
    <row r="45" spans="2:22">
      <c r="B45" t="str">
        <f t="shared" ref="B45:B52" si="63">B17</f>
        <v>Innolight</v>
      </c>
      <c r="C45" s="5">
        <f t="shared" si="50"/>
        <v>3.5105829451404606E-2</v>
      </c>
      <c r="D45" s="5">
        <f t="shared" si="50"/>
        <v>3.4726692143249874E-2</v>
      </c>
      <c r="E45" s="42">
        <f t="shared" si="50"/>
        <v>4.6991613071498788E-2</v>
      </c>
      <c r="F45" s="548">
        <f t="shared" si="50"/>
        <v>4.6366220012960049E-2</v>
      </c>
      <c r="G45" s="5">
        <f t="shared" si="50"/>
        <v>5.043442103001318E-2</v>
      </c>
      <c r="H45" s="5">
        <f t="shared" si="50"/>
        <v>8.3663268312432426E-2</v>
      </c>
      <c r="I45" s="5">
        <f t="shared" si="50"/>
        <v>9.0087315504915638E-2</v>
      </c>
      <c r="J45" s="548">
        <f t="shared" si="50"/>
        <v>8.9303804178668469E-2</v>
      </c>
      <c r="K45" s="5" t="e">
        <f t="shared" si="54"/>
        <v>#DIV/0!</v>
      </c>
      <c r="L45" s="5" t="e">
        <f t="shared" si="54"/>
        <v>#DIV/0!</v>
      </c>
      <c r="M45" s="5" t="e">
        <f t="shared" si="54"/>
        <v>#DIV/0!</v>
      </c>
      <c r="N45" s="548" t="e">
        <f t="shared" ref="N45:O45" si="64">N17/N$24</f>
        <v>#DIV/0!</v>
      </c>
      <c r="O45" s="5" t="e">
        <f t="shared" si="64"/>
        <v>#DIV/0!</v>
      </c>
      <c r="P45" s="5" t="e">
        <f t="shared" ref="P45:S45" si="65">P17/P$24</f>
        <v>#DIV/0!</v>
      </c>
      <c r="Q45" s="5" t="e">
        <f t="shared" si="65"/>
        <v>#DIV/0!</v>
      </c>
      <c r="R45" s="548" t="e">
        <f t="shared" si="65"/>
        <v>#DIV/0!</v>
      </c>
      <c r="S45" s="5" t="e">
        <f t="shared" si="65"/>
        <v>#DIV/0!</v>
      </c>
      <c r="T45" s="5" t="e">
        <f t="shared" ref="T45:U45" si="66">T17/T$24</f>
        <v>#DIV/0!</v>
      </c>
      <c r="U45" s="5" t="e">
        <f t="shared" si="66"/>
        <v>#DIV/0!</v>
      </c>
      <c r="V45" s="548"/>
    </row>
    <row r="46" spans="2:22">
      <c r="B46" t="str">
        <f t="shared" si="63"/>
        <v>Lumentum (optical comm)</v>
      </c>
      <c r="C46" s="5">
        <f t="shared" si="50"/>
        <v>0.12587035577849068</v>
      </c>
      <c r="D46" s="5">
        <f t="shared" si="50"/>
        <v>0.11645017432036457</v>
      </c>
      <c r="E46" s="5">
        <f t="shared" si="50"/>
        <v>0.11657124015350211</v>
      </c>
      <c r="F46" s="412">
        <f t="shared" si="50"/>
        <v>0.11752721008632655</v>
      </c>
      <c r="G46" s="5">
        <f t="shared" si="50"/>
        <v>0.11121304474067191</v>
      </c>
      <c r="H46" s="5">
        <f t="shared" si="50"/>
        <v>0.10214574196576717</v>
      </c>
      <c r="I46" s="5">
        <f t="shared" si="50"/>
        <v>0.1095272099033448</v>
      </c>
      <c r="J46" s="412">
        <f t="shared" si="50"/>
        <v>0.1747733689387963</v>
      </c>
      <c r="K46" s="5" t="e">
        <f t="shared" si="54"/>
        <v>#DIV/0!</v>
      </c>
      <c r="L46" s="5" t="e">
        <f t="shared" si="54"/>
        <v>#DIV/0!</v>
      </c>
      <c r="M46" s="5" t="e">
        <f t="shared" si="54"/>
        <v>#DIV/0!</v>
      </c>
      <c r="N46" s="412" t="e">
        <f t="shared" ref="N46:O46" si="67">N18/N$24</f>
        <v>#DIV/0!</v>
      </c>
      <c r="O46" s="5" t="e">
        <f t="shared" si="67"/>
        <v>#DIV/0!</v>
      </c>
      <c r="P46" s="5" t="e">
        <f t="shared" ref="P46:S46" si="68">P18/P$24</f>
        <v>#DIV/0!</v>
      </c>
      <c r="Q46" s="5" t="e">
        <f t="shared" si="68"/>
        <v>#DIV/0!</v>
      </c>
      <c r="R46" s="412" t="e">
        <f t="shared" si="68"/>
        <v>#DIV/0!</v>
      </c>
      <c r="S46" s="5" t="e">
        <f t="shared" si="68"/>
        <v>#DIV/0!</v>
      </c>
      <c r="T46" s="5" t="e">
        <f t="shared" ref="T46:U46" si="69">T18/T$24</f>
        <v>#DIV/0!</v>
      </c>
      <c r="U46" s="5" t="e">
        <f t="shared" si="69"/>
        <v>#DIV/0!</v>
      </c>
      <c r="V46" s="412"/>
    </row>
    <row r="47" spans="2:22">
      <c r="B47" t="str">
        <f t="shared" si="63"/>
        <v>NeoPhotonics</v>
      </c>
      <c r="C47" s="5">
        <f t="shared" si="50"/>
        <v>6.3254321793349028E-2</v>
      </c>
      <c r="D47" s="5">
        <f t="shared" si="50"/>
        <v>5.7356919856601039E-2</v>
      </c>
      <c r="E47" s="5">
        <f t="shared" si="50"/>
        <v>5.5161745798702554E-2</v>
      </c>
      <c r="F47" s="412">
        <f t="shared" si="50"/>
        <v>5.4449315052652554E-2</v>
      </c>
      <c r="G47" s="5">
        <f t="shared" si="50"/>
        <v>3.6899469263795358E-2</v>
      </c>
      <c r="H47" s="5">
        <f t="shared" si="50"/>
        <v>3.9917768541225931E-2</v>
      </c>
      <c r="I47" s="5">
        <f t="shared" si="50"/>
        <v>3.7468420853947977E-2</v>
      </c>
      <c r="J47" s="412">
        <f t="shared" si="50"/>
        <v>3.7323165985541341E-2</v>
      </c>
      <c r="K47" s="5" t="e">
        <f t="shared" si="54"/>
        <v>#DIV/0!</v>
      </c>
      <c r="L47" s="5" t="e">
        <f t="shared" si="54"/>
        <v>#DIV/0!</v>
      </c>
      <c r="M47" s="5" t="e">
        <f t="shared" si="54"/>
        <v>#DIV/0!</v>
      </c>
      <c r="N47" s="412" t="e">
        <f t="shared" ref="N47:O47" si="70">N19/N$24</f>
        <v>#DIV/0!</v>
      </c>
      <c r="O47" s="5" t="e">
        <f t="shared" si="70"/>
        <v>#DIV/0!</v>
      </c>
      <c r="P47" s="5" t="e">
        <f t="shared" ref="P47:S47" si="71">P19/P$24</f>
        <v>#DIV/0!</v>
      </c>
      <c r="Q47" s="5" t="e">
        <f t="shared" si="71"/>
        <v>#DIV/0!</v>
      </c>
      <c r="R47" s="412" t="e">
        <f t="shared" si="71"/>
        <v>#DIV/0!</v>
      </c>
      <c r="S47" s="5" t="e">
        <f t="shared" si="71"/>
        <v>#DIV/0!</v>
      </c>
      <c r="T47" s="5" t="e">
        <f t="shared" ref="T47:U47" si="72">T19/T$24</f>
        <v>#DIV/0!</v>
      </c>
      <c r="U47" s="5" t="e">
        <f t="shared" si="72"/>
        <v>#DIV/0!</v>
      </c>
      <c r="V47" s="412"/>
    </row>
    <row r="48" spans="2:22">
      <c r="B48" t="str">
        <f t="shared" si="63"/>
        <v>Oclaro (w/Opnext)</v>
      </c>
      <c r="C48" s="5">
        <f t="shared" si="50"/>
        <v>6.4530897409763741E-2</v>
      </c>
      <c r="D48" s="5">
        <f t="shared" si="50"/>
        <v>7.2454349265878917E-2</v>
      </c>
      <c r="E48" s="42">
        <f t="shared" si="50"/>
        <v>7.2352132253221749E-2</v>
      </c>
      <c r="F48" s="548">
        <f t="shared" si="50"/>
        <v>7.6367891786051856E-2</v>
      </c>
      <c r="G48" s="5">
        <f t="shared" si="50"/>
        <v>8.3371185784307494E-2</v>
      </c>
      <c r="H48" s="5">
        <f t="shared" si="50"/>
        <v>8.1475993323872106E-2</v>
      </c>
      <c r="I48" s="5">
        <f t="shared" si="50"/>
        <v>8.1973135192595692E-2</v>
      </c>
      <c r="J48" s="548">
        <f t="shared" si="50"/>
        <v>6.7625791061058552E-2</v>
      </c>
      <c r="K48" s="5" t="e">
        <f t="shared" si="54"/>
        <v>#DIV/0!</v>
      </c>
      <c r="L48" s="5" t="e">
        <f t="shared" si="54"/>
        <v>#DIV/0!</v>
      </c>
      <c r="M48" s="5" t="e">
        <f t="shared" si="54"/>
        <v>#DIV/0!</v>
      </c>
      <c r="N48" s="548" t="e">
        <f t="shared" ref="N48" si="73">N20/N$24</f>
        <v>#DIV/0!</v>
      </c>
      <c r="O48" s="587"/>
      <c r="P48" s="587"/>
      <c r="Q48" s="587"/>
      <c r="R48" s="694"/>
      <c r="S48" s="587"/>
      <c r="T48" s="587"/>
      <c r="U48" s="587"/>
      <c r="V48" s="1046"/>
    </row>
    <row r="49" spans="2:39">
      <c r="B49" t="str">
        <f t="shared" si="63"/>
        <v>OE Solutions</v>
      </c>
      <c r="C49" s="5">
        <f t="shared" si="50"/>
        <v>8.6857399078386389E-3</v>
      </c>
      <c r="D49" s="5">
        <f t="shared" si="50"/>
        <v>7.729434078138502E-3</v>
      </c>
      <c r="E49" s="5">
        <f t="shared" si="50"/>
        <v>9.0507293052790802E-3</v>
      </c>
      <c r="F49" s="412">
        <f t="shared" si="50"/>
        <v>1.2326018015188735E-2</v>
      </c>
      <c r="G49" s="5">
        <f t="shared" si="50"/>
        <v>1.0419231214677872E-2</v>
      </c>
      <c r="H49" s="5">
        <f t="shared" si="50"/>
        <v>9.5005372108100689E-3</v>
      </c>
      <c r="I49" s="5">
        <f t="shared" si="50"/>
        <v>7.7764117607843969E-3</v>
      </c>
      <c r="J49" s="412">
        <f t="shared" si="50"/>
        <v>7.3937968544237793E-3</v>
      </c>
      <c r="K49" s="5" t="e">
        <f t="shared" si="54"/>
        <v>#DIV/0!</v>
      </c>
      <c r="L49" s="5" t="e">
        <f t="shared" si="54"/>
        <v>#DIV/0!</v>
      </c>
      <c r="M49" s="5" t="e">
        <f t="shared" si="54"/>
        <v>#DIV/0!</v>
      </c>
      <c r="N49" s="412" t="e">
        <f t="shared" ref="N49:O50" si="74">N21/N$24</f>
        <v>#DIV/0!</v>
      </c>
      <c r="O49" s="5" t="e">
        <f t="shared" si="74"/>
        <v>#DIV/0!</v>
      </c>
      <c r="P49" s="5" t="e">
        <f t="shared" ref="P49:S50" si="75">P21/P$24</f>
        <v>#DIV/0!</v>
      </c>
      <c r="Q49" s="5" t="e">
        <f t="shared" si="75"/>
        <v>#DIV/0!</v>
      </c>
      <c r="R49" s="412" t="e">
        <f t="shared" si="75"/>
        <v>#DIV/0!</v>
      </c>
      <c r="S49" s="5" t="e">
        <f t="shared" si="75"/>
        <v>#DIV/0!</v>
      </c>
      <c r="T49" s="5" t="e">
        <f t="shared" ref="T49:U49" si="76">T21/T$24</f>
        <v>#DIV/0!</v>
      </c>
      <c r="U49" s="5" t="e">
        <f t="shared" si="76"/>
        <v>#DIV/0!</v>
      </c>
      <c r="V49" s="412"/>
    </row>
    <row r="50" spans="2:39">
      <c r="B50" t="str">
        <f t="shared" si="63"/>
        <v>O-Net</v>
      </c>
      <c r="C50" s="5">
        <f t="shared" si="50"/>
        <v>3.0637814793953111E-2</v>
      </c>
      <c r="D50" s="5">
        <f t="shared" si="50"/>
        <v>2.7781353714599898E-2</v>
      </c>
      <c r="E50" s="5">
        <f t="shared" si="50"/>
        <v>2.7767771360431102E-2</v>
      </c>
      <c r="F50" s="412">
        <f t="shared" si="50"/>
        <v>2.8707002885066345E-2</v>
      </c>
      <c r="G50" s="5">
        <f t="shared" si="50"/>
        <v>2.8305032210721684E-2</v>
      </c>
      <c r="H50" s="5">
        <f t="shared" si="50"/>
        <v>2.2419568632743331E-2</v>
      </c>
      <c r="I50" s="5">
        <f t="shared" si="50"/>
        <v>3.6087608842612404E-2</v>
      </c>
      <c r="J50" s="412">
        <f t="shared" si="50"/>
        <v>3.8469200956652447E-2</v>
      </c>
      <c r="K50" s="5" t="e">
        <f t="shared" si="54"/>
        <v>#DIV/0!</v>
      </c>
      <c r="L50" s="5" t="e">
        <f t="shared" si="54"/>
        <v>#DIV/0!</v>
      </c>
      <c r="M50" s="5" t="e">
        <f t="shared" si="54"/>
        <v>#DIV/0!</v>
      </c>
      <c r="N50" s="412" t="e">
        <f t="shared" si="74"/>
        <v>#DIV/0!</v>
      </c>
      <c r="O50" s="5" t="e">
        <f t="shared" si="74"/>
        <v>#DIV/0!</v>
      </c>
      <c r="P50" s="5" t="e">
        <f t="shared" si="75"/>
        <v>#DIV/0!</v>
      </c>
      <c r="Q50" s="5" t="e">
        <f t="shared" si="75"/>
        <v>#DIV/0!</v>
      </c>
      <c r="R50" s="412" t="e">
        <f t="shared" si="75"/>
        <v>#DIV/0!</v>
      </c>
      <c r="S50" s="5" t="e">
        <f t="shared" si="75"/>
        <v>#DIV/0!</v>
      </c>
      <c r="T50" s="5" t="e">
        <f t="shared" ref="T50:U50" si="77">T22/T$24</f>
        <v>#DIV/0!</v>
      </c>
      <c r="U50" s="5" t="e">
        <f t="shared" si="77"/>
        <v>#DIV/0!</v>
      </c>
      <c r="V50" s="412"/>
    </row>
    <row r="51" spans="2:39">
      <c r="B51" t="str">
        <f t="shared" si="63"/>
        <v>Sumitomo</v>
      </c>
      <c r="C51" s="5">
        <f t="shared" si="50"/>
        <v>9.1927733733399561E-2</v>
      </c>
      <c r="D51" s="5">
        <f t="shared" si="50"/>
        <v>8.5838546471984856E-2</v>
      </c>
      <c r="E51" s="5">
        <f t="shared" si="50"/>
        <v>9.2801823554732848E-2</v>
      </c>
      <c r="F51" s="412">
        <f t="shared" si="50"/>
        <v>8.7277590612630684E-2</v>
      </c>
      <c r="G51" s="5">
        <f t="shared" si="50"/>
        <v>8.8877801141666074E-2</v>
      </c>
      <c r="H51" s="5">
        <f t="shared" si="50"/>
        <v>8.9678274530973323E-2</v>
      </c>
      <c r="I51" s="5">
        <f t="shared" si="50"/>
        <v>7.3670072622351077E-2</v>
      </c>
      <c r="J51" s="412">
        <f t="shared" si="50"/>
        <v>6.9556018551624063E-2</v>
      </c>
      <c r="K51" s="5" t="e">
        <f t="shared" si="54"/>
        <v>#DIV/0!</v>
      </c>
      <c r="L51" s="5" t="e">
        <f t="shared" si="54"/>
        <v>#DIV/0!</v>
      </c>
      <c r="M51" s="5" t="e">
        <f t="shared" si="54"/>
        <v>#DIV/0!</v>
      </c>
      <c r="N51" s="412" t="e">
        <f t="shared" ref="N51:O51" si="78">N23/N$24</f>
        <v>#DIV/0!</v>
      </c>
      <c r="O51" s="5" t="e">
        <f t="shared" si="78"/>
        <v>#DIV/0!</v>
      </c>
      <c r="P51" s="5" t="e">
        <f t="shared" ref="P51:S51" si="79">P23/P$24</f>
        <v>#DIV/0!</v>
      </c>
      <c r="Q51" s="5" t="e">
        <f t="shared" si="79"/>
        <v>#DIV/0!</v>
      </c>
      <c r="R51" s="412" t="e">
        <f t="shared" si="79"/>
        <v>#DIV/0!</v>
      </c>
      <c r="S51" s="5" t="e">
        <f t="shared" si="79"/>
        <v>#DIV/0!</v>
      </c>
      <c r="T51" s="5" t="e">
        <f t="shared" ref="T51:U51" si="80">T23/T$24</f>
        <v>#DIV/0!</v>
      </c>
      <c r="U51" s="5" t="e">
        <f t="shared" si="80"/>
        <v>#DIV/0!</v>
      </c>
      <c r="V51" s="412"/>
    </row>
    <row r="52" spans="2:39">
      <c r="B52" t="str">
        <f t="shared" si="63"/>
        <v>Total</v>
      </c>
      <c r="C52" s="5">
        <f t="shared" ref="C52:H52" si="81">SUM(C36:C51)</f>
        <v>0.99999999999999989</v>
      </c>
      <c r="D52" s="5">
        <f t="shared" si="81"/>
        <v>0.99999999999999989</v>
      </c>
      <c r="E52" s="5">
        <f t="shared" si="81"/>
        <v>1</v>
      </c>
      <c r="F52" s="412">
        <f t="shared" si="81"/>
        <v>1</v>
      </c>
      <c r="G52" s="5">
        <f t="shared" si="81"/>
        <v>1</v>
      </c>
      <c r="H52" s="5">
        <f t="shared" si="81"/>
        <v>1.0000000000000002</v>
      </c>
      <c r="I52" s="5">
        <f>I24/I$24</f>
        <v>1</v>
      </c>
      <c r="J52" s="412">
        <f>J24/J$24</f>
        <v>1</v>
      </c>
      <c r="K52" s="5" t="e">
        <f t="shared" ref="K52:L52" si="82">SUM(K36:K51)</f>
        <v>#DIV/0!</v>
      </c>
      <c r="L52" s="5" t="e">
        <f t="shared" si="82"/>
        <v>#DIV/0!</v>
      </c>
      <c r="M52" s="5" t="e">
        <f>M24/M$24</f>
        <v>#DIV/0!</v>
      </c>
      <c r="N52" s="412" t="e">
        <f>N24/N$24</f>
        <v>#DIV/0!</v>
      </c>
      <c r="O52" s="5" t="e">
        <f t="shared" ref="O52:P52" si="83">SUM(O36:O51)</f>
        <v>#DIV/0!</v>
      </c>
      <c r="P52" s="5" t="e">
        <f t="shared" si="83"/>
        <v>#DIV/0!</v>
      </c>
      <c r="Q52" s="5" t="e">
        <f t="shared" ref="Q52:T52" si="84">SUM(Q36:Q51)</f>
        <v>#DIV/0!</v>
      </c>
      <c r="R52" s="412" t="e">
        <f t="shared" si="84"/>
        <v>#DIV/0!</v>
      </c>
      <c r="S52" s="5" t="e">
        <f t="shared" si="84"/>
        <v>#DIV/0!</v>
      </c>
      <c r="T52" s="5" t="e">
        <f t="shared" si="84"/>
        <v>#DIV/0!</v>
      </c>
      <c r="U52" s="5" t="e">
        <f t="shared" ref="U52" si="85">SUM(U36:U51)</f>
        <v>#DIV/0!</v>
      </c>
      <c r="V52" s="412"/>
    </row>
    <row r="53" spans="2:39">
      <c r="C53" s="5"/>
      <c r="D53" s="5"/>
      <c r="E53" s="5"/>
      <c r="F53" s="412"/>
      <c r="G53" s="5"/>
      <c r="H53" s="5"/>
      <c r="I53" s="5"/>
      <c r="J53" s="412"/>
      <c r="K53" s="5"/>
      <c r="L53" s="5"/>
      <c r="M53" s="5"/>
      <c r="N53" s="412"/>
      <c r="O53" s="5"/>
      <c r="P53" s="5"/>
      <c r="Q53" s="5"/>
      <c r="R53" s="412"/>
      <c r="S53" s="5"/>
      <c r="T53" s="5"/>
      <c r="U53" s="5"/>
      <c r="V53" s="412"/>
    </row>
    <row r="54" spans="2:39">
      <c r="B54" t="s">
        <v>292</v>
      </c>
      <c r="C54" s="5">
        <f t="shared" ref="C54:I54" si="86">C42+C46+C48+C47</f>
        <v>0.45714172823810872</v>
      </c>
      <c r="D54" s="5">
        <f t="shared" si="86"/>
        <v>0.44362481045698127</v>
      </c>
      <c r="E54" s="5">
        <f t="shared" si="86"/>
        <v>0.44161009178664684</v>
      </c>
      <c r="F54" s="412">
        <f t="shared" si="86"/>
        <v>0.43728056478532806</v>
      </c>
      <c r="G54" s="5">
        <f t="shared" si="86"/>
        <v>0.41548030435609634</v>
      </c>
      <c r="H54" s="42">
        <f t="shared" si="86"/>
        <v>0.41044215160334502</v>
      </c>
      <c r="I54" s="42">
        <f t="shared" si="86"/>
        <v>0.40398313230842936</v>
      </c>
      <c r="J54" s="412">
        <f t="shared" ref="J54:O54" si="87">J42+J46+J48+J47</f>
        <v>0.44105304566149373</v>
      </c>
      <c r="K54" s="5" t="e">
        <f t="shared" si="87"/>
        <v>#DIV/0!</v>
      </c>
      <c r="L54" s="5" t="e">
        <f t="shared" si="87"/>
        <v>#DIV/0!</v>
      </c>
      <c r="M54" s="5" t="e">
        <f t="shared" si="87"/>
        <v>#DIV/0!</v>
      </c>
      <c r="N54" s="412" t="e">
        <f t="shared" si="87"/>
        <v>#DIV/0!</v>
      </c>
      <c r="O54" s="5" t="e">
        <f t="shared" si="87"/>
        <v>#DIV/0!</v>
      </c>
      <c r="P54" s="5" t="e">
        <f t="shared" ref="P54:S54" si="88">P42+P46+P48+P47</f>
        <v>#DIV/0!</v>
      </c>
      <c r="Q54" s="5" t="e">
        <f t="shared" si="88"/>
        <v>#DIV/0!</v>
      </c>
      <c r="R54" s="412" t="e">
        <f t="shared" si="88"/>
        <v>#DIV/0!</v>
      </c>
      <c r="S54" s="5" t="e">
        <f t="shared" si="88"/>
        <v>#DIV/0!</v>
      </c>
      <c r="T54" s="5" t="e">
        <f t="shared" ref="T54:U54" si="89">T42+T46+T48+T47</f>
        <v>#DIV/0!</v>
      </c>
      <c r="U54" s="5" t="e">
        <f t="shared" si="89"/>
        <v>#DIV/0!</v>
      </c>
      <c r="V54" s="411"/>
      <c r="AC54" s="67"/>
      <c r="AD54" s="67"/>
      <c r="AE54" s="67"/>
      <c r="AF54" s="67"/>
      <c r="AG54" s="67"/>
      <c r="AH54" s="67"/>
      <c r="AI54" s="67"/>
      <c r="AJ54" s="67"/>
      <c r="AK54" s="67"/>
      <c r="AL54" s="67"/>
      <c r="AM54" s="67"/>
    </row>
    <row r="55" spans="2:39">
      <c r="C55" s="90">
        <f t="shared" ref="C55:M55" si="90">C54-0.64</f>
        <v>-0.18285827176189129</v>
      </c>
      <c r="D55" s="90">
        <f t="shared" si="90"/>
        <v>-0.19637518954301875</v>
      </c>
      <c r="E55" s="90">
        <f t="shared" si="90"/>
        <v>-0.19838990821335317</v>
      </c>
      <c r="F55" s="412">
        <f t="shared" si="90"/>
        <v>-0.20271943521467195</v>
      </c>
      <c r="G55" s="90">
        <f t="shared" si="90"/>
        <v>-0.22451969564390367</v>
      </c>
      <c r="H55" s="90">
        <f t="shared" si="90"/>
        <v>-0.229557848396655</v>
      </c>
      <c r="I55" s="90">
        <f t="shared" si="90"/>
        <v>-0.23601686769157065</v>
      </c>
      <c r="J55" s="418">
        <f t="shared" si="90"/>
        <v>-0.19894695433850629</v>
      </c>
      <c r="K55" s="90" t="e">
        <f t="shared" si="90"/>
        <v>#DIV/0!</v>
      </c>
      <c r="L55" s="90" t="e">
        <f t="shared" si="90"/>
        <v>#DIV/0!</v>
      </c>
      <c r="M55" s="90" t="e">
        <f t="shared" si="90"/>
        <v>#DIV/0!</v>
      </c>
      <c r="N55" s="412" t="e">
        <f t="shared" ref="N55:O55" si="91">N54-0.64</f>
        <v>#DIV/0!</v>
      </c>
      <c r="O55" s="90" t="e">
        <f t="shared" si="91"/>
        <v>#DIV/0!</v>
      </c>
      <c r="P55" s="90" t="e">
        <f t="shared" ref="P55:S55" si="92">P54-0.64</f>
        <v>#DIV/0!</v>
      </c>
      <c r="Q55" s="90" t="e">
        <f t="shared" si="92"/>
        <v>#DIV/0!</v>
      </c>
      <c r="R55" s="412" t="e">
        <f t="shared" si="92"/>
        <v>#DIV/0!</v>
      </c>
      <c r="S55" s="90" t="e">
        <f t="shared" si="92"/>
        <v>#DIV/0!</v>
      </c>
      <c r="T55" s="90" t="e">
        <f t="shared" ref="T55:U55" si="93">T54-0.64</f>
        <v>#DIV/0!</v>
      </c>
      <c r="U55" s="90" t="e">
        <f t="shared" si="93"/>
        <v>#DIV/0!</v>
      </c>
      <c r="V55" s="411"/>
      <c r="AC55" s="67"/>
      <c r="AD55" s="67"/>
      <c r="AE55" s="67"/>
      <c r="AF55" s="67"/>
      <c r="AG55" s="67"/>
      <c r="AH55" s="67"/>
      <c r="AI55" s="67"/>
      <c r="AJ55" s="67"/>
      <c r="AK55" s="67"/>
      <c r="AL55" s="67"/>
      <c r="AM55" s="67"/>
    </row>
    <row r="56" spans="2:39" ht="13.8">
      <c r="B56" s="96" t="s">
        <v>173</v>
      </c>
      <c r="C56" s="410" t="s">
        <v>126</v>
      </c>
      <c r="D56" s="83" t="s">
        <v>127</v>
      </c>
      <c r="E56" s="83" t="s">
        <v>128</v>
      </c>
      <c r="F56" s="413" t="s">
        <v>129</v>
      </c>
      <c r="G56" s="410" t="s">
        <v>130</v>
      </c>
      <c r="H56" s="83" t="s">
        <v>131</v>
      </c>
      <c r="I56" s="83" t="s">
        <v>132</v>
      </c>
      <c r="J56" s="413" t="s">
        <v>133</v>
      </c>
      <c r="K56" s="410" t="s">
        <v>130</v>
      </c>
      <c r="L56" s="83" t="s">
        <v>135</v>
      </c>
      <c r="M56" s="83" t="s">
        <v>136</v>
      </c>
      <c r="N56" s="413" t="s">
        <v>137</v>
      </c>
      <c r="O56" s="410" t="str">
        <f t="shared" ref="O56:R56" si="94">O35</f>
        <v>1Q 19</v>
      </c>
      <c r="P56" s="410" t="str">
        <f t="shared" ref="P56" si="95">P35</f>
        <v>2Q 19</v>
      </c>
      <c r="Q56" s="83" t="str">
        <f t="shared" si="94"/>
        <v>3Q 19</v>
      </c>
      <c r="R56" s="413" t="str">
        <f t="shared" si="94"/>
        <v>4Q 19</v>
      </c>
      <c r="S56" s="410" t="str">
        <f t="shared" ref="S56" si="96">S35</f>
        <v>1Q 20</v>
      </c>
      <c r="T56" s="410" t="str">
        <f t="shared" ref="T56:V56" si="97">T35</f>
        <v>2Q 20</v>
      </c>
      <c r="U56" s="83" t="str">
        <f t="shared" si="97"/>
        <v>3Q 20</v>
      </c>
      <c r="V56" s="413" t="str">
        <f t="shared" si="97"/>
        <v>4Q 20</v>
      </c>
      <c r="AC56" s="67"/>
      <c r="AD56" s="67"/>
      <c r="AE56" s="67"/>
      <c r="AF56" s="67"/>
      <c r="AG56" s="67"/>
      <c r="AH56" s="67"/>
      <c r="AI56" s="67"/>
      <c r="AJ56" s="67"/>
      <c r="AK56" s="67"/>
      <c r="AL56" s="67"/>
      <c r="AM56" s="67"/>
    </row>
    <row r="57" spans="2:39">
      <c r="B57" t="str">
        <f t="shared" ref="B57:B64" si="98">B8</f>
        <v>II-VI Photonic Solutions</v>
      </c>
      <c r="C57" s="5">
        <v>0.12743171859279429</v>
      </c>
      <c r="D57" s="5">
        <v>0.12593445807128964</v>
      </c>
      <c r="E57" s="5">
        <v>0.12166744175335557</v>
      </c>
      <c r="F57" s="412">
        <f t="shared" ref="F57:S60" si="99">SUM(C8:F8)/SUM(C$24:F$24)</f>
        <v>5.2396413199613863E-2</v>
      </c>
      <c r="G57" s="5">
        <f t="shared" si="99"/>
        <v>5.3557323711267216E-2</v>
      </c>
      <c r="H57" s="5">
        <f t="shared" si="99"/>
        <v>5.462657879794889E-2</v>
      </c>
      <c r="I57" s="5">
        <f t="shared" si="99"/>
        <v>5.7073425125608451E-2</v>
      </c>
      <c r="J57" s="412">
        <f t="shared" si="99"/>
        <v>5.7991689979746297E-2</v>
      </c>
      <c r="K57" s="5">
        <f t="shared" si="99"/>
        <v>5.8611091132667777E-2</v>
      </c>
      <c r="L57" s="5">
        <f t="shared" si="99"/>
        <v>5.7218050621850501E-2</v>
      </c>
      <c r="M57" s="5">
        <f t="shared" si="99"/>
        <v>5.3630817183385145E-2</v>
      </c>
      <c r="N57" s="412" t="e">
        <f>SUM(K8:P8)/SUM(K$24:P$24)</f>
        <v>#DIV/0!</v>
      </c>
      <c r="O57" s="5" t="e">
        <f t="shared" ref="O57:O60" si="100">SUM(L8:O8)/SUM(L$24:O$24)</f>
        <v>#DIV/0!</v>
      </c>
      <c r="P57" s="5" t="e">
        <f t="shared" ref="P57:P60" si="101">SUM(M8:P8)/SUM(M$24:P$24)</f>
        <v>#DIV/0!</v>
      </c>
      <c r="Q57" s="5" t="e">
        <f t="shared" ref="Q57:Q60" si="102">SUM(N8:Q8)/SUM(N$24:Q$24)</f>
        <v>#DIV/0!</v>
      </c>
      <c r="R57" s="412" t="e">
        <f>SUM(O8:T8)/SUM(O$24:T$24)</f>
        <v>#DIV/0!</v>
      </c>
      <c r="S57" s="5" t="e">
        <f t="shared" si="99"/>
        <v>#DIV/0!</v>
      </c>
      <c r="T57" s="5" t="e">
        <f t="shared" ref="T57:U60" si="103">SUM(Q8:T8)/SUM(Q$24:T$24)</f>
        <v>#DIV/0!</v>
      </c>
      <c r="U57" s="5" t="e">
        <f t="shared" si="103"/>
        <v>#DIV/0!</v>
      </c>
      <c r="V57" s="412"/>
      <c r="AC57" s="67"/>
      <c r="AD57" s="67"/>
      <c r="AE57" s="67"/>
      <c r="AF57" s="67"/>
      <c r="AG57" s="67"/>
      <c r="AH57" s="67"/>
      <c r="AI57" s="67"/>
      <c r="AJ57" s="67"/>
      <c r="AK57" s="67"/>
      <c r="AL57" s="67"/>
      <c r="AM57" s="67"/>
    </row>
    <row r="58" spans="2:39">
      <c r="B58" t="str">
        <f t="shared" si="98"/>
        <v>Acacia</v>
      </c>
      <c r="C58" s="5">
        <v>4.5000551208689475E-2</v>
      </c>
      <c r="D58" s="5">
        <v>5.0952130369365613E-2</v>
      </c>
      <c r="E58" s="5">
        <v>5.7268157326514808E-2</v>
      </c>
      <c r="F58" s="412">
        <f t="shared" si="99"/>
        <v>6.6538572620943232E-2</v>
      </c>
      <c r="G58" s="5">
        <f t="shared" si="99"/>
        <v>6.722165013425746E-2</v>
      </c>
      <c r="H58" s="5">
        <f t="shared" si="99"/>
        <v>6.1466844593236147E-2</v>
      </c>
      <c r="I58" s="5">
        <f t="shared" si="99"/>
        <v>5.7320348674476489E-2</v>
      </c>
      <c r="J58" s="412">
        <f t="shared" si="99"/>
        <v>4.9828871284448607E-2</v>
      </c>
      <c r="K58" s="5">
        <f t="shared" si="99"/>
        <v>4.6739926088456285E-2</v>
      </c>
      <c r="L58" s="5">
        <f t="shared" si="99"/>
        <v>4.8401165841259662E-2</v>
      </c>
      <c r="M58" s="5">
        <f t="shared" si="99"/>
        <v>4.2031029575395049E-2</v>
      </c>
      <c r="N58" s="412" t="e">
        <f>SUM(K9:P9)/SUM(K$24:P$24)</f>
        <v>#DIV/0!</v>
      </c>
      <c r="O58" s="5" t="e">
        <f t="shared" si="100"/>
        <v>#DIV/0!</v>
      </c>
      <c r="P58" s="5" t="e">
        <f t="shared" si="101"/>
        <v>#DIV/0!</v>
      </c>
      <c r="Q58" s="5" t="e">
        <f t="shared" si="102"/>
        <v>#DIV/0!</v>
      </c>
      <c r="R58" s="412" t="e">
        <f>SUM(O9:T9)/SUM(O$24:T$24)</f>
        <v>#DIV/0!</v>
      </c>
      <c r="S58" s="5" t="e">
        <f t="shared" si="99"/>
        <v>#DIV/0!</v>
      </c>
      <c r="T58" s="5" t="e">
        <f t="shared" si="103"/>
        <v>#DIV/0!</v>
      </c>
      <c r="U58" s="5" t="e">
        <f t="shared" si="103"/>
        <v>#DIV/0!</v>
      </c>
      <c r="V58" s="412"/>
      <c r="AC58" s="67"/>
      <c r="AD58" s="67"/>
      <c r="AE58" s="67"/>
      <c r="AF58" s="67"/>
      <c r="AG58" s="67"/>
      <c r="AH58" s="67"/>
      <c r="AI58" s="67"/>
      <c r="AJ58" s="67"/>
      <c r="AK58" s="67"/>
      <c r="AL58" s="67"/>
      <c r="AM58" s="67"/>
    </row>
    <row r="59" spans="2:39">
      <c r="B59" t="str">
        <f t="shared" si="98"/>
        <v>Accelink</v>
      </c>
      <c r="C59" s="5">
        <v>8.7215445452557383E-2</v>
      </c>
      <c r="D59" s="5">
        <v>8.6580007127827721E-2</v>
      </c>
      <c r="E59" s="5">
        <v>8.5324000110728521E-2</v>
      </c>
      <c r="F59" s="412">
        <f t="shared" si="99"/>
        <v>8.5107171917638308E-2</v>
      </c>
      <c r="G59" s="5">
        <f t="shared" si="99"/>
        <v>8.5307424332896231E-2</v>
      </c>
      <c r="H59" s="5">
        <f t="shared" si="99"/>
        <v>8.5614998649925292E-2</v>
      </c>
      <c r="I59" s="5">
        <f t="shared" si="99"/>
        <v>8.4102061633243463E-2</v>
      </c>
      <c r="J59" s="412">
        <f t="shared" si="99"/>
        <v>8.7247293004831139E-2</v>
      </c>
      <c r="K59" s="5">
        <f t="shared" si="99"/>
        <v>8.4747290012076454E-2</v>
      </c>
      <c r="L59" s="5">
        <f t="shared" si="99"/>
        <v>8.2493139252603556E-2</v>
      </c>
      <c r="M59" s="5">
        <f t="shared" si="99"/>
        <v>8.4935683322103175E-2</v>
      </c>
      <c r="N59" s="412" t="e">
        <f>SUM(K10:P10)/SUM(K$24:P$24)</f>
        <v>#DIV/0!</v>
      </c>
      <c r="O59" s="5" t="e">
        <f t="shared" si="100"/>
        <v>#DIV/0!</v>
      </c>
      <c r="P59" s="5" t="e">
        <f t="shared" si="101"/>
        <v>#DIV/0!</v>
      </c>
      <c r="Q59" s="5" t="e">
        <f t="shared" si="102"/>
        <v>#DIV/0!</v>
      </c>
      <c r="R59" s="412" t="e">
        <f>SUM(O10:T10)/SUM(O$24:T$24)</f>
        <v>#DIV/0!</v>
      </c>
      <c r="S59" s="5" t="e">
        <f t="shared" si="99"/>
        <v>#DIV/0!</v>
      </c>
      <c r="T59" s="5" t="e">
        <f t="shared" si="103"/>
        <v>#DIV/0!</v>
      </c>
      <c r="U59" s="5" t="e">
        <f t="shared" si="103"/>
        <v>#DIV/0!</v>
      </c>
      <c r="V59" s="412"/>
      <c r="AC59" s="67"/>
      <c r="AD59" s="67"/>
      <c r="AE59" s="67"/>
      <c r="AF59" s="67"/>
      <c r="AG59" s="67"/>
      <c r="AH59" s="67"/>
      <c r="AI59" s="93"/>
      <c r="AJ59" s="1881"/>
      <c r="AK59" s="67"/>
      <c r="AL59" s="67"/>
      <c r="AM59" s="67"/>
    </row>
    <row r="60" spans="2:39">
      <c r="B60" t="str">
        <f t="shared" si="98"/>
        <v>Applied Optoelectronics</v>
      </c>
      <c r="C60" s="5">
        <v>3.421853633879595E-2</v>
      </c>
      <c r="D60" s="5">
        <v>3.2856134627329933E-2</v>
      </c>
      <c r="E60" s="5">
        <v>3.2389762189910985E-2</v>
      </c>
      <c r="F60" s="412">
        <f t="shared" si="99"/>
        <v>3.6304422323218101E-2</v>
      </c>
      <c r="G60" s="5">
        <f t="shared" si="99"/>
        <v>4.0554891207395721E-2</v>
      </c>
      <c r="H60" s="5">
        <f t="shared" si="99"/>
        <v>4.8126211715182228E-2</v>
      </c>
      <c r="I60" s="5">
        <f t="shared" si="99"/>
        <v>5.0409741723833237E-2</v>
      </c>
      <c r="J60" s="412">
        <f t="shared" si="99"/>
        <v>4.9458386787232488E-2</v>
      </c>
      <c r="K60" s="5">
        <f t="shared" si="99"/>
        <v>4.944170386248456E-2</v>
      </c>
      <c r="L60" s="5">
        <f t="shared" si="99"/>
        <v>4.2625300457515773E-2</v>
      </c>
      <c r="M60" s="5">
        <f t="shared" si="99"/>
        <v>3.8757365666780279E-2</v>
      </c>
      <c r="N60" s="412" t="e">
        <f>SUM(K11:P11)/SUM(K$24:P$24)</f>
        <v>#DIV/0!</v>
      </c>
      <c r="O60" s="5" t="e">
        <f t="shared" si="100"/>
        <v>#DIV/0!</v>
      </c>
      <c r="P60" s="5" t="e">
        <f t="shared" si="101"/>
        <v>#DIV/0!</v>
      </c>
      <c r="Q60" s="5" t="e">
        <f t="shared" si="102"/>
        <v>#DIV/0!</v>
      </c>
      <c r="R60" s="412" t="e">
        <f>SUM(O11:T11)/SUM(O$24:T$24)</f>
        <v>#DIV/0!</v>
      </c>
      <c r="S60" s="5" t="e">
        <f t="shared" si="99"/>
        <v>#DIV/0!</v>
      </c>
      <c r="T60" s="5" t="e">
        <f t="shared" si="103"/>
        <v>#DIV/0!</v>
      </c>
      <c r="U60" s="5" t="e">
        <f t="shared" si="103"/>
        <v>#DIV/0!</v>
      </c>
      <c r="V60" s="412"/>
      <c r="AC60" s="67"/>
      <c r="AD60" s="67"/>
      <c r="AE60" s="67"/>
      <c r="AF60" s="67"/>
      <c r="AG60" s="67"/>
      <c r="AH60" s="67"/>
      <c r="AI60" s="93"/>
      <c r="AJ60" s="1881"/>
      <c r="AK60" s="67"/>
      <c r="AL60" s="67"/>
      <c r="AM60" s="67"/>
    </row>
    <row r="61" spans="2:39">
      <c r="B61" t="str">
        <f t="shared" si="98"/>
        <v>Coadna</v>
      </c>
      <c r="C61" s="5">
        <v>6.9119546664371933E-3</v>
      </c>
      <c r="D61" s="5">
        <v>6.9385017917092326E-3</v>
      </c>
      <c r="E61" s="5">
        <v>6.6121435796212815E-3</v>
      </c>
      <c r="F61" s="412">
        <f t="shared" ref="F61:F72" si="104">SUM(C12:F12)/SUM(C$24:F$24)</f>
        <v>6.4033873729602495E-3</v>
      </c>
      <c r="G61" s="5">
        <f t="shared" ref="G61:G72" si="105">SUM(D12:G12)/SUM(D$24:G$24)</f>
        <v>5.4231915835069294E-3</v>
      </c>
      <c r="H61" s="5">
        <f t="shared" ref="H61:H72" si="106">SUM(E12:H12)/SUM(E$24:H$24)</f>
        <v>4.6566463068948918E-3</v>
      </c>
      <c r="I61" s="5">
        <f t="shared" ref="I61:I72" si="107">SUM(F12:I12)/SUM(F$24:I$24)</f>
        <v>4.0084860227186363E-3</v>
      </c>
      <c r="J61" s="412">
        <f t="shared" ref="J61:J72" si="108">SUM(G12:J12)/SUM(G$24:J$24)</f>
        <v>3.6364899685418072E-3</v>
      </c>
      <c r="K61" s="5">
        <f t="shared" ref="K61:K72" si="109">SUM(H12:K12)/SUM(H$24:K$24)</f>
        <v>3.6479161689990046E-3</v>
      </c>
      <c r="L61" s="587"/>
      <c r="M61" s="587"/>
      <c r="N61" s="694"/>
      <c r="O61" s="587"/>
      <c r="P61" s="587"/>
      <c r="Q61" s="587"/>
      <c r="R61" s="694"/>
      <c r="S61" s="587"/>
      <c r="T61" s="587"/>
      <c r="U61" s="587"/>
      <c r="V61" s="694"/>
      <c r="AC61" s="67"/>
      <c r="AD61" s="67"/>
      <c r="AE61" s="67"/>
      <c r="AF61" s="67"/>
      <c r="AG61" s="67"/>
      <c r="AH61" s="67"/>
      <c r="AI61" s="93"/>
      <c r="AJ61" s="1881"/>
      <c r="AK61" s="67"/>
      <c r="AL61" s="67"/>
      <c r="AM61" s="67"/>
    </row>
    <row r="62" spans="2:39">
      <c r="B62" t="str">
        <f t="shared" si="98"/>
        <v>Eoptolink</v>
      </c>
      <c r="C62" s="5">
        <v>1.5648607468646991E-2</v>
      </c>
      <c r="D62" s="5">
        <v>1.5360719241439082E-2</v>
      </c>
      <c r="E62" s="5">
        <v>1.4436035612756908E-2</v>
      </c>
      <c r="F62" s="412">
        <f t="shared" si="104"/>
        <v>1.4949504136011565E-2</v>
      </c>
      <c r="G62" s="5">
        <f t="shared" si="105"/>
        <v>1.4934617444158537E-2</v>
      </c>
      <c r="H62" s="5">
        <f t="shared" si="106"/>
        <v>1.5437935892559677E-2</v>
      </c>
      <c r="I62" s="5">
        <f t="shared" si="107"/>
        <v>1.6568331926421792E-2</v>
      </c>
      <c r="J62" s="412">
        <f t="shared" si="108"/>
        <v>1.6818909564227713E-2</v>
      </c>
      <c r="K62" s="5">
        <f t="shared" si="109"/>
        <v>1.7647345064889946E-2</v>
      </c>
      <c r="L62" s="5">
        <f t="shared" ref="L62:U72" si="110">SUM(I13:L13)/SUM(I$24:L$24)</f>
        <v>1.6989175709500971E-2</v>
      </c>
      <c r="M62" s="5">
        <f t="shared" si="110"/>
        <v>1.5813677369977266E-2</v>
      </c>
      <c r="N62" s="412" t="e">
        <f t="shared" ref="N62:N72" si="111">SUM(K13:P13)/SUM(K$24:P$24)</f>
        <v>#DIV/0!</v>
      </c>
      <c r="O62" s="5" t="e">
        <f t="shared" ref="O62:O72" si="112">SUM(L13:O13)/SUM(L$24:O$24)</f>
        <v>#DIV/0!</v>
      </c>
      <c r="P62" s="5" t="e">
        <f t="shared" ref="P62:P68" si="113">SUM(M13:P13)/SUM(M$24:P$24)</f>
        <v>#DIV/0!</v>
      </c>
      <c r="Q62" s="5" t="e">
        <f t="shared" ref="Q62:Q68" si="114">SUM(N13:Q13)/SUM(N$24:Q$24)</f>
        <v>#DIV/0!</v>
      </c>
      <c r="R62" s="412" t="e">
        <f t="shared" ref="R62:R72" si="115">SUM(O13:T13)/SUM(O$24:T$24)</f>
        <v>#DIV/0!</v>
      </c>
      <c r="S62" s="5" t="e">
        <f t="shared" si="110"/>
        <v>#DIV/0!</v>
      </c>
      <c r="T62" s="5" t="e">
        <f t="shared" si="110"/>
        <v>#DIV/0!</v>
      </c>
      <c r="U62" s="5" t="e">
        <f t="shared" si="110"/>
        <v>#DIV/0!</v>
      </c>
      <c r="V62" s="412"/>
      <c r="AC62" s="67"/>
      <c r="AD62" s="67"/>
      <c r="AE62" s="67"/>
      <c r="AF62" s="67"/>
      <c r="AG62" s="67"/>
      <c r="AH62" s="67"/>
      <c r="AI62" s="67"/>
      <c r="AJ62" s="1882"/>
      <c r="AK62" s="67"/>
      <c r="AL62" s="67"/>
      <c r="AM62" s="67"/>
    </row>
    <row r="63" spans="2:39">
      <c r="B63" t="str">
        <f t="shared" si="98"/>
        <v>Finisar</v>
      </c>
      <c r="C63" s="5">
        <v>0.20573011415587605</v>
      </c>
      <c r="D63" s="5">
        <v>0.19642761464491518</v>
      </c>
      <c r="E63" s="5">
        <v>0.18954041492414753</v>
      </c>
      <c r="F63" s="412">
        <f t="shared" si="104"/>
        <v>0.19637518623989178</v>
      </c>
      <c r="G63" s="5">
        <f t="shared" si="105"/>
        <v>0.19172000749530974</v>
      </c>
      <c r="H63" s="5">
        <f t="shared" si="106"/>
        <v>0.18929734645259985</v>
      </c>
      <c r="I63" s="5">
        <f t="shared" si="107"/>
        <v>0.18376576097452918</v>
      </c>
      <c r="J63" s="412">
        <f t="shared" si="108"/>
        <v>0.17643742063913731</v>
      </c>
      <c r="K63" s="5">
        <f t="shared" si="109"/>
        <v>0.1738993838580363</v>
      </c>
      <c r="L63" s="5">
        <f t="shared" ref="L63:S68" si="116">SUM(I14:L14)/SUM(I$24:L$24)</f>
        <v>0.16789215976903671</v>
      </c>
      <c r="M63" s="5">
        <f t="shared" si="116"/>
        <v>0.16133071967609749</v>
      </c>
      <c r="N63" s="412" t="e">
        <f t="shared" si="111"/>
        <v>#DIV/0!</v>
      </c>
      <c r="O63" s="5" t="e">
        <f t="shared" si="112"/>
        <v>#DIV/0!</v>
      </c>
      <c r="P63" s="5" t="e">
        <f t="shared" si="113"/>
        <v>#DIV/0!</v>
      </c>
      <c r="Q63" s="587"/>
      <c r="R63" s="694"/>
      <c r="S63" s="587"/>
      <c r="T63" s="587"/>
      <c r="U63" s="587"/>
      <c r="V63" s="412"/>
      <c r="AC63" s="67"/>
      <c r="AD63" s="67"/>
      <c r="AE63" s="67"/>
      <c r="AF63" s="67"/>
      <c r="AG63" s="67"/>
      <c r="AH63" s="67"/>
      <c r="AI63" s="67"/>
      <c r="AJ63" s="67"/>
      <c r="AK63" s="67"/>
      <c r="AL63" s="67"/>
      <c r="AM63" s="67"/>
    </row>
    <row r="64" spans="2:39">
      <c r="B64" t="str">
        <f t="shared" si="98"/>
        <v>Hisense</v>
      </c>
      <c r="C64" s="5">
        <v>7.5776806597375124E-2</v>
      </c>
      <c r="D64" s="5">
        <v>8.3098107427218015E-2</v>
      </c>
      <c r="E64" s="5">
        <v>8.646531942044397E-2</v>
      </c>
      <c r="F64" s="412">
        <f t="shared" si="104"/>
        <v>9.8061936026486676E-2</v>
      </c>
      <c r="G64" s="5">
        <f t="shared" si="105"/>
        <v>0.10037621947081554</v>
      </c>
      <c r="H64" s="5">
        <f t="shared" si="106"/>
        <v>9.3118389159752707E-2</v>
      </c>
      <c r="I64" s="5">
        <f t="shared" si="107"/>
        <v>9.2518573973374305E-2</v>
      </c>
      <c r="J64" s="412">
        <f t="shared" si="108"/>
        <v>8.3844408008439633E-2</v>
      </c>
      <c r="K64" s="5">
        <f t="shared" si="109"/>
        <v>7.7955570307244981E-2</v>
      </c>
      <c r="L64" s="5">
        <f t="shared" si="116"/>
        <v>8.0080009038086569E-2</v>
      </c>
      <c r="M64" s="5">
        <f t="shared" si="116"/>
        <v>7.5228748085291383E-2</v>
      </c>
      <c r="N64" s="412" t="e">
        <f t="shared" si="111"/>
        <v>#DIV/0!</v>
      </c>
      <c r="O64" s="5" t="e">
        <f t="shared" si="112"/>
        <v>#DIV/0!</v>
      </c>
      <c r="P64" s="5" t="e">
        <f t="shared" si="113"/>
        <v>#DIV/0!</v>
      </c>
      <c r="Q64" s="5" t="e">
        <f t="shared" si="114"/>
        <v>#DIV/0!</v>
      </c>
      <c r="R64" s="412" t="e">
        <f t="shared" si="115"/>
        <v>#DIV/0!</v>
      </c>
      <c r="S64" s="5" t="e">
        <f t="shared" si="116"/>
        <v>#DIV/0!</v>
      </c>
      <c r="T64" s="5" t="e">
        <f t="shared" si="110"/>
        <v>#DIV/0!</v>
      </c>
      <c r="U64" s="5" t="e">
        <f t="shared" si="110"/>
        <v>#DIV/0!</v>
      </c>
      <c r="V64" s="412"/>
      <c r="AC64" s="67"/>
      <c r="AD64" s="67"/>
      <c r="AE64" s="67"/>
      <c r="AF64" s="67"/>
      <c r="AG64" s="67"/>
      <c r="AH64" s="67"/>
      <c r="AI64" s="67"/>
      <c r="AJ64" s="67"/>
      <c r="AK64" s="67"/>
      <c r="AL64" s="67"/>
      <c r="AM64" s="67"/>
    </row>
    <row r="65" spans="2:39">
      <c r="B65" t="s">
        <v>351</v>
      </c>
      <c r="C65" s="5">
        <v>2.7922100746110477E-2</v>
      </c>
      <c r="D65" s="5">
        <v>2.7422525767023941E-2</v>
      </c>
      <c r="E65" s="5">
        <v>2.6673918643494686E-2</v>
      </c>
      <c r="F65" s="412">
        <f t="shared" si="104"/>
        <v>2.7078904450284515E-2</v>
      </c>
      <c r="G65" s="5">
        <f t="shared" si="105"/>
        <v>2.6656242278461213E-2</v>
      </c>
      <c r="H65" s="5">
        <f t="shared" si="106"/>
        <v>2.7246549782897703E-2</v>
      </c>
      <c r="I65" s="5">
        <f t="shared" si="107"/>
        <v>2.9899101596569937E-2</v>
      </c>
      <c r="J65" s="412">
        <f t="shared" si="108"/>
        <v>3.4038540166145825E-2</v>
      </c>
      <c r="K65" s="5">
        <f t="shared" si="109"/>
        <v>3.6143666622817698E-2</v>
      </c>
      <c r="L65" s="5">
        <f t="shared" si="116"/>
        <v>3.9155840381398799E-2</v>
      </c>
      <c r="M65" s="5">
        <f t="shared" si="116"/>
        <v>4.0283781232768934E-2</v>
      </c>
      <c r="N65" s="412" t="e">
        <f t="shared" si="111"/>
        <v>#DIV/0!</v>
      </c>
      <c r="O65" s="5" t="e">
        <f t="shared" si="112"/>
        <v>#DIV/0!</v>
      </c>
      <c r="P65" s="5" t="e">
        <f t="shared" si="113"/>
        <v>#DIV/0!</v>
      </c>
      <c r="Q65" s="5" t="e">
        <f t="shared" si="114"/>
        <v>#DIV/0!</v>
      </c>
      <c r="R65" s="412" t="e">
        <f t="shared" si="115"/>
        <v>#DIV/0!</v>
      </c>
      <c r="S65" s="5" t="e">
        <f t="shared" si="116"/>
        <v>#DIV/0!</v>
      </c>
      <c r="T65" s="5" t="e">
        <f t="shared" si="110"/>
        <v>#DIV/0!</v>
      </c>
      <c r="U65" s="5" t="e">
        <f t="shared" si="110"/>
        <v>#DIV/0!</v>
      </c>
      <c r="V65" s="412"/>
      <c r="AC65" s="67"/>
      <c r="AD65" s="67"/>
      <c r="AE65" s="67"/>
      <c r="AF65" s="67"/>
      <c r="AG65" s="67"/>
      <c r="AH65" s="67"/>
      <c r="AI65" s="67"/>
      <c r="AJ65" s="67"/>
      <c r="AK65" s="67"/>
      <c r="AL65" s="67"/>
      <c r="AM65" s="67"/>
    </row>
    <row r="66" spans="2:39">
      <c r="B66" t="str">
        <f t="shared" ref="B66:B73" si="117">B17</f>
        <v>Innolight</v>
      </c>
      <c r="C66" s="5">
        <v>3.1107760307996318E-2</v>
      </c>
      <c r="D66" s="5">
        <v>3.1820816205338075E-2</v>
      </c>
      <c r="E66" s="5">
        <v>3.5674038775601262E-2</v>
      </c>
      <c r="F66" s="412">
        <f t="shared" si="104"/>
        <v>4.1274007740928563E-2</v>
      </c>
      <c r="G66" s="5">
        <f t="shared" si="105"/>
        <v>4.4906671770746406E-2</v>
      </c>
      <c r="H66" s="5">
        <f t="shared" si="106"/>
        <v>5.6453991230855198E-2</v>
      </c>
      <c r="I66" s="5">
        <f t="shared" si="107"/>
        <v>6.7064852182017687E-2</v>
      </c>
      <c r="J66" s="412">
        <f t="shared" si="108"/>
        <v>7.8391621966821895E-2</v>
      </c>
      <c r="K66" s="5">
        <f t="shared" si="109"/>
        <v>8.7778402993500093E-2</v>
      </c>
      <c r="L66" s="5">
        <f t="shared" si="116"/>
        <v>8.9679505389655315E-2</v>
      </c>
      <c r="M66" s="5">
        <f t="shared" si="116"/>
        <v>8.9303804178668469E-2</v>
      </c>
      <c r="N66" s="412" t="e">
        <f t="shared" si="111"/>
        <v>#DIV/0!</v>
      </c>
      <c r="O66" s="5" t="e">
        <f t="shared" si="112"/>
        <v>#DIV/0!</v>
      </c>
      <c r="P66" s="5" t="e">
        <f t="shared" si="113"/>
        <v>#DIV/0!</v>
      </c>
      <c r="Q66" s="5" t="e">
        <f t="shared" si="114"/>
        <v>#DIV/0!</v>
      </c>
      <c r="R66" s="412" t="e">
        <f t="shared" si="115"/>
        <v>#DIV/0!</v>
      </c>
      <c r="S66" s="5" t="e">
        <f t="shared" si="116"/>
        <v>#DIV/0!</v>
      </c>
      <c r="T66" s="5" t="e">
        <f t="shared" si="110"/>
        <v>#DIV/0!</v>
      </c>
      <c r="U66" s="5" t="e">
        <f t="shared" si="110"/>
        <v>#DIV/0!</v>
      </c>
      <c r="V66" s="412"/>
      <c r="AC66" s="67"/>
      <c r="AD66" s="67"/>
      <c r="AE66" s="67"/>
      <c r="AF66" s="67"/>
      <c r="AG66" s="67"/>
      <c r="AH66" s="67"/>
      <c r="AI66" s="67"/>
      <c r="AJ66" s="67"/>
      <c r="AK66" s="67"/>
      <c r="AL66" s="67"/>
      <c r="AM66" s="67"/>
    </row>
    <row r="67" spans="2:39">
      <c r="B67" t="str">
        <f t="shared" si="117"/>
        <v>Lumentum (optical comm)</v>
      </c>
      <c r="C67" s="5">
        <v>0.12034305807109152</v>
      </c>
      <c r="D67" s="5">
        <v>0.11589476217944183</v>
      </c>
      <c r="E67" s="5">
        <v>0.11360482586277783</v>
      </c>
      <c r="F67" s="412">
        <f t="shared" si="104"/>
        <v>0.11883851739774272</v>
      </c>
      <c r="G67" s="5">
        <f t="shared" si="105"/>
        <v>0.11542138965288164</v>
      </c>
      <c r="H67" s="5">
        <f t="shared" si="106"/>
        <v>0.11202038213715591</v>
      </c>
      <c r="I67" s="5">
        <f t="shared" si="107"/>
        <v>0.11029598773989252</v>
      </c>
      <c r="J67" s="412">
        <f t="shared" si="108"/>
        <v>0.12559476199271843</v>
      </c>
      <c r="K67" s="5">
        <f t="shared" si="109"/>
        <v>0.13042350114073598</v>
      </c>
      <c r="L67" s="5">
        <f t="shared" si="116"/>
        <v>0.14348720862344849</v>
      </c>
      <c r="M67" s="5">
        <f t="shared" si="116"/>
        <v>0.1747733689387963</v>
      </c>
      <c r="N67" s="412" t="e">
        <f t="shared" si="111"/>
        <v>#DIV/0!</v>
      </c>
      <c r="O67" s="5" t="e">
        <f t="shared" si="112"/>
        <v>#DIV/0!</v>
      </c>
      <c r="P67" s="5" t="e">
        <f t="shared" si="113"/>
        <v>#DIV/0!</v>
      </c>
      <c r="Q67" s="5" t="e">
        <f t="shared" si="114"/>
        <v>#DIV/0!</v>
      </c>
      <c r="R67" s="412" t="e">
        <f t="shared" si="115"/>
        <v>#DIV/0!</v>
      </c>
      <c r="S67" s="5" t="e">
        <f t="shared" si="116"/>
        <v>#DIV/0!</v>
      </c>
      <c r="T67" s="5" t="e">
        <f t="shared" si="110"/>
        <v>#DIV/0!</v>
      </c>
      <c r="U67" s="5" t="e">
        <f t="shared" si="110"/>
        <v>#DIV/0!</v>
      </c>
      <c r="V67" s="412"/>
      <c r="AC67" s="67"/>
      <c r="AD67" s="67"/>
      <c r="AE67" s="67"/>
      <c r="AF67" s="67"/>
      <c r="AG67" s="67"/>
      <c r="AH67" s="67"/>
      <c r="AI67" s="67"/>
      <c r="AJ67" s="67"/>
      <c r="AK67" s="67"/>
      <c r="AL67" s="67"/>
      <c r="AM67" s="67"/>
    </row>
    <row r="68" spans="2:39">
      <c r="B68" t="str">
        <f t="shared" si="117"/>
        <v>NeoPhotonics</v>
      </c>
      <c r="C68" s="5">
        <v>5.8176397811603595E-2</v>
      </c>
      <c r="D68" s="5">
        <v>5.6470529811291338E-2</v>
      </c>
      <c r="E68" s="5">
        <v>5.5294760102181949E-2</v>
      </c>
      <c r="F68" s="412">
        <f t="shared" si="104"/>
        <v>5.7254635358664145E-2</v>
      </c>
      <c r="G68" s="5">
        <f t="shared" si="105"/>
        <v>5.0779591436788056E-2</v>
      </c>
      <c r="H68" s="5">
        <f t="shared" si="106"/>
        <v>4.6703440606705178E-2</v>
      </c>
      <c r="I68" s="5">
        <f t="shared" si="107"/>
        <v>4.2362219655404036E-2</v>
      </c>
      <c r="J68" s="412">
        <f t="shared" si="108"/>
        <v>3.786612866955457E-2</v>
      </c>
      <c r="K68" s="5">
        <f t="shared" si="109"/>
        <v>3.8190689779579491E-2</v>
      </c>
      <c r="L68" s="5">
        <f t="shared" si="116"/>
        <v>3.7392817090935691E-2</v>
      </c>
      <c r="M68" s="5">
        <f t="shared" si="116"/>
        <v>3.7323165985541341E-2</v>
      </c>
      <c r="N68" s="412" t="e">
        <f t="shared" si="111"/>
        <v>#DIV/0!</v>
      </c>
      <c r="O68" s="5" t="e">
        <f t="shared" si="112"/>
        <v>#DIV/0!</v>
      </c>
      <c r="P68" s="5" t="e">
        <f t="shared" si="113"/>
        <v>#DIV/0!</v>
      </c>
      <c r="Q68" s="5" t="e">
        <f t="shared" si="114"/>
        <v>#DIV/0!</v>
      </c>
      <c r="R68" s="412" t="e">
        <f t="shared" si="115"/>
        <v>#DIV/0!</v>
      </c>
      <c r="S68" s="5" t="e">
        <f t="shared" si="116"/>
        <v>#DIV/0!</v>
      </c>
      <c r="T68" s="5" t="e">
        <f t="shared" si="110"/>
        <v>#DIV/0!</v>
      </c>
      <c r="U68" s="5" t="e">
        <f t="shared" si="110"/>
        <v>#DIV/0!</v>
      </c>
      <c r="V68" s="412"/>
      <c r="AC68" s="67"/>
      <c r="AD68" s="67"/>
      <c r="AE68" s="67"/>
      <c r="AF68" s="67"/>
      <c r="AG68" s="67"/>
      <c r="AH68" s="67"/>
      <c r="AI68" s="1883"/>
      <c r="AJ68" s="67"/>
      <c r="AK68" s="67"/>
      <c r="AL68" s="67"/>
      <c r="AM68" s="67"/>
    </row>
    <row r="69" spans="2:39">
      <c r="B69" t="str">
        <f t="shared" si="117"/>
        <v>Oclaro (w/Opnext)</v>
      </c>
      <c r="C69" s="5">
        <v>5.943520346301983E-2</v>
      </c>
      <c r="D69" s="5">
        <v>6.2106011586527635E-2</v>
      </c>
      <c r="E69" s="5">
        <v>6.4539715563608199E-2</v>
      </c>
      <c r="F69" s="412">
        <f t="shared" si="104"/>
        <v>7.1798259327463448E-2</v>
      </c>
      <c r="G69" s="5">
        <f t="shared" si="105"/>
        <v>7.6278776897610381E-2</v>
      </c>
      <c r="H69" s="5">
        <f t="shared" si="106"/>
        <v>7.8381896190054784E-2</v>
      </c>
      <c r="I69" s="5">
        <f t="shared" si="107"/>
        <v>8.0737755837935618E-2</v>
      </c>
      <c r="J69" s="412">
        <f t="shared" si="108"/>
        <v>7.8382954906307409E-2</v>
      </c>
      <c r="K69" s="5">
        <f t="shared" si="109"/>
        <v>7.6708129480538331E-2</v>
      </c>
      <c r="L69" s="5">
        <f t="shared" ref="L69:M72" si="118">SUM(I20:L20)/SUM(I$24:L$24)</f>
        <v>7.4505480459400586E-2</v>
      </c>
      <c r="M69" s="5">
        <f t="shared" si="118"/>
        <v>6.7625791061058552E-2</v>
      </c>
      <c r="N69" s="412" t="e">
        <f t="shared" si="111"/>
        <v>#DIV/0!</v>
      </c>
      <c r="O69" s="587"/>
      <c r="P69" s="587"/>
      <c r="Q69" s="587"/>
      <c r="R69" s="694"/>
      <c r="S69" s="587"/>
      <c r="T69" s="587"/>
      <c r="U69" s="587"/>
      <c r="V69" s="694"/>
      <c r="AC69" s="67"/>
      <c r="AD69" s="67"/>
      <c r="AE69" s="67"/>
      <c r="AF69" s="67"/>
      <c r="AG69" s="67"/>
      <c r="AH69" s="67"/>
      <c r="AI69" s="67"/>
      <c r="AJ69" s="67"/>
      <c r="AK69" s="67"/>
      <c r="AL69" s="67"/>
      <c r="AM69" s="67"/>
    </row>
    <row r="70" spans="2:39">
      <c r="B70" t="str">
        <f t="shared" si="117"/>
        <v>OE Solutions</v>
      </c>
      <c r="C70" s="5">
        <v>2.620659736490763E-2</v>
      </c>
      <c r="D70" s="5">
        <v>2.6696493087790086E-2</v>
      </c>
      <c r="E70" s="5">
        <v>2.6567483308935429E-2</v>
      </c>
      <c r="F70" s="412">
        <f t="shared" si="104"/>
        <v>9.5727539769576066E-3</v>
      </c>
      <c r="G70" s="5">
        <f t="shared" si="105"/>
        <v>9.9741338988177542E-3</v>
      </c>
      <c r="H70" s="5">
        <f t="shared" si="106"/>
        <v>1.0367320944140132E-2</v>
      </c>
      <c r="I70" s="5">
        <f t="shared" si="107"/>
        <v>1.0048270679432553E-2</v>
      </c>
      <c r="J70" s="412">
        <f t="shared" si="108"/>
        <v>8.7466033163149434E-3</v>
      </c>
      <c r="K70" s="5">
        <f t="shared" si="109"/>
        <v>8.1850094766264259E-3</v>
      </c>
      <c r="L70" s="5">
        <f t="shared" si="118"/>
        <v>7.5772643792007674E-3</v>
      </c>
      <c r="M70" s="5">
        <f t="shared" si="118"/>
        <v>7.3937968544237793E-3</v>
      </c>
      <c r="N70" s="412" t="e">
        <f t="shared" si="111"/>
        <v>#DIV/0!</v>
      </c>
      <c r="O70" s="5" t="e">
        <f t="shared" si="112"/>
        <v>#DIV/0!</v>
      </c>
      <c r="P70" s="5" t="e">
        <f t="shared" ref="P70:P72" si="119">SUM(M21:P21)/SUM(M$24:P$24)</f>
        <v>#DIV/0!</v>
      </c>
      <c r="Q70" s="5" t="e">
        <f t="shared" ref="Q70:Q72" si="120">SUM(N21:Q21)/SUM(N$24:Q$24)</f>
        <v>#DIV/0!</v>
      </c>
      <c r="R70" s="412" t="e">
        <f t="shared" si="115"/>
        <v>#DIV/0!</v>
      </c>
      <c r="S70" s="5" t="e">
        <f t="shared" ref="S70:S72" si="121">SUM(P21:S21)/SUM(P$24:S$24)</f>
        <v>#DIV/0!</v>
      </c>
      <c r="T70" s="5" t="e">
        <f t="shared" si="110"/>
        <v>#DIV/0!</v>
      </c>
      <c r="U70" s="5" t="e">
        <f t="shared" si="110"/>
        <v>#DIV/0!</v>
      </c>
      <c r="V70" s="412"/>
      <c r="AC70" s="67"/>
      <c r="AD70" s="67"/>
      <c r="AE70" s="67"/>
      <c r="AF70" s="67"/>
      <c r="AG70" s="67"/>
      <c r="AH70" s="67"/>
      <c r="AI70" s="67"/>
      <c r="AJ70" s="67"/>
      <c r="AK70" s="67"/>
      <c r="AL70" s="67"/>
      <c r="AM70" s="67"/>
    </row>
    <row r="71" spans="2:39">
      <c r="B71" t="str">
        <f t="shared" si="117"/>
        <v>O-Net</v>
      </c>
      <c r="C71" s="5">
        <v>2.620659736490763E-2</v>
      </c>
      <c r="D71" s="5">
        <v>2.6696493087790086E-2</v>
      </c>
      <c r="E71" s="5">
        <v>2.6567483308935429E-2</v>
      </c>
      <c r="F71" s="412">
        <f t="shared" si="104"/>
        <v>2.8660619455361299E-2</v>
      </c>
      <c r="G71" s="5">
        <f t="shared" si="105"/>
        <v>2.8159489751048945E-2</v>
      </c>
      <c r="H71" s="5">
        <f t="shared" si="106"/>
        <v>2.6874609893860129E-2</v>
      </c>
      <c r="I71" s="5">
        <f t="shared" si="107"/>
        <v>2.8932106362501649E-2</v>
      </c>
      <c r="J71" s="412">
        <f t="shared" si="108"/>
        <v>3.1532741524711326E-2</v>
      </c>
      <c r="K71" s="5">
        <f t="shared" si="109"/>
        <v>3.2616462338417682E-2</v>
      </c>
      <c r="L71" s="5">
        <f t="shared" si="118"/>
        <v>3.7327204649327449E-2</v>
      </c>
      <c r="M71" s="5">
        <f t="shared" si="118"/>
        <v>3.8469200956652447E-2</v>
      </c>
      <c r="N71" s="412" t="e">
        <f t="shared" si="111"/>
        <v>#DIV/0!</v>
      </c>
      <c r="O71" s="5" t="e">
        <f t="shared" si="112"/>
        <v>#DIV/0!</v>
      </c>
      <c r="P71" s="5" t="e">
        <f t="shared" si="119"/>
        <v>#DIV/0!</v>
      </c>
      <c r="Q71" s="5" t="e">
        <f t="shared" si="120"/>
        <v>#DIV/0!</v>
      </c>
      <c r="R71" s="412" t="e">
        <f t="shared" si="115"/>
        <v>#DIV/0!</v>
      </c>
      <c r="S71" s="5" t="e">
        <f t="shared" si="121"/>
        <v>#DIV/0!</v>
      </c>
      <c r="T71" s="5" t="e">
        <f t="shared" si="110"/>
        <v>#DIV/0!</v>
      </c>
      <c r="U71" s="5" t="e">
        <f t="shared" si="110"/>
        <v>#DIV/0!</v>
      </c>
      <c r="V71" s="412"/>
      <c r="AC71" s="67"/>
      <c r="AD71" s="67"/>
      <c r="AE71" s="67"/>
      <c r="AF71" s="67"/>
      <c r="AG71" s="67"/>
      <c r="AH71" s="67"/>
      <c r="AI71" s="67"/>
      <c r="AJ71" s="67"/>
      <c r="AK71" s="67"/>
      <c r="AL71" s="67"/>
      <c r="AM71" s="67"/>
    </row>
    <row r="72" spans="2:39">
      <c r="B72" t="str">
        <f t="shared" si="117"/>
        <v>Sumitomo</v>
      </c>
      <c r="C72" s="5">
        <v>7.887514775409811E-2</v>
      </c>
      <c r="D72" s="5">
        <v>8.1441188061492767E-2</v>
      </c>
      <c r="E72" s="5">
        <v>8.3941982825921066E-2</v>
      </c>
      <c r="F72" s="412">
        <f t="shared" si="104"/>
        <v>8.938570845583399E-2</v>
      </c>
      <c r="G72" s="5">
        <f t="shared" si="105"/>
        <v>8.8728378934038246E-2</v>
      </c>
      <c r="H72" s="5">
        <f t="shared" si="106"/>
        <v>8.9606857646231206E-2</v>
      </c>
      <c r="I72" s="5">
        <f t="shared" si="107"/>
        <v>8.4892975892040368E-2</v>
      </c>
      <c r="J72" s="412">
        <f t="shared" si="108"/>
        <v>8.0183178220820703E-2</v>
      </c>
      <c r="K72" s="5">
        <f t="shared" si="109"/>
        <v>7.7263911672928953E-2</v>
      </c>
      <c r="L72" s="5">
        <f t="shared" si="118"/>
        <v>7.1528747017261987E-2</v>
      </c>
      <c r="M72" s="5">
        <f t="shared" si="118"/>
        <v>6.9556018551624063E-2</v>
      </c>
      <c r="N72" s="412" t="e">
        <f t="shared" si="111"/>
        <v>#DIV/0!</v>
      </c>
      <c r="O72" s="5" t="e">
        <f t="shared" si="112"/>
        <v>#DIV/0!</v>
      </c>
      <c r="P72" s="5" t="e">
        <f t="shared" si="119"/>
        <v>#DIV/0!</v>
      </c>
      <c r="Q72" s="5" t="e">
        <f t="shared" si="120"/>
        <v>#DIV/0!</v>
      </c>
      <c r="R72" s="412" t="e">
        <f t="shared" si="115"/>
        <v>#DIV/0!</v>
      </c>
      <c r="S72" s="5" t="e">
        <f t="shared" si="121"/>
        <v>#DIV/0!</v>
      </c>
      <c r="T72" s="5" t="e">
        <f t="shared" si="110"/>
        <v>#DIV/0!</v>
      </c>
      <c r="U72" s="5" t="e">
        <f t="shared" si="110"/>
        <v>#DIV/0!</v>
      </c>
      <c r="V72" s="412"/>
      <c r="AC72" s="67"/>
      <c r="AD72" s="67"/>
      <c r="AE72" s="67"/>
      <c r="AF72" s="67"/>
      <c r="AG72" s="67"/>
      <c r="AH72" s="67"/>
      <c r="AI72" s="67"/>
      <c r="AJ72" s="67"/>
      <c r="AK72" s="67"/>
      <c r="AL72" s="67"/>
      <c r="AM72" s="67"/>
    </row>
    <row r="73" spans="2:39">
      <c r="B73" t="str">
        <f t="shared" si="117"/>
        <v>Total</v>
      </c>
      <c r="C73" s="5">
        <v>0.99999999999999989</v>
      </c>
      <c r="D73" s="5">
        <v>1</v>
      </c>
      <c r="E73" s="5">
        <v>1</v>
      </c>
      <c r="F73" s="412">
        <f t="shared" ref="F73:R73" si="122">SUM(F57:F72)</f>
        <v>1</v>
      </c>
      <c r="G73" s="5">
        <f t="shared" si="122"/>
        <v>1</v>
      </c>
      <c r="H73" s="5">
        <f t="shared" si="122"/>
        <v>0.99999999999999989</v>
      </c>
      <c r="I73" s="5">
        <f t="shared" si="122"/>
        <v>1</v>
      </c>
      <c r="J73" s="412">
        <f t="shared" si="122"/>
        <v>1.0000000000000002</v>
      </c>
      <c r="K73" s="5">
        <f t="shared" si="122"/>
        <v>0.99999999999999978</v>
      </c>
      <c r="L73" s="5">
        <f t="shared" si="122"/>
        <v>0.99635306868048279</v>
      </c>
      <c r="M73" s="5">
        <f t="shared" si="122"/>
        <v>0.9964569686385637</v>
      </c>
      <c r="N73" s="412" t="e">
        <f t="shared" si="122"/>
        <v>#DIV/0!</v>
      </c>
      <c r="O73" s="5" t="e">
        <f t="shared" si="122"/>
        <v>#DIV/0!</v>
      </c>
      <c r="P73" s="5" t="e">
        <f t="shared" si="122"/>
        <v>#DIV/0!</v>
      </c>
      <c r="Q73" s="5" t="e">
        <f t="shared" si="122"/>
        <v>#DIV/0!</v>
      </c>
      <c r="R73" s="412" t="e">
        <f t="shared" si="122"/>
        <v>#DIV/0!</v>
      </c>
      <c r="S73" s="5" t="e">
        <f t="shared" ref="S73:T73" si="123">SUM(S57:S72)</f>
        <v>#DIV/0!</v>
      </c>
      <c r="T73" s="5" t="e">
        <f t="shared" si="123"/>
        <v>#DIV/0!</v>
      </c>
      <c r="U73" s="5" t="e">
        <f t="shared" ref="U73" si="124">SUM(U57:U72)</f>
        <v>#DIV/0!</v>
      </c>
      <c r="V73" s="412"/>
      <c r="AC73" s="67"/>
      <c r="AD73" s="67"/>
      <c r="AE73" s="67"/>
      <c r="AF73" s="67"/>
      <c r="AG73" s="67"/>
      <c r="AH73" s="67"/>
      <c r="AI73" s="67"/>
      <c r="AJ73" s="67"/>
      <c r="AK73" s="67"/>
      <c r="AL73" s="67"/>
      <c r="AM73" s="67"/>
    </row>
    <row r="74" spans="2:39">
      <c r="F74" s="5"/>
      <c r="G74" s="5"/>
      <c r="H74" s="5"/>
      <c r="I74" s="5"/>
      <c r="J74" s="5"/>
      <c r="K74" s="5"/>
      <c r="L74" s="5"/>
      <c r="M74" s="5"/>
      <c r="N74" s="5"/>
      <c r="O74" s="5"/>
      <c r="P74" s="5"/>
      <c r="Q74" s="5"/>
      <c r="R74" s="5"/>
      <c r="S74" s="5"/>
      <c r="T74" s="5"/>
      <c r="U74" s="5"/>
      <c r="V74" s="5"/>
      <c r="AC74" s="67"/>
      <c r="AD74" s="67"/>
      <c r="AE74" s="67"/>
      <c r="AF74" s="67"/>
      <c r="AG74" s="67"/>
      <c r="AH74" s="67"/>
      <c r="AI74" s="67"/>
      <c r="AJ74" s="67"/>
      <c r="AK74" s="67"/>
      <c r="AL74" s="67"/>
      <c r="AM74" s="67"/>
    </row>
    <row r="75" spans="2:39">
      <c r="AC75" s="67"/>
      <c r="AD75" s="67"/>
      <c r="AE75" s="67"/>
      <c r="AF75" s="67"/>
      <c r="AG75" s="67"/>
      <c r="AH75" s="67"/>
      <c r="AI75" s="67"/>
      <c r="AJ75" s="67"/>
      <c r="AK75" s="67"/>
      <c r="AL75" s="67"/>
      <c r="AM75" s="67"/>
    </row>
    <row r="76" spans="2:39">
      <c r="AC76" s="67"/>
      <c r="AD76" s="67"/>
      <c r="AE76" s="67"/>
      <c r="AF76" s="67"/>
      <c r="AG76" s="67"/>
      <c r="AH76" s="67"/>
      <c r="AI76" s="67"/>
      <c r="AJ76" s="67"/>
      <c r="AK76" s="67"/>
      <c r="AL76" s="67"/>
      <c r="AM76" s="67"/>
    </row>
    <row r="77" spans="2:39">
      <c r="AC77" s="67"/>
      <c r="AD77" s="67"/>
      <c r="AE77" s="67"/>
      <c r="AF77" s="67"/>
      <c r="AG77" s="67"/>
      <c r="AH77" s="67"/>
      <c r="AI77" s="67"/>
      <c r="AJ77" s="67"/>
      <c r="AK77" s="67"/>
      <c r="AL77" s="67"/>
      <c r="AM77" s="67"/>
    </row>
  </sheetData>
  <sortState xmlns:xlrd2="http://schemas.microsoft.com/office/spreadsheetml/2017/richdata2" ref="AH57:AI71">
    <sortCondition descending="1" ref="AI52:AI66"/>
  </sortState>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A1:AK96"/>
  <sheetViews>
    <sheetView zoomScale="80" zoomScaleNormal="80" zoomScalePageLayoutView="80" workbookViewId="0">
      <pane xSplit="2" ySplit="7" topLeftCell="C8" activePane="bottomRight" state="frozen"/>
      <selection activeCell="L25" sqref="L25"/>
      <selection pane="topRight" activeCell="L25" sqref="L25"/>
      <selection pane="bottomLeft" activeCell="L25" sqref="L25"/>
      <selection pane="bottomRight"/>
    </sheetView>
  </sheetViews>
  <sheetFormatPr defaultColWidth="8.77734375" defaultRowHeight="13.2" outlineLevelCol="1"/>
  <cols>
    <col min="1" max="1" width="4.44140625" customWidth="1"/>
    <col min="2" max="2" width="20" customWidth="1"/>
    <col min="3" max="5" width="8.77734375" hidden="1" customWidth="1" outlineLevel="1"/>
    <col min="6" max="10" width="10.33203125" hidden="1" customWidth="1" outlineLevel="1"/>
    <col min="11" max="11" width="10.33203125" customWidth="1" collapsed="1"/>
    <col min="12" max="22" width="10.33203125" customWidth="1"/>
    <col min="24" max="24" width="10.21875" bestFit="1" customWidth="1"/>
    <col min="25" max="25" width="10.21875" customWidth="1"/>
  </cols>
  <sheetData>
    <row r="1" spans="1:28">
      <c r="A1" s="67"/>
      <c r="B1" s="67"/>
      <c r="F1" s="94"/>
      <c r="J1" s="5"/>
    </row>
    <row r="2" spans="1:28" ht="17.399999999999999">
      <c r="A2" s="67"/>
      <c r="B2" s="68" t="str">
        <f>'Charts for slides'!B2</f>
        <v>Quarterly Market Update for the quarter ended December 31, 2021</v>
      </c>
      <c r="C2" s="104"/>
      <c r="D2" s="104"/>
    </row>
    <row r="3" spans="1:28">
      <c r="A3" s="67"/>
      <c r="B3" s="1508" t="str">
        <f>Introduction!$B$2</f>
        <v>Sample template as of March 2022</v>
      </c>
      <c r="C3" s="104"/>
      <c r="D3" s="104"/>
    </row>
    <row r="4" spans="1:28" ht="13.8">
      <c r="A4" s="67"/>
      <c r="B4" s="71" t="s">
        <v>320</v>
      </c>
      <c r="C4" s="104"/>
      <c r="D4" s="104"/>
    </row>
    <row r="5" spans="1:28">
      <c r="A5" s="67"/>
      <c r="C5" s="45"/>
      <c r="D5" s="45"/>
      <c r="E5" s="45"/>
      <c r="F5" s="45"/>
      <c r="G5" s="45"/>
      <c r="H5" s="45"/>
      <c r="I5" s="45"/>
      <c r="J5" s="735"/>
      <c r="K5" s="45"/>
      <c r="L5" s="45"/>
      <c r="M5" s="45"/>
      <c r="N5" s="45"/>
      <c r="O5" s="45"/>
      <c r="P5" s="45"/>
      <c r="Q5" s="45"/>
      <c r="R5" s="45"/>
      <c r="S5" s="45"/>
      <c r="T5" s="45"/>
      <c r="U5" s="45"/>
      <c r="V5" s="45"/>
    </row>
    <row r="6" spans="1:28" ht="13.8">
      <c r="B6" s="399" t="s">
        <v>75</v>
      </c>
      <c r="C6" s="45" t="s">
        <v>308</v>
      </c>
      <c r="D6" s="45"/>
      <c r="E6" s="45"/>
      <c r="F6" s="45"/>
      <c r="G6" s="45" t="s">
        <v>308</v>
      </c>
      <c r="H6" s="45"/>
      <c r="I6" s="45"/>
      <c r="J6" s="45"/>
      <c r="K6" s="45" t="s">
        <v>308</v>
      </c>
      <c r="L6" s="45"/>
      <c r="M6" s="45"/>
      <c r="N6" s="45"/>
      <c r="R6" s="14"/>
      <c r="S6" s="45"/>
      <c r="T6" s="45"/>
      <c r="U6" s="45"/>
      <c r="V6" s="45"/>
      <c r="W6" s="25" t="s">
        <v>334</v>
      </c>
      <c r="X6" s="25" t="s">
        <v>459</v>
      </c>
      <c r="Y6" s="25" t="s">
        <v>334</v>
      </c>
    </row>
    <row r="7" spans="1:28" ht="13.8">
      <c r="B7" s="393" t="s">
        <v>60</v>
      </c>
      <c r="C7" s="410" t="s">
        <v>126</v>
      </c>
      <c r="D7" s="83" t="s">
        <v>127</v>
      </c>
      <c r="E7" s="83" t="s">
        <v>128</v>
      </c>
      <c r="F7" s="413" t="s">
        <v>129</v>
      </c>
      <c r="G7" s="410" t="s">
        <v>130</v>
      </c>
      <c r="H7" s="83" t="s">
        <v>131</v>
      </c>
      <c r="I7" s="83" t="s">
        <v>132</v>
      </c>
      <c r="J7" s="413" t="s">
        <v>133</v>
      </c>
      <c r="K7" s="410" t="s">
        <v>134</v>
      </c>
      <c r="L7" s="83" t="s">
        <v>135</v>
      </c>
      <c r="M7" s="83" t="s">
        <v>136</v>
      </c>
      <c r="N7" s="413" t="s">
        <v>137</v>
      </c>
      <c r="O7" s="410" t="s">
        <v>138</v>
      </c>
      <c r="P7" s="83" t="s">
        <v>139</v>
      </c>
      <c r="Q7" s="83" t="s">
        <v>140</v>
      </c>
      <c r="R7" s="413" t="s">
        <v>141</v>
      </c>
      <c r="S7" s="1245" t="s">
        <v>142</v>
      </c>
      <c r="T7" s="410" t="s">
        <v>143</v>
      </c>
      <c r="U7" s="83" t="s">
        <v>144</v>
      </c>
      <c r="V7" s="413" t="s">
        <v>145</v>
      </c>
      <c r="W7" s="25" t="s">
        <v>307</v>
      </c>
      <c r="X7" s="402" t="s">
        <v>460</v>
      </c>
      <c r="Y7" s="402" t="s">
        <v>350</v>
      </c>
      <c r="Z7" s="1248" t="s">
        <v>348</v>
      </c>
    </row>
    <row r="8" spans="1:28" ht="13.8">
      <c r="B8" s="392" t="s">
        <v>625</v>
      </c>
      <c r="C8" s="390"/>
      <c r="D8" s="79"/>
      <c r="E8" s="337"/>
      <c r="F8" s="415"/>
      <c r="G8" s="390"/>
      <c r="H8" s="79"/>
      <c r="I8" s="337"/>
      <c r="J8" s="415"/>
      <c r="K8" s="390"/>
      <c r="L8" s="79"/>
      <c r="M8" s="337"/>
      <c r="N8" s="415"/>
      <c r="O8" s="390"/>
      <c r="P8" s="79"/>
      <c r="Q8" s="337"/>
      <c r="R8" s="415"/>
      <c r="S8" s="1247"/>
      <c r="T8" s="79"/>
      <c r="U8" s="337"/>
      <c r="V8" s="415"/>
      <c r="W8" s="723" t="e">
        <f>U8/Q8-1</f>
        <v>#DIV/0!</v>
      </c>
      <c r="X8" s="724">
        <f>U8-Q8</f>
        <v>0</v>
      </c>
      <c r="Y8" s="1509" t="e">
        <f>U8/T8-1</f>
        <v>#DIV/0!</v>
      </c>
    </row>
    <row r="9" spans="1:28" ht="13.8">
      <c r="B9" s="392" t="s">
        <v>322</v>
      </c>
      <c r="C9" s="390">
        <v>778.77</v>
      </c>
      <c r="D9" s="79">
        <v>869.59</v>
      </c>
      <c r="E9" s="337">
        <v>1000</v>
      </c>
      <c r="F9" s="415">
        <v>984</v>
      </c>
      <c r="G9" s="390">
        <v>1147.982</v>
      </c>
      <c r="H9" s="79">
        <v>1433.902</v>
      </c>
      <c r="I9" s="337">
        <v>1541</v>
      </c>
      <c r="J9" s="415">
        <v>1519</v>
      </c>
      <c r="K9" s="390"/>
      <c r="L9" s="79"/>
      <c r="M9" s="337"/>
      <c r="N9" s="415"/>
      <c r="O9" s="390"/>
      <c r="P9" s="79"/>
      <c r="Q9" s="337"/>
      <c r="R9" s="415"/>
      <c r="S9" s="1247"/>
      <c r="T9" s="79"/>
      <c r="U9" s="337"/>
      <c r="V9" s="415"/>
      <c r="W9" s="723" t="e">
        <f t="shared" ref="W9" si="0">U9/Q9-1</f>
        <v>#DIV/0!</v>
      </c>
      <c r="X9" s="724">
        <f t="shared" ref="X9" si="1">U9-Q9</f>
        <v>0</v>
      </c>
      <c r="Y9" s="1509" t="e">
        <f t="shared" ref="Y9" si="2">U9/T9-1</f>
        <v>#DIV/0!</v>
      </c>
    </row>
    <row r="10" spans="1:28" ht="16.95" customHeight="1">
      <c r="B10" s="392" t="s">
        <v>323</v>
      </c>
      <c r="C10" s="390">
        <v>41.11</v>
      </c>
      <c r="D10" s="79">
        <v>41.5</v>
      </c>
      <c r="E10" s="337">
        <v>41.78</v>
      </c>
      <c r="F10" s="558" t="s">
        <v>377</v>
      </c>
      <c r="G10" s="558" t="s">
        <v>377</v>
      </c>
      <c r="H10" s="521"/>
      <c r="I10" s="522"/>
      <c r="J10" s="520"/>
      <c r="K10" s="552" t="s">
        <v>631</v>
      </c>
      <c r="L10" s="521"/>
      <c r="M10" s="522"/>
      <c r="N10" s="520"/>
      <c r="O10" s="552"/>
      <c r="P10" s="521"/>
      <c r="Q10" s="522"/>
      <c r="R10" s="520"/>
      <c r="S10" s="1246"/>
      <c r="T10" s="521"/>
      <c r="U10" s="522"/>
      <c r="V10" s="520"/>
      <c r="W10" s="1022"/>
      <c r="X10" s="1023"/>
      <c r="Y10" s="1023"/>
      <c r="Z10" s="551" t="s">
        <v>378</v>
      </c>
    </row>
    <row r="11" spans="1:28" ht="16.95" customHeight="1">
      <c r="B11" s="392" t="s">
        <v>324</v>
      </c>
      <c r="C11" s="390">
        <v>3540</v>
      </c>
      <c r="D11" s="79">
        <v>3790</v>
      </c>
      <c r="E11" s="337">
        <v>4136</v>
      </c>
      <c r="F11" s="415">
        <v>4149</v>
      </c>
      <c r="G11" s="390">
        <v>4190</v>
      </c>
      <c r="H11" s="79">
        <v>4463</v>
      </c>
      <c r="I11" s="337">
        <v>4844</v>
      </c>
      <c r="J11" s="415">
        <v>5327</v>
      </c>
      <c r="K11" s="390"/>
      <c r="L11" s="79"/>
      <c r="M11" s="337"/>
      <c r="N11" s="415"/>
      <c r="O11" s="390"/>
      <c r="P11" s="79"/>
      <c r="Q11" s="337"/>
      <c r="R11" s="415"/>
      <c r="S11" s="1247"/>
      <c r="T11" s="79"/>
      <c r="U11" s="337"/>
      <c r="V11" s="415"/>
      <c r="W11" s="723" t="e">
        <f t="shared" ref="W11" si="3">U11/Q11-1</f>
        <v>#DIV/0!</v>
      </c>
      <c r="X11" s="724">
        <f t="shared" ref="X11" si="4">U11-Q11</f>
        <v>0</v>
      </c>
      <c r="Y11" s="1509" t="e">
        <f t="shared" ref="Y11" si="5">U11/T11-1</f>
        <v>#DIV/0!</v>
      </c>
      <c r="Z11" s="51" t="s">
        <v>347</v>
      </c>
      <c r="AB11" s="519"/>
    </row>
    <row r="12" spans="1:28" ht="16.95" customHeight="1">
      <c r="B12" s="392" t="s">
        <v>339</v>
      </c>
      <c r="C12" s="390">
        <v>224.61</v>
      </c>
      <c r="D12" s="79">
        <v>226.57999999999998</v>
      </c>
      <c r="E12" s="337">
        <v>168.12</v>
      </c>
      <c r="F12" s="415">
        <v>226</v>
      </c>
      <c r="G12" s="390">
        <v>229.58</v>
      </c>
      <c r="H12" s="79">
        <v>242.09</v>
      </c>
      <c r="I12" s="337">
        <v>251.98699999999999</v>
      </c>
      <c r="J12" s="415">
        <v>260</v>
      </c>
      <c r="K12" s="611" t="s">
        <v>630</v>
      </c>
      <c r="L12" s="1108"/>
      <c r="M12" s="572"/>
      <c r="N12" s="1126"/>
      <c r="O12" s="611"/>
      <c r="P12" s="1108"/>
      <c r="Q12" s="572"/>
      <c r="R12" s="1126"/>
      <c r="S12" s="1601"/>
      <c r="T12" s="1108"/>
      <c r="U12" s="572"/>
      <c r="V12" s="1126"/>
      <c r="W12" s="1602"/>
      <c r="X12" s="1603"/>
      <c r="Y12" s="1603"/>
      <c r="Z12" s="551"/>
    </row>
    <row r="13" spans="1:28" ht="16.95" customHeight="1">
      <c r="B13" s="392" t="s">
        <v>341</v>
      </c>
      <c r="C13" s="390">
        <v>11.36</v>
      </c>
      <c r="D13" s="79">
        <v>15.37</v>
      </c>
      <c r="E13" s="337">
        <v>15.8</v>
      </c>
      <c r="F13" s="415">
        <v>16</v>
      </c>
      <c r="G13" s="555" t="s">
        <v>448</v>
      </c>
      <c r="H13" s="521"/>
      <c r="I13" s="556"/>
      <c r="J13" s="557"/>
      <c r="K13" s="1604" t="s">
        <v>629</v>
      </c>
      <c r="L13" s="1108"/>
      <c r="M13" s="1605"/>
      <c r="N13" s="1606"/>
      <c r="O13" s="1604"/>
      <c r="P13" s="1108"/>
      <c r="Q13" s="572"/>
      <c r="R13" s="1126"/>
      <c r="S13" s="1607"/>
      <c r="T13" s="1108"/>
      <c r="U13" s="572"/>
      <c r="V13" s="1126"/>
      <c r="W13" s="1602"/>
      <c r="X13" s="1603"/>
      <c r="Y13" s="1603"/>
      <c r="Z13" s="51"/>
      <c r="AB13" s="5"/>
    </row>
    <row r="14" spans="1:28" ht="16.95" customHeight="1">
      <c r="B14" s="392" t="s">
        <v>383</v>
      </c>
      <c r="C14" s="390">
        <v>189.4</v>
      </c>
      <c r="D14" s="391">
        <v>192.1</v>
      </c>
      <c r="E14" s="400">
        <v>184.1</v>
      </c>
      <c r="F14" s="415">
        <v>176.4</v>
      </c>
      <c r="G14" s="390">
        <v>175.7</v>
      </c>
      <c r="H14" s="79">
        <v>196.7</v>
      </c>
      <c r="I14" s="337">
        <v>204</v>
      </c>
      <c r="J14" s="415">
        <v>217</v>
      </c>
      <c r="K14" s="390"/>
      <c r="L14" s="79"/>
      <c r="M14" s="337"/>
      <c r="N14" s="415"/>
      <c r="O14" s="611" t="s">
        <v>515</v>
      </c>
      <c r="P14" s="1108"/>
      <c r="Q14" s="572"/>
      <c r="R14" s="1126"/>
      <c r="S14" s="1601"/>
      <c r="T14" s="1108"/>
      <c r="U14" s="572"/>
      <c r="V14" s="1126"/>
      <c r="W14" s="1602"/>
      <c r="X14" s="1603"/>
      <c r="Y14" s="1603"/>
      <c r="Z14" s="51"/>
    </row>
    <row r="15" spans="1:28" ht="16.95" customHeight="1">
      <c r="B15" s="392" t="s">
        <v>325</v>
      </c>
      <c r="C15" s="390">
        <v>66.53</v>
      </c>
      <c r="D15" s="79">
        <v>60.52</v>
      </c>
      <c r="E15" s="337">
        <v>70.75</v>
      </c>
      <c r="F15" s="415">
        <v>81</v>
      </c>
      <c r="G15" s="390">
        <v>93.58</v>
      </c>
      <c r="H15" s="79">
        <v>84.42</v>
      </c>
      <c r="I15" s="337">
        <v>84.510999999999996</v>
      </c>
      <c r="J15" s="415">
        <v>86</v>
      </c>
      <c r="K15" s="390"/>
      <c r="L15" s="79"/>
      <c r="M15" s="337"/>
      <c r="N15" s="415"/>
      <c r="O15" s="390"/>
      <c r="P15" s="391"/>
      <c r="Q15" s="337"/>
      <c r="R15" s="415"/>
      <c r="S15" s="1247"/>
      <c r="T15" s="391"/>
      <c r="U15" s="337"/>
      <c r="V15" s="415"/>
      <c r="W15" s="723" t="e">
        <f t="shared" ref="W15" si="6">U15/Q15-1</f>
        <v>#DIV/0!</v>
      </c>
      <c r="X15" s="724">
        <f t="shared" ref="X15:X16" si="7">U15-Q15</f>
        <v>0</v>
      </c>
      <c r="Y15" s="1509" t="e">
        <f t="shared" ref="Y15" si="8">U15/T15-1</f>
        <v>#DIV/0!</v>
      </c>
      <c r="Z15" s="551" t="s">
        <v>340</v>
      </c>
    </row>
    <row r="16" spans="1:28" ht="16.95" customHeight="1">
      <c r="B16" s="392" t="s">
        <v>338</v>
      </c>
      <c r="C16" s="390">
        <v>3999</v>
      </c>
      <c r="D16" s="79">
        <v>4027</v>
      </c>
      <c r="E16" s="337">
        <v>4542</v>
      </c>
      <c r="F16" s="415">
        <v>4543</v>
      </c>
      <c r="G16" s="390">
        <v>4544</v>
      </c>
      <c r="H16" s="79">
        <v>4372</v>
      </c>
      <c r="I16" s="337">
        <v>4900</v>
      </c>
      <c r="J16" s="415">
        <v>5582</v>
      </c>
      <c r="K16" s="390"/>
      <c r="L16" s="79"/>
      <c r="M16" s="337"/>
      <c r="N16" s="415"/>
      <c r="O16" s="390"/>
      <c r="P16" s="79"/>
      <c r="Q16" s="337"/>
      <c r="R16" s="415"/>
      <c r="S16" s="1247"/>
      <c r="T16" s="79"/>
      <c r="U16" s="337"/>
      <c r="V16" s="415"/>
      <c r="W16" s="723" t="e">
        <f>U16/Q16-1</f>
        <v>#DIV/0!</v>
      </c>
      <c r="X16" s="724">
        <f t="shared" si="7"/>
        <v>0</v>
      </c>
      <c r="Y16" s="1509" t="e">
        <f>U16/T16-1</f>
        <v>#DIV/0!</v>
      </c>
      <c r="Z16" s="551"/>
      <c r="AB16" s="519"/>
    </row>
    <row r="17" spans="1:28" ht="16.95" customHeight="1">
      <c r="A17" s="14"/>
      <c r="B17" s="392" t="s">
        <v>343</v>
      </c>
      <c r="C17" s="390">
        <v>361.13</v>
      </c>
      <c r="D17" s="391">
        <v>373.77</v>
      </c>
      <c r="E17" s="400">
        <v>373.9</v>
      </c>
      <c r="F17" s="415">
        <v>376</v>
      </c>
      <c r="G17" s="555" t="s">
        <v>449</v>
      </c>
      <c r="H17" s="574"/>
      <c r="I17" s="553"/>
      <c r="J17" s="554"/>
      <c r="K17" s="1604" t="s">
        <v>632</v>
      </c>
      <c r="L17" s="1608"/>
      <c r="M17" s="1609"/>
      <c r="N17" s="1610"/>
      <c r="O17" s="1604"/>
      <c r="P17" s="1608"/>
      <c r="Q17" s="1609">
        <v>0</v>
      </c>
      <c r="R17" s="1610"/>
      <c r="S17" s="1607"/>
      <c r="T17" s="1608"/>
      <c r="U17" s="1609"/>
      <c r="V17" s="1610"/>
      <c r="W17" s="1602"/>
      <c r="X17" s="1603"/>
      <c r="Y17" s="1603"/>
      <c r="Z17" s="551"/>
    </row>
    <row r="18" spans="1:28" ht="16.95" customHeight="1">
      <c r="B18" s="392" t="s">
        <v>344</v>
      </c>
      <c r="C18" s="390">
        <v>133.58000000000001</v>
      </c>
      <c r="D18" s="391">
        <v>142.29</v>
      </c>
      <c r="E18" s="400">
        <v>152.69999999999999</v>
      </c>
      <c r="F18" s="415">
        <v>152</v>
      </c>
      <c r="G18" s="390">
        <v>186.08</v>
      </c>
      <c r="H18" s="391">
        <v>194.56</v>
      </c>
      <c r="I18" s="337">
        <v>166.381</v>
      </c>
      <c r="J18" s="415">
        <v>131</v>
      </c>
      <c r="K18" s="390"/>
      <c r="L18" s="391"/>
      <c r="M18" s="337"/>
      <c r="N18" s="415"/>
      <c r="O18" s="390"/>
      <c r="P18" s="391"/>
      <c r="Q18" s="337"/>
      <c r="R18" s="415"/>
      <c r="S18" s="1247"/>
      <c r="T18" s="391"/>
      <c r="U18" s="337"/>
      <c r="V18" s="415"/>
      <c r="W18" s="723" t="e">
        <f t="shared" ref="W18:W20" si="9">U18/Q18-1</f>
        <v>#DIV/0!</v>
      </c>
      <c r="X18" s="724">
        <f t="shared" ref="X18:X20" si="10">U18-Q18</f>
        <v>0</v>
      </c>
      <c r="Y18" s="1509" t="e">
        <f t="shared" ref="Y18:Y20" si="11">U18/T18-1</f>
        <v>#DIV/0!</v>
      </c>
      <c r="Z18" s="551"/>
    </row>
    <row r="19" spans="1:28" ht="16.95" customHeight="1">
      <c r="B19" s="392" t="s">
        <v>327</v>
      </c>
      <c r="C19" s="390">
        <v>519</v>
      </c>
      <c r="D19" s="79">
        <v>601</v>
      </c>
      <c r="E19" s="337">
        <v>626</v>
      </c>
      <c r="F19" s="415">
        <v>571</v>
      </c>
      <c r="G19" s="390">
        <v>579.17999999999995</v>
      </c>
      <c r="H19" s="79">
        <v>604.75</v>
      </c>
      <c r="I19" s="337">
        <v>616.30200000000002</v>
      </c>
      <c r="J19" s="415">
        <v>615</v>
      </c>
      <c r="K19" s="390"/>
      <c r="L19" s="79"/>
      <c r="M19" s="337"/>
      <c r="N19" s="415"/>
      <c r="O19" s="390"/>
      <c r="P19" s="391"/>
      <c r="Q19" s="337"/>
      <c r="R19" s="415"/>
      <c r="S19" s="1247"/>
      <c r="T19" s="391"/>
      <c r="U19" s="337"/>
      <c r="V19" s="415"/>
      <c r="W19" s="723" t="e">
        <f t="shared" si="9"/>
        <v>#DIV/0!</v>
      </c>
      <c r="X19" s="724">
        <f t="shared" si="10"/>
        <v>0</v>
      </c>
      <c r="Y19" s="1509" t="e">
        <f t="shared" si="11"/>
        <v>#DIV/0!</v>
      </c>
      <c r="Z19" s="51"/>
    </row>
    <row r="20" spans="1:28" ht="16.95" customHeight="1">
      <c r="B20" s="392" t="s">
        <v>329</v>
      </c>
      <c r="C20" s="390">
        <v>555.25</v>
      </c>
      <c r="D20" s="79">
        <v>566.13</v>
      </c>
      <c r="E20" s="337">
        <v>561.4</v>
      </c>
      <c r="F20" s="415">
        <v>551</v>
      </c>
      <c r="G20" s="390">
        <v>581.22</v>
      </c>
      <c r="H20" s="79">
        <v>602</v>
      </c>
      <c r="I20" s="337">
        <v>575.67600000000004</v>
      </c>
      <c r="J20" s="415">
        <v>623</v>
      </c>
      <c r="K20" s="390"/>
      <c r="L20" s="79"/>
      <c r="M20" s="337"/>
      <c r="N20" s="415"/>
      <c r="O20" s="390"/>
      <c r="P20" s="391"/>
      <c r="Q20" s="391"/>
      <c r="R20" s="415"/>
      <c r="S20" s="1247"/>
      <c r="T20" s="391"/>
      <c r="U20" s="391"/>
      <c r="V20" s="391" t="s">
        <v>627</v>
      </c>
      <c r="W20" s="723" t="e">
        <f t="shared" si="9"/>
        <v>#DIV/0!</v>
      </c>
      <c r="X20" s="724">
        <f t="shared" si="10"/>
        <v>0</v>
      </c>
      <c r="Y20" s="1509" t="e">
        <f t="shared" si="11"/>
        <v>#DIV/0!</v>
      </c>
      <c r="Z20" s="51" t="s">
        <v>628</v>
      </c>
    </row>
    <row r="21" spans="1:28" ht="16.95" customHeight="1">
      <c r="B21" s="392" t="s">
        <v>328</v>
      </c>
      <c r="C21" s="390">
        <v>444.3</v>
      </c>
      <c r="D21" s="79">
        <v>431.4</v>
      </c>
      <c r="E21" s="337">
        <v>450.1</v>
      </c>
      <c r="F21" s="415">
        <v>436</v>
      </c>
      <c r="G21" s="390">
        <v>442.9</v>
      </c>
      <c r="H21" s="79">
        <v>458.1</v>
      </c>
      <c r="I21" s="337">
        <v>475.3</v>
      </c>
      <c r="J21" s="415">
        <v>469</v>
      </c>
      <c r="K21" s="611" t="s">
        <v>633</v>
      </c>
      <c r="L21" s="1108"/>
      <c r="M21" s="572"/>
      <c r="N21" s="1126"/>
      <c r="O21" s="611"/>
      <c r="P21" s="1108"/>
      <c r="Q21" s="572"/>
      <c r="R21" s="1126"/>
      <c r="S21" s="1601"/>
      <c r="T21" s="1108"/>
      <c r="U21" s="1108"/>
      <c r="V21" s="1126"/>
      <c r="W21" s="1602"/>
      <c r="X21" s="1603"/>
      <c r="Y21" s="1603"/>
      <c r="Z21" s="551"/>
    </row>
    <row r="22" spans="1:28" ht="16.95" customHeight="1">
      <c r="B22" s="392" t="s">
        <v>626</v>
      </c>
      <c r="C22" s="390"/>
      <c r="D22" s="391"/>
      <c r="E22" s="400"/>
      <c r="F22" s="415"/>
      <c r="G22" s="390"/>
      <c r="H22" s="391"/>
      <c r="I22" s="400"/>
      <c r="J22" s="415"/>
      <c r="K22" s="390"/>
      <c r="L22" s="79"/>
      <c r="M22" s="337"/>
      <c r="N22" s="415"/>
      <c r="O22" s="390"/>
      <c r="P22" s="391"/>
      <c r="Q22" s="391"/>
      <c r="R22" s="415"/>
      <c r="S22" s="1247"/>
      <c r="T22" s="391"/>
      <c r="U22" s="391"/>
      <c r="V22" s="415"/>
      <c r="W22" s="723" t="e">
        <f t="shared" ref="W22:W26" si="12">U22/Q22-1</f>
        <v>#DIV/0!</v>
      </c>
      <c r="X22" s="724">
        <f t="shared" ref="X22:X26" si="13">U22-Q22</f>
        <v>0</v>
      </c>
      <c r="Y22" s="1509" t="e">
        <f t="shared" ref="Y22:Y26" si="14">U22/T22-1</f>
        <v>#DIV/0!</v>
      </c>
      <c r="Z22" s="551"/>
    </row>
    <row r="23" spans="1:28" ht="16.95" customHeight="1">
      <c r="B23" s="392" t="s">
        <v>345</v>
      </c>
      <c r="C23" s="390">
        <v>5550</v>
      </c>
      <c r="D23" s="391">
        <v>6040</v>
      </c>
      <c r="E23" s="400">
        <v>6180</v>
      </c>
      <c r="F23" s="415">
        <v>6000</v>
      </c>
      <c r="G23" s="390">
        <v>5020</v>
      </c>
      <c r="H23" s="391">
        <v>5371</v>
      </c>
      <c r="I23" s="400">
        <v>5905</v>
      </c>
      <c r="J23" s="415">
        <v>6068</v>
      </c>
      <c r="K23" s="390"/>
      <c r="L23" s="391"/>
      <c r="M23" s="400"/>
      <c r="N23" s="415"/>
      <c r="O23" s="390"/>
      <c r="P23" s="391"/>
      <c r="Q23" s="391"/>
      <c r="R23" s="415"/>
      <c r="S23" s="1247"/>
      <c r="T23" s="391"/>
      <c r="U23" s="391"/>
      <c r="V23" s="415"/>
      <c r="W23" s="723" t="e">
        <f t="shared" si="12"/>
        <v>#DIV/0!</v>
      </c>
      <c r="X23" s="724">
        <f t="shared" si="13"/>
        <v>0</v>
      </c>
      <c r="Y23" s="1509" t="e">
        <f t="shared" si="14"/>
        <v>#DIV/0!</v>
      </c>
      <c r="Z23" s="551"/>
      <c r="AB23" s="519"/>
    </row>
    <row r="24" spans="1:28" ht="16.95" customHeight="1">
      <c r="A24" s="14"/>
      <c r="B24" s="392" t="s">
        <v>330</v>
      </c>
      <c r="C24" s="390">
        <v>131.06</v>
      </c>
      <c r="D24" s="79">
        <v>135.91</v>
      </c>
      <c r="E24" s="337">
        <v>137.19</v>
      </c>
      <c r="F24" s="415">
        <v>140</v>
      </c>
      <c r="G24" s="390">
        <v>143.80199999999999</v>
      </c>
      <c r="H24" s="79">
        <v>153.13</v>
      </c>
      <c r="I24" s="337">
        <v>150.304</v>
      </c>
      <c r="J24" s="415">
        <v>140.6</v>
      </c>
      <c r="K24" s="390"/>
      <c r="L24" s="79"/>
      <c r="M24" s="337"/>
      <c r="N24" s="415"/>
      <c r="O24" s="390"/>
      <c r="P24" s="391"/>
      <c r="Q24" s="391"/>
      <c r="R24" s="415"/>
      <c r="S24" s="1247"/>
      <c r="T24" s="391"/>
      <c r="U24" s="391"/>
      <c r="V24" s="415"/>
      <c r="W24" s="723" t="e">
        <f t="shared" si="12"/>
        <v>#DIV/0!</v>
      </c>
      <c r="X24" s="724">
        <f t="shared" si="13"/>
        <v>0</v>
      </c>
      <c r="Y24" s="1509" t="e">
        <f t="shared" si="14"/>
        <v>#DIV/0!</v>
      </c>
    </row>
    <row r="25" spans="1:28" ht="16.95" customHeight="1">
      <c r="B25" s="392" t="s">
        <v>333</v>
      </c>
      <c r="C25" s="390">
        <v>571.07000000000005</v>
      </c>
      <c r="D25" s="391">
        <v>574.98</v>
      </c>
      <c r="E25" s="400">
        <v>579.21</v>
      </c>
      <c r="F25" s="415">
        <v>586</v>
      </c>
      <c r="G25" s="390">
        <v>609.45000000000005</v>
      </c>
      <c r="H25" s="391">
        <v>615.45000000000005</v>
      </c>
      <c r="I25" s="400">
        <v>619.50300000000004</v>
      </c>
      <c r="J25" s="415">
        <v>631</v>
      </c>
      <c r="K25" s="390"/>
      <c r="L25" s="391"/>
      <c r="M25" s="400"/>
      <c r="N25" s="415"/>
      <c r="O25" s="390"/>
      <c r="P25" s="391"/>
      <c r="Q25" s="400"/>
      <c r="R25" s="415"/>
      <c r="S25" s="1247"/>
      <c r="T25" s="391"/>
      <c r="U25" s="400"/>
      <c r="V25" s="415" t="s">
        <v>663</v>
      </c>
      <c r="W25" s="723" t="e">
        <f t="shared" si="12"/>
        <v>#DIV/0!</v>
      </c>
      <c r="X25" s="724">
        <f t="shared" si="13"/>
        <v>0</v>
      </c>
      <c r="Y25" s="1509" t="e">
        <f t="shared" si="14"/>
        <v>#DIV/0!</v>
      </c>
    </row>
    <row r="26" spans="1:28" ht="16.95" customHeight="1">
      <c r="B26" s="342" t="s">
        <v>19</v>
      </c>
      <c r="C26" s="419">
        <f t="shared" ref="C26:J26" si="15">SUM(C10:C25)</f>
        <v>16337.399999999998</v>
      </c>
      <c r="D26" s="395">
        <f t="shared" si="15"/>
        <v>17218.55</v>
      </c>
      <c r="E26" s="401">
        <f t="shared" si="15"/>
        <v>18219.05</v>
      </c>
      <c r="F26" s="420">
        <f t="shared" si="15"/>
        <v>18003.400000000001</v>
      </c>
      <c r="G26" s="419">
        <f t="shared" si="15"/>
        <v>16795.491999999998</v>
      </c>
      <c r="H26" s="395">
        <f t="shared" si="15"/>
        <v>17357.2</v>
      </c>
      <c r="I26" s="395">
        <f t="shared" si="15"/>
        <v>18792.964</v>
      </c>
      <c r="J26" s="415">
        <f t="shared" si="15"/>
        <v>20149.599999999999</v>
      </c>
      <c r="K26" s="419">
        <f>SUM(K8:K25)</f>
        <v>0</v>
      </c>
      <c r="L26" s="395">
        <f t="shared" ref="L26:V26" si="16">SUM(L8:L25)</f>
        <v>0</v>
      </c>
      <c r="M26" s="395">
        <f t="shared" si="16"/>
        <v>0</v>
      </c>
      <c r="N26" s="415">
        <f t="shared" si="16"/>
        <v>0</v>
      </c>
      <c r="O26" s="419">
        <f t="shared" si="16"/>
        <v>0</v>
      </c>
      <c r="P26" s="419">
        <f t="shared" si="16"/>
        <v>0</v>
      </c>
      <c r="Q26" s="419">
        <f t="shared" si="16"/>
        <v>0</v>
      </c>
      <c r="R26" s="415">
        <f t="shared" si="16"/>
        <v>0</v>
      </c>
      <c r="S26" s="1247">
        <f t="shared" si="16"/>
        <v>0</v>
      </c>
      <c r="T26" s="419">
        <f t="shared" si="16"/>
        <v>0</v>
      </c>
      <c r="U26" s="419">
        <f t="shared" si="16"/>
        <v>0</v>
      </c>
      <c r="V26" s="415">
        <f t="shared" si="16"/>
        <v>0</v>
      </c>
      <c r="W26" s="723" t="e">
        <f t="shared" si="12"/>
        <v>#DIV/0!</v>
      </c>
      <c r="X26" s="724">
        <f t="shared" si="13"/>
        <v>0</v>
      </c>
      <c r="Y26" s="1509" t="e">
        <f t="shared" si="14"/>
        <v>#DIV/0!</v>
      </c>
    </row>
    <row r="27" spans="1:28" ht="16.95" customHeight="1">
      <c r="A27" s="14"/>
      <c r="B27" s="70" t="s">
        <v>94</v>
      </c>
      <c r="C27" s="49"/>
      <c r="D27" s="49"/>
      <c r="E27" s="49">
        <v>7.3983508882879523E-2</v>
      </c>
      <c r="F27" s="49">
        <v>6.0775471056318198E-2</v>
      </c>
      <c r="G27" s="49">
        <f t="shared" ref="G27:R27" si="17">G26/C26-1</f>
        <v>2.8039467724362499E-2</v>
      </c>
      <c r="H27" s="49">
        <f t="shared" si="17"/>
        <v>8.0523621326999972E-3</v>
      </c>
      <c r="I27" s="49">
        <f t="shared" si="17"/>
        <v>3.1500764309884577E-2</v>
      </c>
      <c r="J27" s="49">
        <f t="shared" si="17"/>
        <v>0.11921081573480552</v>
      </c>
      <c r="K27" s="49">
        <f t="shared" si="17"/>
        <v>-1</v>
      </c>
      <c r="L27" s="49">
        <f t="shared" si="17"/>
        <v>-1</v>
      </c>
      <c r="M27" s="49">
        <f>M26/I26-1</f>
        <v>-1</v>
      </c>
      <c r="N27" s="49">
        <f t="shared" si="17"/>
        <v>-1</v>
      </c>
      <c r="O27" s="49" t="e">
        <f t="shared" si="17"/>
        <v>#DIV/0!</v>
      </c>
      <c r="P27" s="49" t="e">
        <f t="shared" si="17"/>
        <v>#DIV/0!</v>
      </c>
      <c r="Q27" s="49" t="e">
        <f t="shared" si="17"/>
        <v>#DIV/0!</v>
      </c>
      <c r="R27" s="49" t="e">
        <f t="shared" si="17"/>
        <v>#DIV/0!</v>
      </c>
      <c r="S27" s="49" t="e">
        <f t="shared" ref="S27" si="18">S26/O26-1</f>
        <v>#DIV/0!</v>
      </c>
      <c r="T27" s="49" t="e">
        <f t="shared" ref="T27" si="19">T26/P26-1</f>
        <v>#DIV/0!</v>
      </c>
      <c r="U27" s="49" t="e">
        <f t="shared" ref="U27" si="20">U26/Q26-1</f>
        <v>#DIV/0!</v>
      </c>
      <c r="V27" s="49" t="e">
        <f t="shared" ref="V27" si="21">V26/R26-1</f>
        <v>#DIV/0!</v>
      </c>
    </row>
    <row r="28" spans="1:28" ht="13.8">
      <c r="A28" s="14"/>
      <c r="B28" s="51"/>
      <c r="C28" s="51"/>
      <c r="D28" s="51"/>
      <c r="E28" s="51"/>
      <c r="F28" s="100">
        <f>SUM(C26:F26)</f>
        <v>69778.399999999994</v>
      </c>
      <c r="G28" s="51"/>
      <c r="H28" s="51"/>
      <c r="I28" s="51"/>
      <c r="J28" s="100">
        <f>SUM(G26:J26)</f>
        <v>73095.255999999994</v>
      </c>
      <c r="K28" s="51"/>
      <c r="L28" s="51"/>
      <c r="M28" s="50" t="e">
        <f>M26/L26-1</f>
        <v>#DIV/0!</v>
      </c>
      <c r="N28" s="100">
        <f>SUM(K26:N26)</f>
        <v>0</v>
      </c>
      <c r="O28" s="50"/>
      <c r="P28" s="50"/>
      <c r="Q28" s="50"/>
      <c r="R28" s="100">
        <f>SUM(O26:R26)</f>
        <v>0</v>
      </c>
      <c r="S28" s="100"/>
      <c r="T28" s="100"/>
      <c r="U28" s="50"/>
      <c r="V28" s="100"/>
    </row>
    <row r="29" spans="1:28" ht="13.8">
      <c r="B29" s="100"/>
      <c r="C29" s="100"/>
      <c r="D29" s="100"/>
      <c r="E29" s="100"/>
      <c r="F29" s="100"/>
      <c r="G29" s="100"/>
      <c r="H29" s="100"/>
      <c r="I29" s="100"/>
      <c r="J29" s="100"/>
      <c r="K29" s="100"/>
      <c r="L29" s="100"/>
      <c r="M29" s="100"/>
      <c r="N29" s="100"/>
      <c r="O29" s="100"/>
      <c r="P29" s="100"/>
      <c r="Q29" s="100"/>
      <c r="R29" s="100"/>
      <c r="S29" s="100"/>
      <c r="T29" s="100"/>
      <c r="U29" s="100"/>
      <c r="V29" s="100"/>
      <c r="W29" s="5"/>
    </row>
    <row r="30" spans="1:28" ht="13.8">
      <c r="B30" s="100"/>
      <c r="C30" s="100"/>
      <c r="D30" s="100"/>
      <c r="E30" s="100"/>
      <c r="F30" s="100"/>
      <c r="G30" s="100"/>
      <c r="H30" s="100"/>
      <c r="I30" s="100"/>
      <c r="J30" s="100"/>
      <c r="K30" s="100"/>
      <c r="L30" s="100"/>
      <c r="M30" s="100"/>
      <c r="N30" s="100"/>
      <c r="O30" s="100"/>
      <c r="P30" s="100"/>
      <c r="Q30" s="100"/>
      <c r="R30" s="100"/>
      <c r="S30" s="100"/>
      <c r="T30" s="100"/>
      <c r="U30" s="100"/>
      <c r="V30" s="100"/>
      <c r="W30" s="5"/>
    </row>
    <row r="31" spans="1:28" ht="13.8">
      <c r="B31" s="51"/>
      <c r="C31" s="51"/>
      <c r="D31" s="51"/>
      <c r="E31" s="51"/>
      <c r="F31" s="51"/>
      <c r="G31" s="51"/>
      <c r="H31" s="51"/>
      <c r="I31" s="51"/>
      <c r="J31" s="51"/>
      <c r="K31" s="51"/>
      <c r="L31" s="51"/>
      <c r="M31" s="51"/>
      <c r="N31" s="51"/>
      <c r="O31" s="51"/>
      <c r="P31" s="51"/>
      <c r="Q31" s="51"/>
      <c r="R31" s="51"/>
      <c r="S31" s="51"/>
      <c r="T31" s="51"/>
      <c r="U31" s="51"/>
      <c r="V31" s="51"/>
    </row>
    <row r="32" spans="1:28" ht="13.8">
      <c r="B32" s="51"/>
      <c r="C32" s="51"/>
      <c r="D32" s="51"/>
      <c r="E32" s="51"/>
      <c r="F32" s="51"/>
      <c r="G32" s="51"/>
      <c r="H32" s="51"/>
      <c r="I32" s="51"/>
      <c r="J32" s="51"/>
      <c r="K32" s="51"/>
      <c r="L32" s="51"/>
      <c r="M32" s="51"/>
      <c r="N32" s="51"/>
      <c r="O32" s="51"/>
      <c r="P32" s="51"/>
      <c r="Q32" s="51"/>
      <c r="R32" s="51"/>
      <c r="S32" s="51"/>
      <c r="T32" s="51"/>
      <c r="U32" s="51"/>
      <c r="V32" s="51"/>
    </row>
    <row r="33" spans="2:37" ht="13.8">
      <c r="B33" s="396" t="s">
        <v>174</v>
      </c>
      <c r="C33" s="51"/>
      <c r="D33" s="51"/>
      <c r="E33" s="51"/>
      <c r="F33" s="51"/>
      <c r="G33" s="51"/>
      <c r="H33" s="51"/>
      <c r="I33" s="51"/>
      <c r="J33" s="51"/>
      <c r="K33" s="51"/>
      <c r="L33" s="51"/>
      <c r="M33" s="51"/>
      <c r="N33" s="51"/>
      <c r="O33" s="51"/>
      <c r="P33" s="51"/>
      <c r="Q33" s="51"/>
      <c r="R33" s="51"/>
      <c r="S33" s="51"/>
      <c r="T33" s="51"/>
      <c r="U33" s="51"/>
      <c r="V33" s="51"/>
    </row>
    <row r="34" spans="2:37" ht="13.8">
      <c r="B34" s="51"/>
      <c r="C34" s="51"/>
      <c r="D34" s="51"/>
      <c r="E34" s="51"/>
      <c r="F34" s="51"/>
      <c r="G34" s="51"/>
      <c r="H34" s="51"/>
      <c r="I34" s="51"/>
      <c r="J34" s="51"/>
      <c r="K34" s="51"/>
      <c r="L34" s="51"/>
      <c r="M34" s="51"/>
      <c r="N34" s="51"/>
      <c r="O34" s="51"/>
      <c r="P34" s="51"/>
      <c r="Q34" s="51"/>
      <c r="R34" s="51"/>
      <c r="S34" s="51"/>
      <c r="T34" s="51"/>
      <c r="U34" s="51"/>
      <c r="V34" s="51"/>
    </row>
    <row r="35" spans="2:37" ht="13.8">
      <c r="B35" s="397" t="s">
        <v>336</v>
      </c>
      <c r="C35" s="82" t="s">
        <v>126</v>
      </c>
      <c r="D35" s="421" t="s">
        <v>127</v>
      </c>
      <c r="E35" s="421" t="s">
        <v>128</v>
      </c>
      <c r="F35" s="413" t="s">
        <v>129</v>
      </c>
      <c r="G35" s="82" t="str">
        <f t="shared" ref="G35:V35" si="22">G7</f>
        <v>1Q 17</v>
      </c>
      <c r="H35" s="421" t="str">
        <f t="shared" si="22"/>
        <v>2Q 17</v>
      </c>
      <c r="I35" s="421" t="str">
        <f t="shared" si="22"/>
        <v>3Q 17</v>
      </c>
      <c r="J35" s="413" t="str">
        <f t="shared" si="22"/>
        <v>4Q 17</v>
      </c>
      <c r="K35" s="410" t="str">
        <f t="shared" si="22"/>
        <v>1Q 18</v>
      </c>
      <c r="L35" s="83" t="str">
        <f t="shared" si="22"/>
        <v>2Q 18</v>
      </c>
      <c r="M35" s="83" t="str">
        <f t="shared" si="22"/>
        <v>3Q 18</v>
      </c>
      <c r="N35" s="413" t="str">
        <f t="shared" si="22"/>
        <v>4Q 18</v>
      </c>
      <c r="O35" s="410" t="str">
        <f t="shared" si="22"/>
        <v>1Q 19</v>
      </c>
      <c r="P35" s="83" t="str">
        <f t="shared" si="22"/>
        <v>2Q 19</v>
      </c>
      <c r="Q35" s="83" t="str">
        <f t="shared" si="22"/>
        <v>3Q 19</v>
      </c>
      <c r="R35" s="413" t="str">
        <f t="shared" si="22"/>
        <v>4Q 19</v>
      </c>
      <c r="S35" s="410" t="str">
        <f t="shared" si="22"/>
        <v>1Q 20</v>
      </c>
      <c r="T35" s="83" t="str">
        <f t="shared" si="22"/>
        <v>2Q 20</v>
      </c>
      <c r="U35" s="83" t="str">
        <f t="shared" si="22"/>
        <v>3Q 20</v>
      </c>
      <c r="V35" s="413" t="str">
        <f t="shared" si="22"/>
        <v>4Q 20</v>
      </c>
    </row>
    <row r="36" spans="2:37" ht="13.8">
      <c r="B36" s="51" t="str">
        <f t="shared" ref="B36:B54" si="23">B8</f>
        <v>AMD</v>
      </c>
      <c r="C36" s="422">
        <f t="shared" ref="C36:R37" si="24">C8/C$26</f>
        <v>0</v>
      </c>
      <c r="D36" s="422">
        <f t="shared" si="24"/>
        <v>0</v>
      </c>
      <c r="E36" s="422">
        <f t="shared" si="24"/>
        <v>0</v>
      </c>
      <c r="F36" s="524">
        <f t="shared" si="24"/>
        <v>0</v>
      </c>
      <c r="G36" s="422">
        <f t="shared" si="24"/>
        <v>0</v>
      </c>
      <c r="H36" s="422">
        <f t="shared" si="24"/>
        <v>0</v>
      </c>
      <c r="I36" s="422">
        <f t="shared" si="24"/>
        <v>0</v>
      </c>
      <c r="J36" s="524">
        <f t="shared" si="24"/>
        <v>0</v>
      </c>
      <c r="K36" s="422" t="e">
        <f t="shared" si="24"/>
        <v>#DIV/0!</v>
      </c>
      <c r="L36" s="422" t="e">
        <f t="shared" si="24"/>
        <v>#DIV/0!</v>
      </c>
      <c r="M36" s="422" t="e">
        <f t="shared" si="24"/>
        <v>#DIV/0!</v>
      </c>
      <c r="N36" s="524" t="e">
        <f t="shared" si="24"/>
        <v>#DIV/0!</v>
      </c>
      <c r="O36" s="422" t="e">
        <f t="shared" si="24"/>
        <v>#DIV/0!</v>
      </c>
      <c r="P36" s="422" t="e">
        <f t="shared" si="24"/>
        <v>#DIV/0!</v>
      </c>
      <c r="Q36" s="422" t="e">
        <f t="shared" si="24"/>
        <v>#DIV/0!</v>
      </c>
      <c r="R36" s="524" t="e">
        <f t="shared" si="24"/>
        <v>#DIV/0!</v>
      </c>
      <c r="S36" s="422" t="e">
        <f t="shared" ref="S36:T37" si="25">S8/S$26</f>
        <v>#DIV/0!</v>
      </c>
      <c r="T36" s="422" t="e">
        <f t="shared" si="25"/>
        <v>#DIV/0!</v>
      </c>
      <c r="U36" s="422" t="e">
        <f t="shared" ref="U36" si="26">U8/U$26</f>
        <v>#DIV/0!</v>
      </c>
      <c r="V36" s="422"/>
    </row>
    <row r="37" spans="2:37" ht="13.8">
      <c r="B37" s="51" t="str">
        <f t="shared" si="23"/>
        <v>Analog Devices</v>
      </c>
      <c r="C37" s="422">
        <f t="shared" si="24"/>
        <v>4.7667927577215476E-2</v>
      </c>
      <c r="D37" s="422">
        <f t="shared" si="24"/>
        <v>5.0503091142982424E-2</v>
      </c>
      <c r="E37" s="422">
        <f t="shared" si="24"/>
        <v>5.4887603909095153E-2</v>
      </c>
      <c r="F37" s="524">
        <f t="shared" si="24"/>
        <v>5.465634269082506E-2</v>
      </c>
      <c r="G37" s="422">
        <f t="shared" si="24"/>
        <v>6.8350602649806275E-2</v>
      </c>
      <c r="H37" s="422">
        <f t="shared" si="24"/>
        <v>8.2611365888507357E-2</v>
      </c>
      <c r="I37" s="422">
        <f t="shared" si="24"/>
        <v>8.1998773583560322E-2</v>
      </c>
      <c r="J37" s="524">
        <f t="shared" si="24"/>
        <v>7.538611188311431E-2</v>
      </c>
      <c r="K37" s="422" t="e">
        <f t="shared" si="24"/>
        <v>#DIV/0!</v>
      </c>
      <c r="L37" s="422" t="e">
        <f t="shared" si="24"/>
        <v>#DIV/0!</v>
      </c>
      <c r="M37" s="422" t="e">
        <f t="shared" si="24"/>
        <v>#DIV/0!</v>
      </c>
      <c r="N37" s="524" t="e">
        <f t="shared" si="24"/>
        <v>#DIV/0!</v>
      </c>
      <c r="O37" s="422" t="e">
        <f t="shared" si="24"/>
        <v>#DIV/0!</v>
      </c>
      <c r="P37" s="422" t="e">
        <f t="shared" si="24"/>
        <v>#DIV/0!</v>
      </c>
      <c r="Q37" s="422" t="e">
        <f t="shared" si="24"/>
        <v>#DIV/0!</v>
      </c>
      <c r="R37" s="524" t="e">
        <f t="shared" si="24"/>
        <v>#DIV/0!</v>
      </c>
      <c r="S37" s="422" t="e">
        <f t="shared" si="25"/>
        <v>#DIV/0!</v>
      </c>
      <c r="T37" s="422" t="e">
        <f t="shared" si="25"/>
        <v>#DIV/0!</v>
      </c>
      <c r="U37" s="422" t="e">
        <f t="shared" ref="U37" si="27">U9/U$26</f>
        <v>#DIV/0!</v>
      </c>
      <c r="V37" s="422"/>
    </row>
    <row r="38" spans="2:37" ht="13.8">
      <c r="B38" s="51" t="str">
        <f t="shared" si="23"/>
        <v>AMCC</v>
      </c>
      <c r="C38" s="422">
        <f t="shared" ref="C38:E54" si="28">C10/C$26</f>
        <v>2.5163122651095035E-3</v>
      </c>
      <c r="D38" s="422">
        <f t="shared" si="28"/>
        <v>2.4101913343458074E-3</v>
      </c>
      <c r="E38" s="422">
        <f t="shared" si="28"/>
        <v>2.2932040913219956E-3</v>
      </c>
      <c r="F38" s="549" t="str">
        <f>F10</f>
        <v>acquired by MACOM</v>
      </c>
      <c r="G38" s="525"/>
      <c r="H38" s="525"/>
      <c r="I38" s="525"/>
      <c r="J38" s="526"/>
      <c r="K38" s="525"/>
      <c r="L38" s="525"/>
      <c r="M38" s="525"/>
      <c r="N38" s="526"/>
      <c r="O38" s="525"/>
      <c r="P38" s="525"/>
      <c r="Q38" s="525"/>
      <c r="R38" s="526"/>
      <c r="S38" s="525"/>
      <c r="T38" s="525"/>
      <c r="U38" s="525"/>
      <c r="V38" s="1123"/>
    </row>
    <row r="39" spans="2:37" ht="13.8">
      <c r="B39" s="51" t="str">
        <f t="shared" si="23"/>
        <v>Broadcom</v>
      </c>
      <c r="C39" s="422">
        <f t="shared" si="28"/>
        <v>0.21668074479415333</v>
      </c>
      <c r="D39" s="422">
        <f t="shared" si="28"/>
        <v>0.22011144957037615</v>
      </c>
      <c r="E39" s="422">
        <f t="shared" si="28"/>
        <v>0.22701512976801755</v>
      </c>
      <c r="F39" s="524">
        <f t="shared" ref="F39:R39" si="29">F11/F$26</f>
        <v>0.23045646933357031</v>
      </c>
      <c r="G39" s="422">
        <f t="shared" si="29"/>
        <v>0.24947170347852868</v>
      </c>
      <c r="H39" s="422">
        <f t="shared" si="29"/>
        <v>0.25712672550872262</v>
      </c>
      <c r="I39" s="422">
        <f t="shared" si="29"/>
        <v>0.25775604103748617</v>
      </c>
      <c r="J39" s="524">
        <f t="shared" si="29"/>
        <v>0.26437249374677413</v>
      </c>
      <c r="K39" s="422" t="e">
        <f t="shared" si="29"/>
        <v>#DIV/0!</v>
      </c>
      <c r="L39" s="422" t="e">
        <f t="shared" si="29"/>
        <v>#DIV/0!</v>
      </c>
      <c r="M39" s="422" t="e">
        <f t="shared" si="29"/>
        <v>#DIV/0!</v>
      </c>
      <c r="N39" s="524" t="e">
        <f t="shared" si="29"/>
        <v>#DIV/0!</v>
      </c>
      <c r="O39" s="422" t="e">
        <f t="shared" si="29"/>
        <v>#DIV/0!</v>
      </c>
      <c r="P39" s="422" t="e">
        <f t="shared" si="29"/>
        <v>#DIV/0!</v>
      </c>
      <c r="Q39" s="422" t="e">
        <f t="shared" si="29"/>
        <v>#DIV/0!</v>
      </c>
      <c r="R39" s="524" t="e">
        <f t="shared" si="29"/>
        <v>#DIV/0!</v>
      </c>
      <c r="S39" s="422" t="e">
        <f t="shared" ref="S39:T39" si="30">S11/S$26</f>
        <v>#DIV/0!</v>
      </c>
      <c r="T39" s="422" t="e">
        <f t="shared" si="30"/>
        <v>#DIV/0!</v>
      </c>
      <c r="U39" s="422" t="e">
        <f t="shared" ref="U39" si="31">U11/U$26</f>
        <v>#DIV/0!</v>
      </c>
      <c r="V39" s="27"/>
      <c r="Z39" s="2" t="str">
        <f>F35</f>
        <v>4Q 16</v>
      </c>
      <c r="AA39" s="25" t="s">
        <v>5</v>
      </c>
      <c r="AB39" s="25" t="s">
        <v>390</v>
      </c>
      <c r="AC39" s="25" t="s">
        <v>393</v>
      </c>
      <c r="AD39" s="25" t="s">
        <v>416</v>
      </c>
      <c r="AE39" s="25" t="s">
        <v>456</v>
      </c>
      <c r="AF39" s="25" t="s">
        <v>457</v>
      </c>
      <c r="AG39" s="25" t="s">
        <v>458</v>
      </c>
      <c r="AH39" s="25" t="s">
        <v>494</v>
      </c>
      <c r="AI39" s="25" t="s">
        <v>504</v>
      </c>
      <c r="AJ39" s="25" t="s">
        <v>512</v>
      </c>
      <c r="AK39" s="25" t="s">
        <v>533</v>
      </c>
    </row>
    <row r="40" spans="2:37" ht="13.8">
      <c r="B40" s="51" t="str">
        <f t="shared" si="23"/>
        <v>Cavium</v>
      </c>
      <c r="C40" s="422">
        <f t="shared" si="28"/>
        <v>1.3748209629439203E-2</v>
      </c>
      <c r="D40" s="422">
        <f t="shared" si="28"/>
        <v>1.315906391653188E-2</v>
      </c>
      <c r="E40" s="422">
        <f t="shared" si="28"/>
        <v>9.2277039691970771E-3</v>
      </c>
      <c r="F40" s="524">
        <f>F12/F$26</f>
        <v>1.2553184398502504E-2</v>
      </c>
      <c r="G40" s="422">
        <f>G12/G$26</f>
        <v>1.3669144077470314E-2</v>
      </c>
      <c r="H40" s="422">
        <f>H12/H$26</f>
        <v>1.3947526098679511E-2</v>
      </c>
      <c r="I40" s="422">
        <f>I12/I$26</f>
        <v>1.3408582062946537E-2</v>
      </c>
      <c r="J40" s="524">
        <f>J12/J$26</f>
        <v>1.2903481954976774E-2</v>
      </c>
      <c r="K40" s="525"/>
      <c r="L40" s="525"/>
      <c r="M40" s="525"/>
      <c r="N40" s="593"/>
      <c r="O40" s="525"/>
      <c r="P40" s="525"/>
      <c r="Q40" s="525"/>
      <c r="R40" s="593"/>
      <c r="S40" s="525"/>
      <c r="T40" s="525"/>
      <c r="U40" s="525"/>
      <c r="V40" s="1123"/>
      <c r="X40" s="2" t="str">
        <f>B39</f>
        <v>Broadcom</v>
      </c>
      <c r="Y40" s="2"/>
      <c r="Z40" s="90">
        <f t="shared" ref="Z40:AK40" si="32">F39</f>
        <v>0.23045646933357031</v>
      </c>
      <c r="AA40" s="90">
        <f t="shared" si="32"/>
        <v>0.24947170347852868</v>
      </c>
      <c r="AB40" s="90">
        <f t="shared" si="32"/>
        <v>0.25712672550872262</v>
      </c>
      <c r="AC40" s="90">
        <f t="shared" si="32"/>
        <v>0.25775604103748617</v>
      </c>
      <c r="AD40" s="90">
        <f t="shared" si="32"/>
        <v>0.26437249374677413</v>
      </c>
      <c r="AE40" s="90" t="e">
        <f t="shared" si="32"/>
        <v>#DIV/0!</v>
      </c>
      <c r="AF40" s="90" t="e">
        <f t="shared" si="32"/>
        <v>#DIV/0!</v>
      </c>
      <c r="AG40" s="90" t="e">
        <f t="shared" si="32"/>
        <v>#DIV/0!</v>
      </c>
      <c r="AH40" s="90" t="e">
        <f t="shared" si="32"/>
        <v>#DIV/0!</v>
      </c>
      <c r="AI40" s="90" t="e">
        <f t="shared" si="32"/>
        <v>#DIV/0!</v>
      </c>
      <c r="AJ40" s="90" t="e">
        <f t="shared" si="32"/>
        <v>#DIV/0!</v>
      </c>
      <c r="AK40" s="90" t="e">
        <f t="shared" si="32"/>
        <v>#DIV/0!</v>
      </c>
    </row>
    <row r="41" spans="2:37" ht="13.8">
      <c r="B41" s="51" t="str">
        <f t="shared" si="23"/>
        <v>GigaPeak</v>
      </c>
      <c r="C41" s="422">
        <f t="shared" si="28"/>
        <v>6.9533707933942986E-4</v>
      </c>
      <c r="D41" s="422">
        <f t="shared" si="28"/>
        <v>8.9264194720229057E-4</v>
      </c>
      <c r="E41" s="422">
        <f t="shared" si="28"/>
        <v>8.6722414176370341E-4</v>
      </c>
      <c r="F41" s="524">
        <f t="shared" ref="F41:F54" si="33">F13/F$26</f>
        <v>8.8872101936300911E-4</v>
      </c>
      <c r="G41" s="559" t="str">
        <f>G13</f>
        <v>acquired by IDT</v>
      </c>
      <c r="H41" s="525"/>
      <c r="I41" s="525"/>
      <c r="J41" s="593"/>
      <c r="K41" s="559"/>
      <c r="L41" s="525"/>
      <c r="M41" s="525"/>
      <c r="N41" s="593"/>
      <c r="O41" s="559"/>
      <c r="P41" s="525"/>
      <c r="Q41" s="525"/>
      <c r="R41" s="593"/>
      <c r="S41" s="559"/>
      <c r="T41" s="525"/>
      <c r="U41" s="525"/>
      <c r="V41" s="1123"/>
      <c r="X41" s="2" t="str">
        <f>B44</f>
        <v>Intel - Data Center</v>
      </c>
      <c r="Y41" s="2"/>
      <c r="Z41" s="90">
        <f t="shared" ref="Z41:AK41" si="34">F44</f>
        <v>0.25234122443538443</v>
      </c>
      <c r="AA41" s="90">
        <f t="shared" si="34"/>
        <v>0.27054878773423252</v>
      </c>
      <c r="AB41" s="90">
        <f t="shared" si="34"/>
        <v>0.25188394441499778</v>
      </c>
      <c r="AC41" s="90">
        <f t="shared" si="34"/>
        <v>0.26073587966219697</v>
      </c>
      <c r="AD41" s="90">
        <f t="shared" si="34"/>
        <v>0.27702783181800139</v>
      </c>
      <c r="AE41" s="90" t="e">
        <f t="shared" si="34"/>
        <v>#DIV/0!</v>
      </c>
      <c r="AF41" s="90" t="e">
        <f t="shared" si="34"/>
        <v>#DIV/0!</v>
      </c>
      <c r="AG41" s="90" t="e">
        <f t="shared" si="34"/>
        <v>#DIV/0!</v>
      </c>
      <c r="AH41" s="90" t="e">
        <f t="shared" si="34"/>
        <v>#DIV/0!</v>
      </c>
      <c r="AI41" s="90" t="e">
        <f t="shared" si="34"/>
        <v>#DIV/0!</v>
      </c>
      <c r="AJ41" s="90" t="e">
        <f t="shared" si="34"/>
        <v>#DIV/0!</v>
      </c>
      <c r="AK41" s="90" t="e">
        <f t="shared" si="34"/>
        <v>#DIV/0!</v>
      </c>
    </row>
    <row r="42" spans="2:37" ht="13.8">
      <c r="B42" s="51" t="str">
        <f t="shared" si="23"/>
        <v>IDT</v>
      </c>
      <c r="C42" s="422">
        <f t="shared" si="28"/>
        <v>1.1593031938986621E-2</v>
      </c>
      <c r="D42" s="422">
        <f t="shared" si="28"/>
        <v>1.1156572417538061E-2</v>
      </c>
      <c r="E42" s="422">
        <f t="shared" si="28"/>
        <v>1.0104807879664418E-2</v>
      </c>
      <c r="F42" s="524">
        <f t="shared" si="33"/>
        <v>9.7981492384771763E-3</v>
      </c>
      <c r="G42" s="422">
        <f t="shared" ref="G42:N44" si="35">G14/G$26</f>
        <v>1.0461140406008946E-2</v>
      </c>
      <c r="H42" s="422">
        <f t="shared" si="35"/>
        <v>1.1332472979512823E-2</v>
      </c>
      <c r="I42" s="422">
        <f t="shared" si="35"/>
        <v>1.0855126418589425E-2</v>
      </c>
      <c r="J42" s="524">
        <f t="shared" si="35"/>
        <v>1.0769444554730615E-2</v>
      </c>
      <c r="K42" s="422" t="e">
        <f t="shared" si="35"/>
        <v>#DIV/0!</v>
      </c>
      <c r="L42" s="422" t="e">
        <f t="shared" si="35"/>
        <v>#DIV/0!</v>
      </c>
      <c r="M42" s="422" t="e">
        <f t="shared" si="35"/>
        <v>#DIV/0!</v>
      </c>
      <c r="N42" s="524" t="e">
        <f t="shared" si="35"/>
        <v>#DIV/0!</v>
      </c>
      <c r="O42" s="1026" t="s">
        <v>505</v>
      </c>
      <c r="P42" s="1026" t="s">
        <v>505</v>
      </c>
      <c r="Q42" s="1026" t="s">
        <v>505</v>
      </c>
      <c r="R42" s="1026"/>
      <c r="S42" s="1026" t="s">
        <v>505</v>
      </c>
      <c r="T42" s="1026" t="s">
        <v>505</v>
      </c>
      <c r="U42" s="1026" t="s">
        <v>505</v>
      </c>
      <c r="V42" s="1124"/>
      <c r="X42" s="2" t="str">
        <f>B51</f>
        <v>Qualcomm</v>
      </c>
      <c r="Y42" s="2"/>
      <c r="Z42" s="90">
        <f t="shared" ref="Z42:AK42" si="36">F51</f>
        <v>0.33327038226112843</v>
      </c>
      <c r="AA42" s="90">
        <f t="shared" si="36"/>
        <v>0.2988897258859699</v>
      </c>
      <c r="AB42" s="90">
        <f t="shared" si="36"/>
        <v>0.30943931048786671</v>
      </c>
      <c r="AC42" s="90">
        <f t="shared" si="36"/>
        <v>0.31421334069495371</v>
      </c>
      <c r="AD42" s="90">
        <f t="shared" si="36"/>
        <v>0.30114741731845796</v>
      </c>
      <c r="AE42" s="90" t="e">
        <f t="shared" si="36"/>
        <v>#DIV/0!</v>
      </c>
      <c r="AF42" s="90" t="e">
        <f t="shared" si="36"/>
        <v>#DIV/0!</v>
      </c>
      <c r="AG42" s="90" t="e">
        <f t="shared" si="36"/>
        <v>#DIV/0!</v>
      </c>
      <c r="AH42" s="90" t="e">
        <f t="shared" si="36"/>
        <v>#DIV/0!</v>
      </c>
      <c r="AI42" s="90" t="e">
        <f t="shared" si="36"/>
        <v>#DIV/0!</v>
      </c>
      <c r="AJ42" s="90" t="e">
        <f t="shared" si="36"/>
        <v>#DIV/0!</v>
      </c>
      <c r="AK42" s="90" t="e">
        <f t="shared" si="36"/>
        <v>#DIV/0!</v>
      </c>
    </row>
    <row r="43" spans="2:37" ht="13.8">
      <c r="B43" s="51" t="str">
        <f t="shared" si="23"/>
        <v>Inphi</v>
      </c>
      <c r="C43" s="422">
        <f t="shared" si="28"/>
        <v>4.0722513986313621E-3</v>
      </c>
      <c r="D43" s="422">
        <f t="shared" si="28"/>
        <v>3.5148139651712835E-3</v>
      </c>
      <c r="E43" s="422">
        <f t="shared" si="28"/>
        <v>3.8832979765684819E-3</v>
      </c>
      <c r="F43" s="524">
        <f t="shared" si="33"/>
        <v>4.4991501605252341E-3</v>
      </c>
      <c r="G43" s="422">
        <f t="shared" si="35"/>
        <v>5.571733176973917E-3</v>
      </c>
      <c r="H43" s="422">
        <f t="shared" si="35"/>
        <v>4.8636876915631551E-3</v>
      </c>
      <c r="I43" s="422">
        <f t="shared" si="35"/>
        <v>4.4969489645167197E-3</v>
      </c>
      <c r="J43" s="524">
        <f t="shared" si="35"/>
        <v>4.2680748004923176E-3</v>
      </c>
      <c r="K43" s="422" t="e">
        <f t="shared" si="35"/>
        <v>#DIV/0!</v>
      </c>
      <c r="L43" s="422" t="e">
        <f t="shared" si="35"/>
        <v>#DIV/0!</v>
      </c>
      <c r="M43" s="422" t="e">
        <f t="shared" si="35"/>
        <v>#DIV/0!</v>
      </c>
      <c r="N43" s="524" t="e">
        <f t="shared" si="35"/>
        <v>#DIV/0!</v>
      </c>
      <c r="O43" s="422" t="e">
        <f t="shared" ref="O43:R44" si="37">O15/O$26</f>
        <v>#DIV/0!</v>
      </c>
      <c r="P43" s="422" t="e">
        <f t="shared" si="37"/>
        <v>#DIV/0!</v>
      </c>
      <c r="Q43" s="422" t="e">
        <f t="shared" si="37"/>
        <v>#DIV/0!</v>
      </c>
      <c r="R43" s="524" t="e">
        <f t="shared" si="37"/>
        <v>#DIV/0!</v>
      </c>
      <c r="S43" s="422" t="e">
        <f t="shared" ref="S43:T43" si="38">S15/S$26</f>
        <v>#DIV/0!</v>
      </c>
      <c r="T43" s="422" t="e">
        <f t="shared" si="38"/>
        <v>#DIV/0!</v>
      </c>
      <c r="U43" s="422" t="e">
        <f t="shared" ref="U43" si="39">U15/U$26</f>
        <v>#DIV/0!</v>
      </c>
      <c r="V43" s="27"/>
      <c r="X43" s="2"/>
      <c r="Y43" s="2"/>
      <c r="Z43" s="90"/>
      <c r="AA43" s="90"/>
      <c r="AB43" s="90"/>
      <c r="AC43" s="90"/>
      <c r="AD43" s="90"/>
      <c r="AE43" s="90"/>
      <c r="AF43" s="90"/>
      <c r="AG43" s="90"/>
      <c r="AH43" s="90"/>
      <c r="AI43" s="90"/>
      <c r="AJ43" s="90"/>
      <c r="AK43" s="90"/>
    </row>
    <row r="44" spans="2:37" ht="13.8">
      <c r="B44" s="51" t="str">
        <f t="shared" si="23"/>
        <v>Intel - Data Center</v>
      </c>
      <c r="C44" s="422">
        <f t="shared" si="28"/>
        <v>0.24477579051746304</v>
      </c>
      <c r="D44" s="422">
        <f t="shared" si="28"/>
        <v>0.23387567478097751</v>
      </c>
      <c r="E44" s="422">
        <f t="shared" si="28"/>
        <v>0.24929949695511019</v>
      </c>
      <c r="F44" s="524">
        <f t="shared" si="33"/>
        <v>0.25234122443538443</v>
      </c>
      <c r="G44" s="422">
        <f t="shared" si="35"/>
        <v>0.27054878773423252</v>
      </c>
      <c r="H44" s="422">
        <f t="shared" si="35"/>
        <v>0.25188394441499778</v>
      </c>
      <c r="I44" s="422">
        <f t="shared" si="35"/>
        <v>0.26073587966219697</v>
      </c>
      <c r="J44" s="524">
        <f t="shared" si="35"/>
        <v>0.27702783181800139</v>
      </c>
      <c r="K44" s="422" t="e">
        <f t="shared" si="35"/>
        <v>#DIV/0!</v>
      </c>
      <c r="L44" s="422" t="e">
        <f t="shared" si="35"/>
        <v>#DIV/0!</v>
      </c>
      <c r="M44" s="422" t="e">
        <f t="shared" si="35"/>
        <v>#DIV/0!</v>
      </c>
      <c r="N44" s="524" t="e">
        <f t="shared" si="35"/>
        <v>#DIV/0!</v>
      </c>
      <c r="O44" s="422" t="e">
        <f t="shared" si="37"/>
        <v>#DIV/0!</v>
      </c>
      <c r="P44" s="422" t="e">
        <f t="shared" si="37"/>
        <v>#DIV/0!</v>
      </c>
      <c r="Q44" s="422" t="e">
        <f t="shared" si="37"/>
        <v>#DIV/0!</v>
      </c>
      <c r="R44" s="524" t="e">
        <f t="shared" si="37"/>
        <v>#DIV/0!</v>
      </c>
      <c r="S44" s="422" t="e">
        <f t="shared" ref="S44:T44" si="40">S16/S$26</f>
        <v>#DIV/0!</v>
      </c>
      <c r="T44" s="422" t="e">
        <f t="shared" si="40"/>
        <v>#DIV/0!</v>
      </c>
      <c r="U44" s="422" t="e">
        <f t="shared" ref="U44" si="41">U16/U$26</f>
        <v>#DIV/0!</v>
      </c>
      <c r="V44" s="27"/>
      <c r="X44" s="527"/>
      <c r="Y44" s="527"/>
      <c r="Z44" s="90"/>
      <c r="AA44" s="90"/>
      <c r="AB44" s="90"/>
      <c r="AC44" s="90"/>
      <c r="AD44" s="90"/>
      <c r="AE44" s="90"/>
      <c r="AF44" s="90"/>
      <c r="AG44" s="90"/>
      <c r="AH44" s="90"/>
      <c r="AI44" s="90"/>
      <c r="AJ44" s="90"/>
      <c r="AK44" s="90"/>
    </row>
    <row r="45" spans="2:37" ht="13.8">
      <c r="B45" s="51" t="str">
        <f t="shared" si="23"/>
        <v>Linear</v>
      </c>
      <c r="C45" s="422">
        <f t="shared" si="28"/>
        <v>2.2104496431500732E-2</v>
      </c>
      <c r="D45" s="422">
        <f t="shared" si="28"/>
        <v>2.1707402772010418E-2</v>
      </c>
      <c r="E45" s="422">
        <f t="shared" si="28"/>
        <v>2.0522475101610677E-2</v>
      </c>
      <c r="F45" s="524">
        <f t="shared" si="33"/>
        <v>2.0884943955030714E-2</v>
      </c>
      <c r="G45" s="559" t="str">
        <f>G17</f>
        <v>acquired by Analog Devices</v>
      </c>
      <c r="H45" s="525"/>
      <c r="I45" s="525"/>
      <c r="J45" s="593"/>
      <c r="K45" s="559"/>
      <c r="L45" s="525"/>
      <c r="M45" s="525"/>
      <c r="N45" s="593"/>
      <c r="O45" s="559"/>
      <c r="P45" s="525"/>
      <c r="Q45" s="525"/>
      <c r="R45" s="593"/>
      <c r="S45" s="559"/>
      <c r="T45" s="525"/>
      <c r="U45" s="525"/>
      <c r="V45" s="1123"/>
    </row>
    <row r="46" spans="2:37" ht="13.8">
      <c r="B46" s="51" t="str">
        <f t="shared" si="23"/>
        <v>MACOM</v>
      </c>
      <c r="C46" s="422">
        <f t="shared" si="28"/>
        <v>8.1763316072324867E-3</v>
      </c>
      <c r="D46" s="422">
        <f t="shared" si="28"/>
        <v>8.2637620473268655E-3</v>
      </c>
      <c r="E46" s="422">
        <f t="shared" si="28"/>
        <v>8.3813371169188296E-3</v>
      </c>
      <c r="F46" s="524">
        <f t="shared" si="33"/>
        <v>8.4428496839485875E-3</v>
      </c>
      <c r="G46" s="422">
        <f t="shared" ref="G46:R46" si="42">G18/G$26</f>
        <v>1.1079163385032129E-2</v>
      </c>
      <c r="H46" s="422">
        <f t="shared" si="42"/>
        <v>1.1209181204341714E-2</v>
      </c>
      <c r="I46" s="422">
        <f t="shared" si="42"/>
        <v>8.8533666110359177E-3</v>
      </c>
      <c r="J46" s="524">
        <f t="shared" si="42"/>
        <v>6.5013697542382976E-3</v>
      </c>
      <c r="K46" s="422" t="e">
        <f t="shared" si="42"/>
        <v>#DIV/0!</v>
      </c>
      <c r="L46" s="422" t="e">
        <f t="shared" si="42"/>
        <v>#DIV/0!</v>
      </c>
      <c r="M46" s="422" t="e">
        <f t="shared" si="42"/>
        <v>#DIV/0!</v>
      </c>
      <c r="N46" s="524" t="e">
        <f t="shared" si="42"/>
        <v>#DIV/0!</v>
      </c>
      <c r="O46" s="422" t="e">
        <f t="shared" si="42"/>
        <v>#DIV/0!</v>
      </c>
      <c r="P46" s="422" t="e">
        <f t="shared" si="42"/>
        <v>#DIV/0!</v>
      </c>
      <c r="Q46" s="422" t="e">
        <f t="shared" si="42"/>
        <v>#DIV/0!</v>
      </c>
      <c r="R46" s="524" t="e">
        <f t="shared" si="42"/>
        <v>#DIV/0!</v>
      </c>
      <c r="S46" s="422" t="e">
        <f t="shared" ref="S46:T46" si="43">S18/S$26</f>
        <v>#DIV/0!</v>
      </c>
      <c r="T46" s="422" t="e">
        <f t="shared" si="43"/>
        <v>#DIV/0!</v>
      </c>
      <c r="U46" s="422" t="e">
        <f t="shared" ref="U46" si="44">U18/U$26</f>
        <v>#DIV/0!</v>
      </c>
      <c r="V46" s="27"/>
    </row>
    <row r="47" spans="2:37" ht="13.8">
      <c r="B47" s="51" t="str">
        <f t="shared" si="23"/>
        <v>Marvell</v>
      </c>
      <c r="C47" s="422">
        <f t="shared" si="28"/>
        <v>3.1767600719820786E-2</v>
      </c>
      <c r="D47" s="422">
        <f t="shared" si="28"/>
        <v>3.4904216673297114E-2</v>
      </c>
      <c r="E47" s="422">
        <f t="shared" si="28"/>
        <v>3.4359640047093569E-2</v>
      </c>
      <c r="F47" s="524">
        <f t="shared" si="33"/>
        <v>3.1716231378517389E-2</v>
      </c>
      <c r="G47" s="422">
        <f t="shared" ref="G47:R47" si="45">G19/G$26</f>
        <v>3.4484253274628694E-2</v>
      </c>
      <c r="H47" s="422">
        <f t="shared" si="45"/>
        <v>3.4841449081649115E-2</v>
      </c>
      <c r="I47" s="422">
        <f t="shared" si="45"/>
        <v>3.2794294715830882E-2</v>
      </c>
      <c r="J47" s="524">
        <f t="shared" si="45"/>
        <v>3.0521697701195064E-2</v>
      </c>
      <c r="K47" s="422" t="e">
        <f t="shared" si="45"/>
        <v>#DIV/0!</v>
      </c>
      <c r="L47" s="422" t="e">
        <f t="shared" si="45"/>
        <v>#DIV/0!</v>
      </c>
      <c r="M47" s="422" t="e">
        <f t="shared" si="45"/>
        <v>#DIV/0!</v>
      </c>
      <c r="N47" s="524" t="e">
        <f t="shared" si="45"/>
        <v>#DIV/0!</v>
      </c>
      <c r="O47" s="422" t="e">
        <f t="shared" si="45"/>
        <v>#DIV/0!</v>
      </c>
      <c r="P47" s="422" t="e">
        <f t="shared" si="45"/>
        <v>#DIV/0!</v>
      </c>
      <c r="Q47" s="422" t="e">
        <f t="shared" si="45"/>
        <v>#DIV/0!</v>
      </c>
      <c r="R47" s="524" t="e">
        <f t="shared" si="45"/>
        <v>#DIV/0!</v>
      </c>
      <c r="S47" s="422" t="e">
        <f t="shared" ref="S47:T47" si="46">S19/S$26</f>
        <v>#DIV/0!</v>
      </c>
      <c r="T47" s="422" t="e">
        <f t="shared" si="46"/>
        <v>#DIV/0!</v>
      </c>
      <c r="U47" s="422" t="e">
        <f t="shared" ref="U47" si="47">U19/U$26</f>
        <v>#DIV/0!</v>
      </c>
      <c r="V47" s="27"/>
    </row>
    <row r="48" spans="2:37" ht="13.8">
      <c r="B48" s="51" t="str">
        <f t="shared" si="23"/>
        <v>Maxim</v>
      </c>
      <c r="C48" s="422">
        <f t="shared" si="28"/>
        <v>3.398643603021289E-2</v>
      </c>
      <c r="D48" s="422">
        <f t="shared" si="28"/>
        <v>3.2879075183450408E-2</v>
      </c>
      <c r="E48" s="422">
        <f t="shared" si="28"/>
        <v>3.0813900834566019E-2</v>
      </c>
      <c r="F48" s="524">
        <f t="shared" si="33"/>
        <v>3.0605330104313627E-2</v>
      </c>
      <c r="G48" s="422">
        <f t="shared" ref="G48:R48" si="48">G20/G$26</f>
        <v>3.4605714438136141E-2</v>
      </c>
      <c r="H48" s="422">
        <f t="shared" si="48"/>
        <v>3.4683013389256327E-2</v>
      </c>
      <c r="I48" s="422">
        <f t="shared" si="48"/>
        <v>3.0632528216411208E-2</v>
      </c>
      <c r="J48" s="524">
        <f t="shared" si="48"/>
        <v>3.0918727915194347E-2</v>
      </c>
      <c r="K48" s="422" t="e">
        <f t="shared" si="48"/>
        <v>#DIV/0!</v>
      </c>
      <c r="L48" s="422" t="e">
        <f t="shared" si="48"/>
        <v>#DIV/0!</v>
      </c>
      <c r="M48" s="422" t="e">
        <f t="shared" si="48"/>
        <v>#DIV/0!</v>
      </c>
      <c r="N48" s="524" t="e">
        <f t="shared" si="48"/>
        <v>#DIV/0!</v>
      </c>
      <c r="O48" s="422" t="e">
        <f t="shared" si="48"/>
        <v>#DIV/0!</v>
      </c>
      <c r="P48" s="422" t="e">
        <f t="shared" si="48"/>
        <v>#DIV/0!</v>
      </c>
      <c r="Q48" s="422" t="e">
        <f t="shared" si="48"/>
        <v>#DIV/0!</v>
      </c>
      <c r="R48" s="524" t="e">
        <f t="shared" si="48"/>
        <v>#DIV/0!</v>
      </c>
      <c r="S48" s="422" t="e">
        <f t="shared" ref="S48:T48" si="49">S20/S$26</f>
        <v>#DIV/0!</v>
      </c>
      <c r="T48" s="422" t="e">
        <f t="shared" si="49"/>
        <v>#DIV/0!</v>
      </c>
      <c r="U48" s="422" t="e">
        <f t="shared" ref="U48" si="50">U20/U$26</f>
        <v>#DIV/0!</v>
      </c>
      <c r="V48" s="27"/>
    </row>
    <row r="49" spans="2:22" ht="13.8">
      <c r="B49" s="51" t="str">
        <f t="shared" si="23"/>
        <v>Microsemi</v>
      </c>
      <c r="C49" s="422">
        <f t="shared" si="28"/>
        <v>2.7195269749164499E-2</v>
      </c>
      <c r="D49" s="422">
        <f t="shared" si="28"/>
        <v>2.5054374497271839E-2</v>
      </c>
      <c r="E49" s="422">
        <f t="shared" si="28"/>
        <v>2.470491051948373E-2</v>
      </c>
      <c r="F49" s="524">
        <f t="shared" si="33"/>
        <v>2.4217647777641998E-2</v>
      </c>
      <c r="G49" s="422">
        <f t="shared" ref="G49:J54" si="51">G21/G$26</f>
        <v>2.637017123404304E-2</v>
      </c>
      <c r="H49" s="422">
        <f t="shared" si="51"/>
        <v>2.6392505703684926E-2</v>
      </c>
      <c r="I49" s="422">
        <f t="shared" si="51"/>
        <v>2.5291380327233107E-2</v>
      </c>
      <c r="J49" s="524">
        <f t="shared" si="51"/>
        <v>2.3275896295708105E-2</v>
      </c>
      <c r="K49" s="525"/>
      <c r="L49" s="525"/>
      <c r="M49" s="525"/>
      <c r="N49" s="593"/>
      <c r="O49" s="525"/>
      <c r="P49" s="525"/>
      <c r="Q49" s="525"/>
      <c r="R49" s="593"/>
      <c r="S49" s="525"/>
      <c r="T49" s="525"/>
      <c r="U49" s="525"/>
      <c r="V49" s="1123"/>
    </row>
    <row r="50" spans="2:22" ht="13.8">
      <c r="B50" s="51" t="str">
        <f t="shared" si="23"/>
        <v>Nvidia</v>
      </c>
      <c r="C50" s="422">
        <f t="shared" si="28"/>
        <v>0</v>
      </c>
      <c r="D50" s="422">
        <f t="shared" si="28"/>
        <v>0</v>
      </c>
      <c r="E50" s="422">
        <f t="shared" si="28"/>
        <v>0</v>
      </c>
      <c r="F50" s="524">
        <f t="shared" si="33"/>
        <v>0</v>
      </c>
      <c r="G50" s="422">
        <f t="shared" si="51"/>
        <v>0</v>
      </c>
      <c r="H50" s="422">
        <f t="shared" si="51"/>
        <v>0</v>
      </c>
      <c r="I50" s="422">
        <f t="shared" si="51"/>
        <v>0</v>
      </c>
      <c r="J50" s="524">
        <f t="shared" si="51"/>
        <v>0</v>
      </c>
      <c r="K50" s="422" t="e">
        <f t="shared" ref="K50:R54" si="52">K22/K$26</f>
        <v>#DIV/0!</v>
      </c>
      <c r="L50" s="422" t="e">
        <f t="shared" si="52"/>
        <v>#DIV/0!</v>
      </c>
      <c r="M50" s="422" t="e">
        <f t="shared" si="52"/>
        <v>#DIV/0!</v>
      </c>
      <c r="N50" s="524" t="e">
        <f t="shared" si="52"/>
        <v>#DIV/0!</v>
      </c>
      <c r="O50" s="422" t="e">
        <f t="shared" si="52"/>
        <v>#DIV/0!</v>
      </c>
      <c r="P50" s="422" t="e">
        <f t="shared" si="52"/>
        <v>#DIV/0!</v>
      </c>
      <c r="Q50" s="422" t="e">
        <f t="shared" si="52"/>
        <v>#DIV/0!</v>
      </c>
      <c r="R50" s="524" t="e">
        <f t="shared" si="52"/>
        <v>#DIV/0!</v>
      </c>
      <c r="S50" s="422" t="e">
        <f t="shared" ref="S50:T51" si="53">S22/S$26</f>
        <v>#DIV/0!</v>
      </c>
      <c r="T50" s="422" t="e">
        <f t="shared" si="53"/>
        <v>#DIV/0!</v>
      </c>
      <c r="U50" s="422" t="e">
        <f t="shared" ref="U50" si="54">U22/U$26</f>
        <v>#DIV/0!</v>
      </c>
      <c r="V50" s="27"/>
    </row>
    <row r="51" spans="2:22" ht="13.8">
      <c r="B51" s="51" t="str">
        <f t="shared" si="23"/>
        <v>Qualcomm</v>
      </c>
      <c r="C51" s="422">
        <f t="shared" si="28"/>
        <v>0.33971133717727425</v>
      </c>
      <c r="D51" s="422">
        <f t="shared" si="28"/>
        <v>0.35078447372165483</v>
      </c>
      <c r="E51" s="422">
        <f t="shared" si="28"/>
        <v>0.33920539215820805</v>
      </c>
      <c r="F51" s="524">
        <f t="shared" si="33"/>
        <v>0.33327038226112843</v>
      </c>
      <c r="G51" s="422">
        <f t="shared" si="51"/>
        <v>0.2988897258859699</v>
      </c>
      <c r="H51" s="422">
        <f t="shared" si="51"/>
        <v>0.30943931048786671</v>
      </c>
      <c r="I51" s="422">
        <f t="shared" si="51"/>
        <v>0.31421334069495371</v>
      </c>
      <c r="J51" s="524">
        <f t="shared" si="51"/>
        <v>0.30114741731845796</v>
      </c>
      <c r="K51" s="422" t="e">
        <f t="shared" si="52"/>
        <v>#DIV/0!</v>
      </c>
      <c r="L51" s="422" t="e">
        <f t="shared" si="52"/>
        <v>#DIV/0!</v>
      </c>
      <c r="M51" s="422" t="e">
        <f t="shared" si="52"/>
        <v>#DIV/0!</v>
      </c>
      <c r="N51" s="524" t="e">
        <f t="shared" si="52"/>
        <v>#DIV/0!</v>
      </c>
      <c r="O51" s="422" t="e">
        <f t="shared" si="52"/>
        <v>#DIV/0!</v>
      </c>
      <c r="P51" s="422" t="e">
        <f t="shared" si="52"/>
        <v>#DIV/0!</v>
      </c>
      <c r="Q51" s="422" t="e">
        <f t="shared" si="52"/>
        <v>#DIV/0!</v>
      </c>
      <c r="R51" s="524" t="e">
        <f t="shared" si="52"/>
        <v>#DIV/0!</v>
      </c>
      <c r="S51" s="422" t="e">
        <f t="shared" si="53"/>
        <v>#DIV/0!</v>
      </c>
      <c r="T51" s="422" t="e">
        <f t="shared" si="53"/>
        <v>#DIV/0!</v>
      </c>
      <c r="U51" s="422" t="e">
        <f t="shared" ref="U51" si="55">U23/U$26</f>
        <v>#DIV/0!</v>
      </c>
      <c r="V51" s="27"/>
    </row>
    <row r="52" spans="2:22" ht="13.8">
      <c r="B52" s="51" t="str">
        <f t="shared" si="23"/>
        <v>Semtech</v>
      </c>
      <c r="C52" s="422">
        <f t="shared" si="28"/>
        <v>8.0220842973790212E-3</v>
      </c>
      <c r="D52" s="422">
        <f t="shared" si="28"/>
        <v>7.893231427733462E-3</v>
      </c>
      <c r="E52" s="422">
        <f t="shared" si="28"/>
        <v>7.5300303802887641E-3</v>
      </c>
      <c r="F52" s="524">
        <f t="shared" si="33"/>
        <v>7.7763089194263302E-3</v>
      </c>
      <c r="G52" s="422">
        <f t="shared" si="51"/>
        <v>8.561940311126344E-3</v>
      </c>
      <c r="H52" s="422">
        <f t="shared" si="51"/>
        <v>8.8222754822206342E-3</v>
      </c>
      <c r="I52" s="422">
        <f t="shared" si="51"/>
        <v>7.9978868687238473E-3</v>
      </c>
      <c r="J52" s="524">
        <f t="shared" si="51"/>
        <v>6.9778060110374405E-3</v>
      </c>
      <c r="K52" s="422" t="e">
        <f t="shared" si="52"/>
        <v>#DIV/0!</v>
      </c>
      <c r="L52" s="422" t="e">
        <f t="shared" si="52"/>
        <v>#DIV/0!</v>
      </c>
      <c r="M52" s="422" t="e">
        <f t="shared" si="52"/>
        <v>#DIV/0!</v>
      </c>
      <c r="N52" s="524" t="e">
        <f t="shared" si="52"/>
        <v>#DIV/0!</v>
      </c>
      <c r="O52" s="422" t="e">
        <f t="shared" si="52"/>
        <v>#DIV/0!</v>
      </c>
      <c r="P52" s="422" t="e">
        <f t="shared" si="52"/>
        <v>#DIV/0!</v>
      </c>
      <c r="Q52" s="422" t="e">
        <f t="shared" si="52"/>
        <v>#DIV/0!</v>
      </c>
      <c r="R52" s="524" t="e">
        <f t="shared" si="52"/>
        <v>#DIV/0!</v>
      </c>
      <c r="S52" s="422" t="e">
        <f t="shared" ref="S52:T52" si="56">S24/S$26</f>
        <v>#DIV/0!</v>
      </c>
      <c r="T52" s="422" t="e">
        <f t="shared" si="56"/>
        <v>#DIV/0!</v>
      </c>
      <c r="U52" s="422" t="e">
        <f t="shared" ref="U52" si="57">U24/U$26</f>
        <v>#DIV/0!</v>
      </c>
      <c r="V52" s="27"/>
    </row>
    <row r="53" spans="2:22" ht="13.8">
      <c r="B53" s="51" t="str">
        <f t="shared" si="23"/>
        <v>Xilinx</v>
      </c>
      <c r="C53" s="422">
        <f t="shared" si="28"/>
        <v>3.4954766364292983E-2</v>
      </c>
      <c r="D53" s="422">
        <f t="shared" si="28"/>
        <v>3.3393055745112109E-2</v>
      </c>
      <c r="E53" s="422">
        <f t="shared" si="28"/>
        <v>3.1791449060187008E-2</v>
      </c>
      <c r="F53" s="524">
        <f t="shared" si="33"/>
        <v>3.2549407334170208E-2</v>
      </c>
      <c r="G53" s="422">
        <f t="shared" si="51"/>
        <v>3.628652259784948E-2</v>
      </c>
      <c r="H53" s="422">
        <f t="shared" si="51"/>
        <v>3.545790795750467E-2</v>
      </c>
      <c r="I53" s="422">
        <f t="shared" si="51"/>
        <v>3.2964624420075514E-2</v>
      </c>
      <c r="J53" s="524">
        <f t="shared" si="51"/>
        <v>3.1315758129193634E-2</v>
      </c>
      <c r="K53" s="422" t="e">
        <f t="shared" si="52"/>
        <v>#DIV/0!</v>
      </c>
      <c r="L53" s="422" t="e">
        <f t="shared" si="52"/>
        <v>#DIV/0!</v>
      </c>
      <c r="M53" s="422" t="e">
        <f t="shared" si="52"/>
        <v>#DIV/0!</v>
      </c>
      <c r="N53" s="524" t="e">
        <f t="shared" si="52"/>
        <v>#DIV/0!</v>
      </c>
      <c r="O53" s="422" t="e">
        <f t="shared" si="52"/>
        <v>#DIV/0!</v>
      </c>
      <c r="P53" s="422" t="e">
        <f t="shared" si="52"/>
        <v>#DIV/0!</v>
      </c>
      <c r="Q53" s="422" t="e">
        <f t="shared" si="52"/>
        <v>#DIV/0!</v>
      </c>
      <c r="R53" s="524" t="e">
        <f t="shared" si="52"/>
        <v>#DIV/0!</v>
      </c>
      <c r="S53" s="422" t="e">
        <f t="shared" ref="S53:T53" si="58">S25/S$26</f>
        <v>#DIV/0!</v>
      </c>
      <c r="T53" s="422" t="e">
        <f t="shared" si="58"/>
        <v>#DIV/0!</v>
      </c>
      <c r="U53" s="422" t="e">
        <f t="shared" ref="U53" si="59">U25/U$26</f>
        <v>#DIV/0!</v>
      </c>
      <c r="V53" s="27"/>
    </row>
    <row r="54" spans="2:22" ht="13.8">
      <c r="B54" s="51" t="str">
        <f t="shared" si="23"/>
        <v>Total</v>
      </c>
      <c r="C54" s="422">
        <f t="shared" si="28"/>
        <v>1</v>
      </c>
      <c r="D54" s="422">
        <f t="shared" si="28"/>
        <v>1</v>
      </c>
      <c r="E54" s="422">
        <f t="shared" si="28"/>
        <v>1</v>
      </c>
      <c r="F54" s="524">
        <f t="shared" si="33"/>
        <v>1</v>
      </c>
      <c r="G54" s="422">
        <f t="shared" si="51"/>
        <v>1</v>
      </c>
      <c r="H54" s="422">
        <f t="shared" si="51"/>
        <v>1</v>
      </c>
      <c r="I54" s="422">
        <f t="shared" si="51"/>
        <v>1</v>
      </c>
      <c r="J54" s="524">
        <f t="shared" si="51"/>
        <v>1</v>
      </c>
      <c r="K54" s="422" t="e">
        <f t="shared" si="52"/>
        <v>#DIV/0!</v>
      </c>
      <c r="L54" s="422" t="e">
        <f t="shared" si="52"/>
        <v>#DIV/0!</v>
      </c>
      <c r="M54" s="422" t="e">
        <f t="shared" si="52"/>
        <v>#DIV/0!</v>
      </c>
      <c r="N54" s="524" t="e">
        <f t="shared" si="52"/>
        <v>#DIV/0!</v>
      </c>
      <c r="O54" s="422" t="e">
        <f t="shared" si="52"/>
        <v>#DIV/0!</v>
      </c>
      <c r="P54" s="422" t="e">
        <f t="shared" si="52"/>
        <v>#DIV/0!</v>
      </c>
      <c r="Q54" s="422" t="e">
        <f t="shared" si="52"/>
        <v>#DIV/0!</v>
      </c>
      <c r="R54" s="524" t="e">
        <f t="shared" si="52"/>
        <v>#DIV/0!</v>
      </c>
      <c r="S54" s="422" t="e">
        <f t="shared" ref="S54:T54" si="60">S26/S$26</f>
        <v>#DIV/0!</v>
      </c>
      <c r="T54" s="422" t="e">
        <f t="shared" si="60"/>
        <v>#DIV/0!</v>
      </c>
      <c r="U54" s="422" t="e">
        <f t="shared" ref="U54" si="61">U26/U$26</f>
        <v>#DIV/0!</v>
      </c>
      <c r="V54" s="27"/>
    </row>
    <row r="55" spans="2:22" ht="13.8">
      <c r="B55" s="51"/>
      <c r="C55" s="50"/>
      <c r="D55" s="50"/>
      <c r="E55" s="51"/>
      <c r="F55" s="51"/>
      <c r="G55" s="51"/>
      <c r="H55" s="51"/>
      <c r="I55" s="51"/>
      <c r="J55" s="51"/>
      <c r="K55" s="51"/>
      <c r="L55" s="51"/>
      <c r="M55" s="51"/>
      <c r="N55" s="51"/>
      <c r="O55" s="51"/>
      <c r="P55" s="51"/>
      <c r="Q55" s="51"/>
      <c r="R55" s="51"/>
      <c r="S55" s="51"/>
      <c r="T55" s="51"/>
      <c r="U55" s="51"/>
      <c r="V55" s="51"/>
    </row>
    <row r="56" spans="2:22" ht="13.8">
      <c r="B56" s="51"/>
      <c r="C56" s="51"/>
      <c r="D56" s="398"/>
      <c r="E56" s="51"/>
      <c r="F56" s="51"/>
      <c r="G56" s="51"/>
      <c r="H56" s="51"/>
      <c r="I56" s="51"/>
      <c r="J56" s="51"/>
      <c r="K56" s="51"/>
      <c r="L56" s="51"/>
      <c r="M56" s="51"/>
      <c r="N56" s="51"/>
      <c r="O56" s="51"/>
      <c r="P56" s="51"/>
      <c r="Q56" s="51"/>
      <c r="R56" s="51"/>
      <c r="S56" s="51"/>
      <c r="T56" s="51"/>
      <c r="U56" s="51"/>
      <c r="V56" s="51"/>
    </row>
    <row r="57" spans="2:22" ht="13.8">
      <c r="B57" s="397" t="s">
        <v>335</v>
      </c>
      <c r="C57" s="82" t="s">
        <v>126</v>
      </c>
      <c r="D57" s="83" t="s">
        <v>127</v>
      </c>
      <c r="E57" s="83" t="s">
        <v>128</v>
      </c>
      <c r="F57" s="413" t="s">
        <v>129</v>
      </c>
      <c r="G57" s="82" t="str">
        <f t="shared" ref="G57:V57" si="62">G7</f>
        <v>1Q 17</v>
      </c>
      <c r="H57" s="83" t="str">
        <f t="shared" si="62"/>
        <v>2Q 17</v>
      </c>
      <c r="I57" s="83" t="str">
        <f t="shared" si="62"/>
        <v>3Q 17</v>
      </c>
      <c r="J57" s="413" t="str">
        <f t="shared" si="62"/>
        <v>4Q 17</v>
      </c>
      <c r="K57" s="82" t="str">
        <f t="shared" si="62"/>
        <v>1Q 18</v>
      </c>
      <c r="L57" s="83" t="str">
        <f t="shared" si="62"/>
        <v>2Q 18</v>
      </c>
      <c r="M57" s="83" t="str">
        <f t="shared" si="62"/>
        <v>3Q 18</v>
      </c>
      <c r="N57" s="413" t="str">
        <f t="shared" si="62"/>
        <v>4Q 18</v>
      </c>
      <c r="O57" s="82" t="str">
        <f t="shared" si="62"/>
        <v>1Q 19</v>
      </c>
      <c r="P57" s="83" t="str">
        <f t="shared" si="62"/>
        <v>2Q 19</v>
      </c>
      <c r="Q57" s="83" t="str">
        <f t="shared" si="62"/>
        <v>3Q 19</v>
      </c>
      <c r="R57" s="413" t="str">
        <f t="shared" si="62"/>
        <v>4Q 19</v>
      </c>
      <c r="S57" s="410" t="str">
        <f t="shared" si="62"/>
        <v>1Q 20</v>
      </c>
      <c r="T57" s="83" t="str">
        <f t="shared" si="62"/>
        <v>2Q 20</v>
      </c>
      <c r="U57" s="83" t="str">
        <f t="shared" si="62"/>
        <v>3Q 20</v>
      </c>
      <c r="V57" s="413" t="str">
        <f t="shared" si="62"/>
        <v>4Q 20</v>
      </c>
    </row>
    <row r="58" spans="2:22" ht="13.8">
      <c r="B58" s="51" t="str">
        <f t="shared" ref="B58:B76" si="63">B8</f>
        <v>AMD</v>
      </c>
      <c r="C58" s="50">
        <v>-0.99837824013787702</v>
      </c>
      <c r="D58" s="50">
        <v>-0.99837475092498396</v>
      </c>
      <c r="E58" s="50">
        <v>-0.99838468001613101</v>
      </c>
      <c r="F58" s="524">
        <v>-0.84940669819599401</v>
      </c>
      <c r="G58" s="50">
        <f t="shared" ref="G58" si="64">SUM(D8:G8)/SUM(D$26:G$26)</f>
        <v>0</v>
      </c>
      <c r="H58" s="50">
        <f t="shared" ref="H58" si="65">SUM(E8:H8)/SUM(E$26:H$26)</f>
        <v>0</v>
      </c>
      <c r="I58" s="50">
        <f t="shared" ref="I58" si="66">SUM(F8:I8)/SUM(F$26:I$26)</f>
        <v>0</v>
      </c>
      <c r="J58" s="524">
        <f t="shared" ref="J58" si="67">SUM(G8:J8)/SUM(G$26:J$26)</f>
        <v>0</v>
      </c>
      <c r="K58" s="1598"/>
      <c r="L58" s="1598"/>
      <c r="M58" s="1598"/>
      <c r="N58" s="524" t="e">
        <f>SUM(K8:P8)/SUM(K$26:P$26)</f>
        <v>#DIV/0!</v>
      </c>
      <c r="O58" s="50" t="e">
        <f>SUM(L8:O8)/SUM(L$26:O$26)</f>
        <v>#DIV/0!</v>
      </c>
      <c r="P58" s="50" t="e">
        <f t="shared" ref="P58" si="68">SUM(M8:P8)/SUM(M$26:P$26)</f>
        <v>#DIV/0!</v>
      </c>
      <c r="Q58" s="50" t="e">
        <f t="shared" ref="Q58" si="69">SUM(N8:Q8)/SUM(N$26:Q$26)</f>
        <v>#DIV/0!</v>
      </c>
      <c r="R58" s="524" t="e">
        <f t="shared" ref="R58" si="70">SUM(O8:R8)/SUM(O$26:R$26)</f>
        <v>#DIV/0!</v>
      </c>
      <c r="S58" s="50" t="e">
        <f t="shared" ref="S58" si="71">SUM(P8:S8)/SUM(P$26:S$26)</f>
        <v>#DIV/0!</v>
      </c>
      <c r="T58" s="50" t="e">
        <f t="shared" ref="T58:U58" si="72">SUM(Q8:T8)/SUM(Q$26:T$26)</f>
        <v>#DIV/0!</v>
      </c>
      <c r="U58" s="50" t="e">
        <f t="shared" si="72"/>
        <v>#DIV/0!</v>
      </c>
      <c r="V58" s="524"/>
    </row>
    <row r="59" spans="2:22" ht="13.8">
      <c r="B59" s="51" t="str">
        <f t="shared" si="63"/>
        <v>Analog Devices</v>
      </c>
      <c r="C59" s="50">
        <v>1.6217598621230793E-3</v>
      </c>
      <c r="D59" s="50">
        <v>1.6252490750157643E-3</v>
      </c>
      <c r="E59" s="50">
        <v>1.6153199838688738E-3</v>
      </c>
      <c r="F59" s="524">
        <v>0.15059330180400615</v>
      </c>
      <c r="G59" s="50">
        <f t="shared" ref="G59:U59" si="73">SUM(D9:G9)/SUM(D$26:G$26)</f>
        <v>5.6972834007712123E-2</v>
      </c>
      <c r="H59" s="50">
        <f t="shared" si="73"/>
        <v>6.4879215447977368E-2</v>
      </c>
      <c r="I59" s="50">
        <f t="shared" si="73"/>
        <v>7.1979590538879035E-2</v>
      </c>
      <c r="J59" s="524">
        <f t="shared" si="73"/>
        <v>7.7185364806711954E-2</v>
      </c>
      <c r="K59" s="1598"/>
      <c r="L59" s="1598"/>
      <c r="M59" s="1598"/>
      <c r="N59" s="524" t="e">
        <f>SUM(K9:P9)/SUM(K$26:P$26)</f>
        <v>#DIV/0!</v>
      </c>
      <c r="O59" s="50" t="e">
        <f t="shared" si="73"/>
        <v>#DIV/0!</v>
      </c>
      <c r="P59" s="50" t="e">
        <f t="shared" si="73"/>
        <v>#DIV/0!</v>
      </c>
      <c r="Q59" s="50" t="e">
        <f t="shared" si="73"/>
        <v>#DIV/0!</v>
      </c>
      <c r="R59" s="524" t="e">
        <f t="shared" si="73"/>
        <v>#DIV/0!</v>
      </c>
      <c r="S59" s="50" t="e">
        <f t="shared" si="73"/>
        <v>#DIV/0!</v>
      </c>
      <c r="T59" s="50" t="e">
        <f t="shared" si="73"/>
        <v>#DIV/0!</v>
      </c>
      <c r="U59" s="50" t="e">
        <f t="shared" si="73"/>
        <v>#DIV/0!</v>
      </c>
      <c r="V59" s="524"/>
    </row>
    <row r="60" spans="2:22" ht="13.8">
      <c r="B60" s="51" t="str">
        <f t="shared" si="63"/>
        <v>AMCC</v>
      </c>
      <c r="C60" s="50">
        <v>1.6217598621230793E-3</v>
      </c>
      <c r="D60" s="50">
        <v>1.6252490750157643E-3</v>
      </c>
      <c r="E60" s="50">
        <v>1.6153199838688738E-3</v>
      </c>
      <c r="F60" s="559" t="s">
        <v>377</v>
      </c>
      <c r="G60" s="525"/>
      <c r="H60" s="525"/>
      <c r="I60" s="525"/>
      <c r="J60" s="526"/>
      <c r="K60" s="1026"/>
      <c r="L60" s="1026"/>
      <c r="M60" s="1026"/>
      <c r="N60" s="1600"/>
      <c r="O60" s="1026"/>
      <c r="P60" s="1026"/>
      <c r="Q60" s="1026"/>
      <c r="R60" s="1600"/>
      <c r="S60" s="1026"/>
      <c r="T60" s="1026"/>
      <c r="U60" s="1026"/>
      <c r="V60" s="1124"/>
    </row>
    <row r="61" spans="2:22" ht="13.8">
      <c r="B61" s="51" t="str">
        <f t="shared" si="63"/>
        <v>Broadcom</v>
      </c>
      <c r="C61" s="50">
        <v>0.14178883457435665</v>
      </c>
      <c r="D61" s="50">
        <v>0.14370644395273463</v>
      </c>
      <c r="E61" s="50">
        <v>0.14655448444640271</v>
      </c>
      <c r="F61" s="524">
        <v>0.15059330180400615</v>
      </c>
      <c r="G61" s="50">
        <f t="shared" ref="G61:U61" si="74">SUM(D11:G11)/SUM(D$26:G$26)</f>
        <v>0.23157477739634263</v>
      </c>
      <c r="H61" s="50">
        <f t="shared" si="74"/>
        <v>0.24068157475263072</v>
      </c>
      <c r="I61" s="50">
        <f t="shared" si="74"/>
        <v>0.24871366857932539</v>
      </c>
      <c r="J61" s="524">
        <f t="shared" si="74"/>
        <v>0.25752697274909336</v>
      </c>
      <c r="K61" s="1598"/>
      <c r="L61" s="1598"/>
      <c r="M61" s="1598"/>
      <c r="N61" s="524" t="e">
        <f>SUM(K11:P11)/SUM(K$26:P$26)</f>
        <v>#DIV/0!</v>
      </c>
      <c r="O61" s="50" t="e">
        <f t="shared" si="74"/>
        <v>#DIV/0!</v>
      </c>
      <c r="P61" s="50" t="e">
        <f t="shared" si="74"/>
        <v>#DIV/0!</v>
      </c>
      <c r="Q61" s="50" t="e">
        <f t="shared" si="74"/>
        <v>#DIV/0!</v>
      </c>
      <c r="R61" s="524" t="e">
        <f t="shared" si="74"/>
        <v>#DIV/0!</v>
      </c>
      <c r="S61" s="50" t="e">
        <f t="shared" si="74"/>
        <v>#DIV/0!</v>
      </c>
      <c r="T61" s="50" t="e">
        <f t="shared" si="74"/>
        <v>#DIV/0!</v>
      </c>
      <c r="U61" s="50" t="e">
        <f t="shared" si="74"/>
        <v>#DIV/0!</v>
      </c>
      <c r="V61" s="422"/>
    </row>
    <row r="62" spans="2:22" ht="13.8">
      <c r="B62" s="51" t="str">
        <f t="shared" si="63"/>
        <v>Cavium</v>
      </c>
      <c r="C62" s="50">
        <v>8.6430441519989073E-3</v>
      </c>
      <c r="D62" s="50">
        <v>8.7155814129266235E-3</v>
      </c>
      <c r="E62" s="50">
        <v>8.0624055433877011E-3</v>
      </c>
      <c r="F62" s="524">
        <v>8.1522909989077443E-3</v>
      </c>
      <c r="G62" s="50">
        <f>SUM(D12:G12)/SUM(D$26:G$26)</f>
        <v>1.2105957683649691E-2</v>
      </c>
      <c r="H62" s="50">
        <f>SUM(E12:H12)/SUM(E$26:H$26)</f>
        <v>1.2302497378975095E-2</v>
      </c>
      <c r="I62" s="50">
        <f>SUM(F12:I12)/SUM(F$26:I$26)</f>
        <v>1.3385054763801226E-2</v>
      </c>
      <c r="J62" s="524">
        <f>SUM(G12:J12)/SUM(G$26:J$26)</f>
        <v>1.3457193446316134E-2</v>
      </c>
      <c r="K62" s="1598"/>
      <c r="L62" s="1598"/>
      <c r="M62" s="1598"/>
      <c r="N62" s="1600"/>
      <c r="O62" s="1598"/>
      <c r="P62" s="1598"/>
      <c r="Q62" s="1598"/>
      <c r="R62" s="1600"/>
      <c r="S62" s="1598"/>
      <c r="T62" s="1598"/>
      <c r="U62" s="1598"/>
      <c r="V62" s="1026"/>
    </row>
    <row r="63" spans="2:22" ht="13.8">
      <c r="B63" s="51" t="str">
        <f t="shared" si="63"/>
        <v>GigaPeak</v>
      </c>
      <c r="C63" s="50">
        <v>4.3871761808977016E-4</v>
      </c>
      <c r="D63" s="50">
        <v>4.8098277528385781E-4</v>
      </c>
      <c r="E63" s="50">
        <v>5.2480034140482592E-4</v>
      </c>
      <c r="F63" s="524">
        <v>5.6447172299638041E-4</v>
      </c>
      <c r="G63" s="559" t="str">
        <f>G13</f>
        <v>acquired by IDT</v>
      </c>
      <c r="H63" s="525"/>
      <c r="I63" s="525"/>
      <c r="J63" s="526"/>
      <c r="K63" s="1599"/>
      <c r="L63" s="1026"/>
      <c r="M63" s="1026"/>
      <c r="N63" s="1600"/>
      <c r="O63" s="1599"/>
      <c r="P63" s="1026"/>
      <c r="Q63" s="1026"/>
      <c r="R63" s="1600"/>
      <c r="S63" s="1599"/>
      <c r="T63" s="1026"/>
      <c r="U63" s="1026"/>
      <c r="V63" s="1124"/>
    </row>
    <row r="64" spans="2:22" ht="13.8">
      <c r="B64" s="51" t="str">
        <f t="shared" si="63"/>
        <v>IDT</v>
      </c>
      <c r="C64" s="50">
        <v>9.3003862678433941E-3</v>
      </c>
      <c r="D64" s="50">
        <v>7.2661009759862911E-3</v>
      </c>
      <c r="E64" s="50">
        <v>7.2753518696524275E-3</v>
      </c>
      <c r="F64" s="524">
        <v>7.1559545269659023E-3</v>
      </c>
      <c r="G64" s="50">
        <f t="shared" ref="G64:J66" si="75">SUM(D14:G14)/SUM(D$26:G$26)</f>
        <v>1.036925363527552E-2</v>
      </c>
      <c r="H64" s="50">
        <f t="shared" si="75"/>
        <v>1.0414188578120384E-2</v>
      </c>
      <c r="I64" s="50">
        <f t="shared" si="75"/>
        <v>1.0610430109175799E-2</v>
      </c>
      <c r="J64" s="524">
        <f t="shared" si="75"/>
        <v>1.0854329588776596E-2</v>
      </c>
      <c r="K64" s="1598"/>
      <c r="L64" s="1598"/>
      <c r="M64" s="1598"/>
      <c r="N64" s="524" t="e">
        <f>SUM(K14:P14)/SUM(K$26:P$26)</f>
        <v>#DIV/0!</v>
      </c>
      <c r="O64" s="50" t="e">
        <f t="shared" ref="O64:U66" si="76">SUM(L14:O14)/SUM(L$26:O$26)</f>
        <v>#DIV/0!</v>
      </c>
      <c r="P64" s="50" t="e">
        <f t="shared" si="76"/>
        <v>#DIV/0!</v>
      </c>
      <c r="Q64" s="50" t="e">
        <f t="shared" si="76"/>
        <v>#DIV/0!</v>
      </c>
      <c r="R64" s="524" t="e">
        <f t="shared" si="76"/>
        <v>#DIV/0!</v>
      </c>
      <c r="S64" s="50" t="e">
        <f t="shared" si="76"/>
        <v>#DIV/0!</v>
      </c>
      <c r="T64" s="50" t="e">
        <f t="shared" si="76"/>
        <v>#DIV/0!</v>
      </c>
      <c r="U64" s="50" t="e">
        <f t="shared" si="76"/>
        <v>#DIV/0!</v>
      </c>
      <c r="V64" s="422"/>
    </row>
    <row r="65" spans="2:22" ht="13.8">
      <c r="B65" s="51" t="str">
        <f t="shared" si="63"/>
        <v>Inphi</v>
      </c>
      <c r="C65" s="50">
        <v>2.5810374293704919E-3</v>
      </c>
      <c r="D65" s="50">
        <v>2.5314672958335989E-3</v>
      </c>
      <c r="E65" s="50">
        <v>2.5666368497095941E-3</v>
      </c>
      <c r="F65" s="524">
        <v>2.6887872265742505E-3</v>
      </c>
      <c r="G65" s="50">
        <f t="shared" si="75"/>
        <v>4.3545739727434002E-3</v>
      </c>
      <c r="H65" s="50">
        <f t="shared" si="75"/>
        <v>4.6856033342000227E-3</v>
      </c>
      <c r="I65" s="50">
        <f t="shared" si="75"/>
        <v>4.8416570898420401E-3</v>
      </c>
      <c r="J65" s="524">
        <f t="shared" si="75"/>
        <v>4.767901763693118E-3</v>
      </c>
      <c r="K65" s="1598"/>
      <c r="L65" s="1598"/>
      <c r="M65" s="1598"/>
      <c r="N65" s="524" t="e">
        <f>SUM(K15:P15)/SUM(K$26:P$26)</f>
        <v>#DIV/0!</v>
      </c>
      <c r="O65" s="50" t="e">
        <f t="shared" si="76"/>
        <v>#DIV/0!</v>
      </c>
      <c r="P65" s="50" t="e">
        <f t="shared" si="76"/>
        <v>#DIV/0!</v>
      </c>
      <c r="Q65" s="50" t="e">
        <f t="shared" si="76"/>
        <v>#DIV/0!</v>
      </c>
      <c r="R65" s="524" t="e">
        <f t="shared" si="76"/>
        <v>#DIV/0!</v>
      </c>
      <c r="S65" s="50" t="e">
        <f t="shared" si="76"/>
        <v>#DIV/0!</v>
      </c>
      <c r="T65" s="50" t="e">
        <f t="shared" si="76"/>
        <v>#DIV/0!</v>
      </c>
      <c r="U65" s="50" t="e">
        <f t="shared" si="76"/>
        <v>#DIV/0!</v>
      </c>
      <c r="V65" s="422"/>
    </row>
    <row r="66" spans="2:22" ht="13.8">
      <c r="B66" s="51" t="str">
        <f t="shared" si="63"/>
        <v>Intel - Data Center</v>
      </c>
      <c r="C66" s="50">
        <v>0.16618132052231799</v>
      </c>
      <c r="D66" s="50">
        <v>0.16429007339884458</v>
      </c>
      <c r="E66" s="50">
        <v>0.16520295768602578</v>
      </c>
      <c r="F66" s="524">
        <v>0.16502094058074604</v>
      </c>
      <c r="G66" s="50">
        <f t="shared" si="75"/>
        <v>0.25137929724622354</v>
      </c>
      <c r="H66" s="50">
        <f t="shared" si="75"/>
        <v>0.25578634001193207</v>
      </c>
      <c r="I66" s="50">
        <f t="shared" si="75"/>
        <v>0.25876313280334551</v>
      </c>
      <c r="J66" s="524">
        <f t="shared" si="75"/>
        <v>0.26537973955519084</v>
      </c>
      <c r="K66" s="1598"/>
      <c r="L66" s="1598"/>
      <c r="M66" s="1598"/>
      <c r="N66" s="524" t="e">
        <f>SUM(K16:P16)/SUM(K$26:P$26)</f>
        <v>#DIV/0!</v>
      </c>
      <c r="O66" s="50" t="e">
        <f t="shared" si="76"/>
        <v>#DIV/0!</v>
      </c>
      <c r="P66" s="50" t="e">
        <f t="shared" si="76"/>
        <v>#DIV/0!</v>
      </c>
      <c r="Q66" s="50" t="e">
        <f t="shared" si="76"/>
        <v>#DIV/0!</v>
      </c>
      <c r="R66" s="524" t="e">
        <f t="shared" si="76"/>
        <v>#DIV/0!</v>
      </c>
      <c r="S66" s="50" t="e">
        <f t="shared" si="76"/>
        <v>#DIV/0!</v>
      </c>
      <c r="T66" s="50" t="e">
        <f t="shared" si="76"/>
        <v>#DIV/0!</v>
      </c>
      <c r="U66" s="50" t="e">
        <f t="shared" si="76"/>
        <v>#DIV/0!</v>
      </c>
      <c r="V66" s="422"/>
    </row>
    <row r="67" spans="2:22" ht="13.8">
      <c r="B67" s="51" t="str">
        <f t="shared" si="63"/>
        <v>Linear</v>
      </c>
      <c r="C67" s="50">
        <v>1.4021073285621265E-2</v>
      </c>
      <c r="D67" s="50">
        <v>1.4200610053191981E-2</v>
      </c>
      <c r="E67" s="50">
        <v>1.425242605971886E-2</v>
      </c>
      <c r="F67" s="524">
        <v>1.4319624368785677E-2</v>
      </c>
      <c r="G67" s="559" t="str">
        <f>G17</f>
        <v>acquired by Analog Devices</v>
      </c>
      <c r="H67" s="525"/>
      <c r="I67" s="525"/>
      <c r="J67" s="526"/>
      <c r="K67" s="1599"/>
      <c r="L67" s="1026"/>
      <c r="M67" s="1026"/>
      <c r="N67" s="1600"/>
      <c r="O67" s="1599"/>
      <c r="P67" s="1026"/>
      <c r="Q67" s="1026"/>
      <c r="R67" s="1600"/>
      <c r="S67" s="1599"/>
      <c r="T67" s="1026"/>
      <c r="U67" s="1026"/>
      <c r="V67" s="1124"/>
    </row>
    <row r="68" spans="2:22" ht="13.8">
      <c r="B68" s="51" t="str">
        <f t="shared" si="63"/>
        <v>MACOM</v>
      </c>
      <c r="C68" s="50">
        <v>4.8319018004524868E-3</v>
      </c>
      <c r="D68" s="50">
        <v>5.0282296350429414E-3</v>
      </c>
      <c r="E68" s="50">
        <v>5.3286666263813263E-3</v>
      </c>
      <c r="F68" s="524">
        <v>5.5991004308902879E-3</v>
      </c>
      <c r="G68" s="50">
        <f t="shared" ref="G68:J75" si="77">SUM(D18:G18)/SUM(D$26:G$26)</f>
        <v>9.0134057378605994E-3</v>
      </c>
      <c r="H68" s="50">
        <f t="shared" si="77"/>
        <v>9.738381771222571E-3</v>
      </c>
      <c r="I68" s="50">
        <f t="shared" si="77"/>
        <v>9.8524355278243585E-3</v>
      </c>
      <c r="J68" s="524">
        <f t="shared" si="77"/>
        <v>9.2758550568589563E-3</v>
      </c>
      <c r="K68" s="1598"/>
      <c r="L68" s="1598"/>
      <c r="M68" s="1598"/>
      <c r="N68" s="524" t="e">
        <f>SUM(K18:P18)/SUM(K$26:P$26)</f>
        <v>#DIV/0!</v>
      </c>
      <c r="O68" s="50" t="e">
        <f t="shared" ref="O68:U70" si="78">SUM(L18:O18)/SUM(L$26:O$26)</f>
        <v>#DIV/0!</v>
      </c>
      <c r="P68" s="50" t="e">
        <f t="shared" si="78"/>
        <v>#DIV/0!</v>
      </c>
      <c r="Q68" s="50" t="e">
        <f t="shared" si="78"/>
        <v>#DIV/0!</v>
      </c>
      <c r="R68" s="524" t="e">
        <f t="shared" si="78"/>
        <v>#DIV/0!</v>
      </c>
      <c r="S68" s="50" t="e">
        <f t="shared" si="78"/>
        <v>#DIV/0!</v>
      </c>
      <c r="T68" s="50" t="e">
        <f t="shared" si="78"/>
        <v>#DIV/0!</v>
      </c>
      <c r="U68" s="50" t="e">
        <f t="shared" si="78"/>
        <v>#DIV/0!</v>
      </c>
      <c r="V68" s="422"/>
    </row>
    <row r="69" spans="2:22" ht="13.8">
      <c r="B69" s="51" t="str">
        <f t="shared" si="63"/>
        <v>Marvell</v>
      </c>
      <c r="C69" s="50">
        <v>2.4166184559445785E-2</v>
      </c>
      <c r="D69" s="50">
        <v>2.4044651054284584E-2</v>
      </c>
      <c r="E69" s="50">
        <v>2.3123715248140712E-2</v>
      </c>
      <c r="F69" s="524">
        <v>2.2345480645525603E-2</v>
      </c>
      <c r="G69" s="50">
        <f t="shared" si="77"/>
        <v>3.3845369156534751E-2</v>
      </c>
      <c r="H69" s="50">
        <f t="shared" si="77"/>
        <v>3.3831974363902527E-2</v>
      </c>
      <c r="I69" s="50">
        <f t="shared" si="77"/>
        <v>3.342161451732352E-2</v>
      </c>
      <c r="J69" s="524">
        <f t="shared" si="77"/>
        <v>3.304225379551308E-2</v>
      </c>
      <c r="K69" s="1598"/>
      <c r="L69" s="1598"/>
      <c r="M69" s="1598"/>
      <c r="N69" s="524" t="e">
        <f>SUM(K19:P19)/SUM(K$26:P$26)</f>
        <v>#DIV/0!</v>
      </c>
      <c r="O69" s="50" t="e">
        <f t="shared" si="78"/>
        <v>#DIV/0!</v>
      </c>
      <c r="P69" s="50" t="e">
        <f t="shared" si="78"/>
        <v>#DIV/0!</v>
      </c>
      <c r="Q69" s="50" t="e">
        <f t="shared" si="78"/>
        <v>#DIV/0!</v>
      </c>
      <c r="R69" s="524" t="e">
        <f t="shared" si="78"/>
        <v>#DIV/0!</v>
      </c>
      <c r="S69" s="50" t="e">
        <f t="shared" si="78"/>
        <v>#DIV/0!</v>
      </c>
      <c r="T69" s="50" t="e">
        <f t="shared" si="78"/>
        <v>#DIV/0!</v>
      </c>
      <c r="U69" s="50" t="e">
        <f t="shared" si="78"/>
        <v>#DIV/0!</v>
      </c>
      <c r="V69" s="422"/>
    </row>
    <row r="70" spans="2:22" ht="13.8">
      <c r="B70" s="51" t="str">
        <f t="shared" si="63"/>
        <v>Maxim</v>
      </c>
      <c r="C70" s="50">
        <v>2.1743491346464357E-2</v>
      </c>
      <c r="D70" s="50">
        <v>2.1887259311030235E-2</v>
      </c>
      <c r="E70" s="50">
        <v>2.1473741408487974E-2</v>
      </c>
      <c r="F70" s="524">
        <v>2.1542895017851612E-2</v>
      </c>
      <c r="G70" s="50">
        <f t="shared" si="77"/>
        <v>3.2173446247856459E-2</v>
      </c>
      <c r="H70" s="50">
        <f t="shared" si="77"/>
        <v>3.2619756561201682E-2</v>
      </c>
      <c r="I70" s="50">
        <f t="shared" si="77"/>
        <v>3.2557106890893653E-2</v>
      </c>
      <c r="J70" s="524">
        <f t="shared" si="77"/>
        <v>3.2586191366509483E-2</v>
      </c>
      <c r="K70" s="1598"/>
      <c r="L70" s="1598"/>
      <c r="M70" s="1598"/>
      <c r="N70" s="524" t="e">
        <f>SUM(K20:P20)/SUM(K$26:P$26)</f>
        <v>#DIV/0!</v>
      </c>
      <c r="O70" s="50" t="e">
        <f t="shared" si="78"/>
        <v>#DIV/0!</v>
      </c>
      <c r="P70" s="50" t="e">
        <f t="shared" si="78"/>
        <v>#DIV/0!</v>
      </c>
      <c r="Q70" s="50" t="e">
        <f t="shared" si="78"/>
        <v>#DIV/0!</v>
      </c>
      <c r="R70" s="524" t="e">
        <f t="shared" si="78"/>
        <v>#DIV/0!</v>
      </c>
      <c r="S70" s="50" t="e">
        <f t="shared" si="78"/>
        <v>#DIV/0!</v>
      </c>
      <c r="T70" s="50" t="e">
        <f t="shared" si="78"/>
        <v>#DIV/0!</v>
      </c>
      <c r="U70" s="50" t="e">
        <f t="shared" si="78"/>
        <v>#DIV/0!</v>
      </c>
      <c r="V70" s="422"/>
    </row>
    <row r="71" spans="2:22" ht="13.8">
      <c r="B71" s="51" t="str">
        <f t="shared" si="63"/>
        <v>Microsemi</v>
      </c>
      <c r="C71" s="50">
        <v>1.8283656867248924E-2</v>
      </c>
      <c r="D71" s="50">
        <v>1.7959296473240405E-2</v>
      </c>
      <c r="E71" s="50">
        <v>1.7508752953325782E-2</v>
      </c>
      <c r="F71" s="524">
        <v>1.6991052136938717E-2</v>
      </c>
      <c r="G71" s="50">
        <f t="shared" si="77"/>
        <v>2.50638941363985E-2</v>
      </c>
      <c r="H71" s="50">
        <f t="shared" si="77"/>
        <v>2.5393909684757725E-2</v>
      </c>
      <c r="I71" s="50">
        <f t="shared" si="77"/>
        <v>2.5543680242905552E-2</v>
      </c>
      <c r="J71" s="524">
        <f t="shared" si="77"/>
        <v>2.5245140395978641E-2</v>
      </c>
      <c r="K71" s="1598"/>
      <c r="L71" s="1598"/>
      <c r="M71" s="1598"/>
      <c r="N71" s="1600"/>
      <c r="O71" s="1598"/>
      <c r="P71" s="1598"/>
      <c r="Q71" s="1598"/>
      <c r="R71" s="1600"/>
      <c r="S71" s="1598"/>
      <c r="T71" s="1598"/>
      <c r="U71" s="1598"/>
      <c r="V71" s="1026"/>
    </row>
    <row r="72" spans="2:22" ht="13.8">
      <c r="B72" s="51" t="str">
        <f t="shared" si="63"/>
        <v>Nvidia</v>
      </c>
      <c r="C72" s="50">
        <v>-0.77583478978310305</v>
      </c>
      <c r="D72" s="50">
        <v>-0.77232351731846405</v>
      </c>
      <c r="E72" s="50">
        <v>-0.76946375601410799</v>
      </c>
      <c r="F72" s="524">
        <v>-0.77075870740434005</v>
      </c>
      <c r="G72" s="50">
        <f t="shared" si="77"/>
        <v>0</v>
      </c>
      <c r="H72" s="50">
        <f t="shared" si="77"/>
        <v>0</v>
      </c>
      <c r="I72" s="50">
        <f t="shared" si="77"/>
        <v>0</v>
      </c>
      <c r="J72" s="524">
        <f t="shared" si="77"/>
        <v>0</v>
      </c>
      <c r="K72" s="1598"/>
      <c r="L72" s="1598"/>
      <c r="M72" s="1598"/>
      <c r="N72" s="524" t="e">
        <f>SUM(K22:P22)/SUM(K$26:P$26)</f>
        <v>#DIV/0!</v>
      </c>
      <c r="O72" s="50" t="e">
        <f t="shared" ref="O72:U75" si="79">SUM(L22:O22)/SUM(L$26:O$26)</f>
        <v>#DIV/0!</v>
      </c>
      <c r="P72" s="50" t="e">
        <f t="shared" si="79"/>
        <v>#DIV/0!</v>
      </c>
      <c r="Q72" s="50" t="e">
        <f t="shared" si="79"/>
        <v>#DIV/0!</v>
      </c>
      <c r="R72" s="524" t="e">
        <f t="shared" si="79"/>
        <v>#DIV/0!</v>
      </c>
      <c r="S72" s="50" t="e">
        <f t="shared" si="79"/>
        <v>#DIV/0!</v>
      </c>
      <c r="T72" s="50" t="e">
        <f t="shared" si="79"/>
        <v>#DIV/0!</v>
      </c>
      <c r="U72" s="50" t="e">
        <f t="shared" si="79"/>
        <v>#DIV/0!</v>
      </c>
      <c r="V72" s="422"/>
    </row>
    <row r="73" spans="2:22" ht="13.8">
      <c r="B73" s="51" t="str">
        <f t="shared" si="63"/>
        <v>Qualcomm</v>
      </c>
      <c r="C73" s="50">
        <v>0.22416521021689717</v>
      </c>
      <c r="D73" s="50">
        <v>0.22767648268153584</v>
      </c>
      <c r="E73" s="50">
        <v>0.23053624398589162</v>
      </c>
      <c r="F73" s="524">
        <v>0.2292412925956597</v>
      </c>
      <c r="G73" s="50">
        <f t="shared" si="77"/>
        <v>0.3308821289081465</v>
      </c>
      <c r="H73" s="50">
        <f t="shared" si="77"/>
        <v>0.3207240420204055</v>
      </c>
      <c r="I73" s="50">
        <f t="shared" si="77"/>
        <v>0.31425365264902183</v>
      </c>
      <c r="J73" s="524">
        <f t="shared" si="77"/>
        <v>0.30595692831283061</v>
      </c>
      <c r="K73" s="1598"/>
      <c r="L73" s="1598"/>
      <c r="M73" s="1598"/>
      <c r="N73" s="524" t="e">
        <f>SUM(K23:P23)/SUM(K$26:P$26)</f>
        <v>#DIV/0!</v>
      </c>
      <c r="O73" s="50" t="e">
        <f t="shared" si="79"/>
        <v>#DIV/0!</v>
      </c>
      <c r="P73" s="50" t="e">
        <f t="shared" si="79"/>
        <v>#DIV/0!</v>
      </c>
      <c r="Q73" s="50" t="e">
        <f t="shared" si="79"/>
        <v>#DIV/0!</v>
      </c>
      <c r="R73" s="524" t="e">
        <f t="shared" si="79"/>
        <v>#DIV/0!</v>
      </c>
      <c r="S73" s="50" t="e">
        <f t="shared" si="79"/>
        <v>#DIV/0!</v>
      </c>
      <c r="T73" s="50" t="e">
        <f t="shared" si="79"/>
        <v>#DIV/0!</v>
      </c>
      <c r="U73" s="50" t="e">
        <f t="shared" si="79"/>
        <v>#DIV/0!</v>
      </c>
      <c r="V73" s="422"/>
    </row>
    <row r="74" spans="2:22" ht="13.8">
      <c r="B74" s="51" t="str">
        <f t="shared" si="63"/>
        <v>Semtech</v>
      </c>
      <c r="C74" s="50">
        <v>4.8795652787416068E-3</v>
      </c>
      <c r="D74" s="50">
        <v>5.0002063798377247E-3</v>
      </c>
      <c r="E74" s="50">
        <v>5.1175130474948862E-3</v>
      </c>
      <c r="F74" s="524">
        <v>5.2479571636034582E-3</v>
      </c>
      <c r="G74" s="50">
        <f t="shared" si="77"/>
        <v>7.9289552217385803E-3</v>
      </c>
      <c r="H74" s="50">
        <f t="shared" si="77"/>
        <v>8.1580226154286135E-3</v>
      </c>
      <c r="I74" s="50">
        <f t="shared" si="77"/>
        <v>8.2768684054090845E-3</v>
      </c>
      <c r="J74" s="524">
        <f t="shared" si="77"/>
        <v>8.0420540561483237E-3</v>
      </c>
      <c r="K74" s="1598"/>
      <c r="L74" s="1598"/>
      <c r="M74" s="1598"/>
      <c r="N74" s="524" t="e">
        <f>SUM(K24:P24)/SUM(K$26:P$26)</f>
        <v>#DIV/0!</v>
      </c>
      <c r="O74" s="50" t="e">
        <f t="shared" si="79"/>
        <v>#DIV/0!</v>
      </c>
      <c r="P74" s="50" t="e">
        <f t="shared" si="79"/>
        <v>#DIV/0!</v>
      </c>
      <c r="Q74" s="50" t="e">
        <f t="shared" si="79"/>
        <v>#DIV/0!</v>
      </c>
      <c r="R74" s="524" t="e">
        <f t="shared" si="79"/>
        <v>#DIV/0!</v>
      </c>
      <c r="S74" s="50" t="e">
        <f t="shared" si="79"/>
        <v>#DIV/0!</v>
      </c>
      <c r="T74" s="50" t="e">
        <f t="shared" si="79"/>
        <v>#DIV/0!</v>
      </c>
      <c r="U74" s="50" t="e">
        <f t="shared" si="79"/>
        <v>#DIV/0!</v>
      </c>
      <c r="V74" s="422"/>
    </row>
    <row r="75" spans="2:22" ht="13.8">
      <c r="B75" s="51" t="str">
        <f t="shared" si="63"/>
        <v>Xilinx</v>
      </c>
      <c r="C75" s="50">
        <v>2.2228003286831912E-2</v>
      </c>
      <c r="D75" s="50">
        <v>2.2337426478277043E-2</v>
      </c>
      <c r="E75" s="50">
        <v>2.243200862393506E-2</v>
      </c>
      <c r="F75" s="524">
        <v>2.2290123261449076E-2</v>
      </c>
      <c r="G75" s="50">
        <f t="shared" si="77"/>
        <v>3.3453265291210732E-2</v>
      </c>
      <c r="H75" s="50">
        <f t="shared" si="77"/>
        <v>3.3962418150431585E-2</v>
      </c>
      <c r="I75" s="50">
        <f t="shared" si="77"/>
        <v>3.4255607290955357E-2</v>
      </c>
      <c r="J75" s="524">
        <f t="shared" si="77"/>
        <v>3.3865439913090947E-2</v>
      </c>
      <c r="K75" s="1598"/>
      <c r="L75" s="1598"/>
      <c r="M75" s="1598"/>
      <c r="N75" s="524" t="e">
        <f>SUM(K25:P25)/SUM(K$26:P$26)</f>
        <v>#DIV/0!</v>
      </c>
      <c r="O75" s="50" t="e">
        <f t="shared" si="79"/>
        <v>#DIV/0!</v>
      </c>
      <c r="P75" s="50" t="e">
        <f t="shared" si="79"/>
        <v>#DIV/0!</v>
      </c>
      <c r="Q75" s="50" t="e">
        <f t="shared" si="79"/>
        <v>#DIV/0!</v>
      </c>
      <c r="R75" s="524" t="e">
        <f t="shared" si="79"/>
        <v>#DIV/0!</v>
      </c>
      <c r="S75" s="50" t="e">
        <f t="shared" si="79"/>
        <v>#DIV/0!</v>
      </c>
      <c r="T75" s="50" t="e">
        <f t="shared" si="79"/>
        <v>#DIV/0!</v>
      </c>
      <c r="U75" s="50" t="e">
        <f t="shared" si="79"/>
        <v>#DIV/0!</v>
      </c>
      <c r="V75" s="422"/>
    </row>
    <row r="76" spans="2:22" ht="13.8">
      <c r="B76" s="51" t="str">
        <f t="shared" si="63"/>
        <v>Total</v>
      </c>
      <c r="C76" s="50">
        <v>0.45144300577944629</v>
      </c>
      <c r="D76" s="50">
        <v>0.44966347665938389</v>
      </c>
      <c r="E76" s="50">
        <v>0.45096172629637549</v>
      </c>
      <c r="F76" s="524">
        <v>0.45412246788452526</v>
      </c>
      <c r="G76" s="50">
        <f>SUM(G60:G71)</f>
        <v>0.60987997521288517</v>
      </c>
      <c r="H76" s="50">
        <f>SUM(H60:H71)</f>
        <v>0.62545422643694271</v>
      </c>
      <c r="I76" s="50">
        <f>SUM(I60:I71)</f>
        <v>0.637688780524437</v>
      </c>
      <c r="J76" s="524">
        <f>SUM(G26:J26)/SUM(G$26:J$26)</f>
        <v>1</v>
      </c>
      <c r="K76" s="1598"/>
      <c r="L76" s="1598"/>
      <c r="M76" s="1598"/>
      <c r="N76" s="524" t="e">
        <f t="shared" ref="N76:T76" si="80">SUM(N58:N75)</f>
        <v>#DIV/0!</v>
      </c>
      <c r="O76" s="50" t="e">
        <f t="shared" si="80"/>
        <v>#DIV/0!</v>
      </c>
      <c r="P76" s="50" t="e">
        <f t="shared" si="80"/>
        <v>#DIV/0!</v>
      </c>
      <c r="Q76" s="50" t="e">
        <f t="shared" si="80"/>
        <v>#DIV/0!</v>
      </c>
      <c r="R76" s="524" t="e">
        <f t="shared" si="80"/>
        <v>#DIV/0!</v>
      </c>
      <c r="S76" s="50" t="e">
        <f t="shared" si="80"/>
        <v>#DIV/0!</v>
      </c>
      <c r="T76" s="50" t="e">
        <f t="shared" si="80"/>
        <v>#DIV/0!</v>
      </c>
      <c r="U76" s="50" t="e">
        <f t="shared" ref="U76" si="81">SUM(U58:U75)</f>
        <v>#DIV/0!</v>
      </c>
      <c r="V76" s="422"/>
    </row>
    <row r="77" spans="2:22" ht="13.8">
      <c r="B77" s="51"/>
      <c r="C77" s="51"/>
      <c r="D77" s="51"/>
      <c r="E77" s="51"/>
      <c r="F77" s="51"/>
      <c r="G77" s="51"/>
      <c r="H77" s="51"/>
      <c r="I77" s="51"/>
      <c r="J77" s="51"/>
      <c r="K77" s="51"/>
      <c r="L77" s="51"/>
      <c r="M77" s="51"/>
      <c r="N77" s="51"/>
      <c r="O77" s="51"/>
      <c r="P77" s="51"/>
      <c r="Q77" s="51"/>
      <c r="R77" s="51"/>
      <c r="S77" s="51"/>
      <c r="T77" s="51"/>
      <c r="U77" s="51"/>
      <c r="V77" s="51"/>
    </row>
    <row r="78" spans="2:22" ht="13.8">
      <c r="B78" s="51"/>
      <c r="C78" s="51"/>
      <c r="D78" s="51"/>
      <c r="E78" s="51"/>
      <c r="F78" s="51"/>
      <c r="G78" s="51"/>
      <c r="H78" s="51"/>
      <c r="I78" s="51"/>
      <c r="J78" s="51"/>
      <c r="K78" s="51"/>
      <c r="L78" s="51"/>
      <c r="M78" s="51"/>
      <c r="N78" s="51"/>
      <c r="O78" s="51"/>
      <c r="P78" s="51"/>
      <c r="Q78" s="51"/>
      <c r="R78" s="51"/>
      <c r="S78" s="51"/>
      <c r="T78" s="51"/>
      <c r="U78" s="51"/>
      <c r="V78" s="51"/>
    </row>
    <row r="80" spans="2:22">
      <c r="B80" t="s">
        <v>478</v>
      </c>
    </row>
    <row r="81" spans="2:16" ht="13.8">
      <c r="B81" s="945" t="s">
        <v>60</v>
      </c>
      <c r="C81" s="947">
        <v>2017</v>
      </c>
      <c r="D81" s="947">
        <v>2018</v>
      </c>
      <c r="E81" s="947" t="s">
        <v>477</v>
      </c>
      <c r="F81" s="947">
        <v>2019</v>
      </c>
    </row>
    <row r="82" spans="2:16" ht="13.8">
      <c r="B82" s="392" t="s">
        <v>325</v>
      </c>
      <c r="C82" s="946">
        <f>G15/F15-1</f>
        <v>0.15530864197530869</v>
      </c>
      <c r="D82" s="946">
        <f>K15/J15-1</f>
        <v>-1</v>
      </c>
      <c r="E82" s="946">
        <f t="shared" ref="E82:E89" si="82">AVERAGE(C82:D82)</f>
        <v>-0.42234567901234565</v>
      </c>
      <c r="F82" s="946" t="e">
        <f>O15/N15-1</f>
        <v>#DIV/0!</v>
      </c>
    </row>
    <row r="83" spans="2:16" ht="13.8">
      <c r="B83" s="392" t="s">
        <v>344</v>
      </c>
      <c r="C83" s="946">
        <f>G18/F18-1</f>
        <v>0.22421052631578964</v>
      </c>
      <c r="D83" s="946">
        <f>K18/J18-1</f>
        <v>-1</v>
      </c>
      <c r="E83" s="946">
        <f t="shared" si="82"/>
        <v>-0.38789473684210518</v>
      </c>
      <c r="F83" s="946" t="e">
        <f>O18/N18-1</f>
        <v>#DIV/0!</v>
      </c>
    </row>
    <row r="84" spans="2:16" ht="13.8">
      <c r="B84" s="392" t="s">
        <v>327</v>
      </c>
      <c r="C84" s="946">
        <f>G19/F19-1</f>
        <v>1.4325744308231192E-2</v>
      </c>
      <c r="D84" s="946">
        <f>K19/J19-1</f>
        <v>-1</v>
      </c>
      <c r="E84" s="946">
        <f t="shared" si="82"/>
        <v>-0.4928371278458844</v>
      </c>
      <c r="F84" s="946" t="e">
        <f>O19/N19-1</f>
        <v>#DIV/0!</v>
      </c>
    </row>
    <row r="85" spans="2:16" ht="13.8">
      <c r="B85" s="392" t="s">
        <v>329</v>
      </c>
      <c r="C85" s="946">
        <f>G20/F20-1</f>
        <v>5.4845735027223341E-2</v>
      </c>
      <c r="D85" s="946">
        <f>K20/J20-1</f>
        <v>-1</v>
      </c>
      <c r="E85" s="946">
        <f t="shared" si="82"/>
        <v>-0.47257713248638833</v>
      </c>
      <c r="F85" s="946" t="e">
        <f>O20/N20-1</f>
        <v>#DIV/0!</v>
      </c>
    </row>
    <row r="86" spans="2:16" ht="13.8">
      <c r="B86" s="392" t="s">
        <v>345</v>
      </c>
      <c r="C86" s="946">
        <f>G23/F23-1</f>
        <v>-0.16333333333333333</v>
      </c>
      <c r="D86" s="946">
        <f>K23/J23-1</f>
        <v>-1</v>
      </c>
      <c r="E86" s="946">
        <f t="shared" si="82"/>
        <v>-0.58166666666666667</v>
      </c>
      <c r="F86" s="946" t="e">
        <f>O23/N23-1</f>
        <v>#DIV/0!</v>
      </c>
    </row>
    <row r="87" spans="2:16" ht="13.8">
      <c r="B87" s="392" t="s">
        <v>330</v>
      </c>
      <c r="C87" s="946">
        <f>G24/F24-1</f>
        <v>2.715714285714288E-2</v>
      </c>
      <c r="D87" s="946">
        <f>K24/J24-1</f>
        <v>-1</v>
      </c>
      <c r="E87" s="946">
        <f t="shared" si="82"/>
        <v>-0.48642142857142856</v>
      </c>
      <c r="F87" s="946" t="e">
        <f>O24/N24-1</f>
        <v>#DIV/0!</v>
      </c>
    </row>
    <row r="88" spans="2:16" ht="13.8">
      <c r="B88" s="392" t="s">
        <v>333</v>
      </c>
      <c r="C88" s="946">
        <f t="shared" ref="C88:C89" si="83">G25/F25-1</f>
        <v>4.0017064846416428E-2</v>
      </c>
      <c r="D88" s="946">
        <f t="shared" ref="D88:D89" si="84">K25/J25-1</f>
        <v>-1</v>
      </c>
      <c r="E88" s="946">
        <f t="shared" si="82"/>
        <v>-0.47999146757679179</v>
      </c>
      <c r="F88" s="946" t="e">
        <f t="shared" ref="F88" si="85">O25/N25-1</f>
        <v>#DIV/0!</v>
      </c>
    </row>
    <row r="89" spans="2:16" ht="13.8">
      <c r="B89" s="948" t="s">
        <v>19</v>
      </c>
      <c r="C89" s="949">
        <f t="shared" si="83"/>
        <v>-6.7093326816046073E-2</v>
      </c>
      <c r="D89" s="949">
        <f t="shared" si="84"/>
        <v>-1</v>
      </c>
      <c r="E89" s="949">
        <f t="shared" si="82"/>
        <v>-0.53354666340802304</v>
      </c>
      <c r="F89" s="949" t="e">
        <f>(SUM(O17:O25)+#REF!+O15)/(#REF!+N15+SUM(N17:P25))-1</f>
        <v>#REF!</v>
      </c>
    </row>
    <row r="90" spans="2:16" ht="13.8">
      <c r="P90" s="50"/>
    </row>
    <row r="91" spans="2:16" ht="13.8">
      <c r="P91" s="50"/>
    </row>
    <row r="92" spans="2:16" ht="13.8">
      <c r="P92" s="50"/>
    </row>
    <row r="93" spans="2:16" ht="13.8">
      <c r="P93" s="50"/>
    </row>
    <row r="94" spans="2:16" ht="13.8">
      <c r="P94" s="50"/>
    </row>
    <row r="95" spans="2:16" ht="13.8">
      <c r="P95" s="50"/>
    </row>
    <row r="96" spans="2:16" ht="13.8">
      <c r="P96" s="50"/>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K426"/>
  <sheetViews>
    <sheetView showGridLines="0" zoomScale="70" zoomScaleNormal="70" zoomScalePageLayoutView="70" workbookViewId="0"/>
  </sheetViews>
  <sheetFormatPr defaultColWidth="8.6640625" defaultRowHeight="15.6"/>
  <cols>
    <col min="1" max="1" width="4.44140625" style="45" customWidth="1"/>
    <col min="2" max="2" width="23.33203125" style="124" customWidth="1"/>
    <col min="3" max="6" width="12.21875" style="45" customWidth="1"/>
    <col min="7" max="7" width="13.6640625" style="45" customWidth="1"/>
    <col min="8" max="8" width="14" style="45" customWidth="1"/>
    <col min="9" max="18" width="11.21875" style="45" customWidth="1"/>
    <col min="19" max="19" width="9.44140625" style="45" customWidth="1"/>
    <col min="20" max="20" width="10" style="45" customWidth="1"/>
    <col min="21" max="21" width="9.44140625" style="45" customWidth="1"/>
    <col min="22" max="24" width="10" style="45" customWidth="1"/>
    <col min="25" max="27" width="12.33203125" style="45" customWidth="1"/>
    <col min="28" max="34" width="12.21875" style="45" customWidth="1"/>
    <col min="35" max="35" width="15.44140625" style="1499" customWidth="1"/>
    <col min="36" max="36" width="13.33203125" style="1499" customWidth="1"/>
    <col min="37" max="37" width="10.6640625" style="45" customWidth="1"/>
    <col min="38" max="38" width="11.44140625" style="45" customWidth="1"/>
    <col min="39" max="41" width="10.6640625" style="45" customWidth="1"/>
    <col min="42" max="42" width="18.44140625" style="45" customWidth="1"/>
    <col min="43" max="43" width="10.6640625" style="45" customWidth="1"/>
    <col min="44" max="16384" width="8.6640625" style="45"/>
  </cols>
  <sheetData>
    <row r="1" spans="2:19" ht="19.95" customHeight="1">
      <c r="B1" s="136" t="str">
        <f>Introduction!$B$1</f>
        <v xml:space="preserve">Vendor Survey Results through Q4 2021 </v>
      </c>
    </row>
    <row r="2" spans="2:19">
      <c r="B2" s="388" t="str">
        <f>Introduction!$B$2</f>
        <v>Sample template as of March 2022</v>
      </c>
    </row>
    <row r="3" spans="2:19" ht="17.399999999999999">
      <c r="B3" s="1886" t="s">
        <v>200</v>
      </c>
    </row>
    <row r="9" spans="2:19" ht="17.399999999999999">
      <c r="B9" s="1027" t="s">
        <v>201</v>
      </c>
      <c r="S9" s="1027"/>
    </row>
    <row r="29" ht="12.75" customHeight="1"/>
    <row r="35" spans="2:36" ht="16.2" thickBot="1">
      <c r="Q35" s="60"/>
      <c r="R35" s="14"/>
      <c r="AG35" s="60"/>
      <c r="AH35" s="14"/>
    </row>
    <row r="36" spans="2:36" ht="15" customHeight="1" thickBot="1">
      <c r="B36" s="657"/>
      <c r="C36" s="1065" t="s">
        <v>202</v>
      </c>
      <c r="D36" s="631"/>
      <c r="E36" s="631"/>
      <c r="F36" s="631"/>
      <c r="G36" s="631"/>
      <c r="H36" s="631"/>
      <c r="I36" s="631"/>
      <c r="J36" s="631"/>
      <c r="K36" s="631"/>
      <c r="L36" s="631"/>
      <c r="M36" s="631"/>
      <c r="N36" s="631"/>
      <c r="O36" s="631"/>
      <c r="P36" s="631"/>
      <c r="Q36" s="1855" t="s">
        <v>500</v>
      </c>
      <c r="R36" s="1856"/>
      <c r="S36" s="1064" t="s">
        <v>203</v>
      </c>
      <c r="T36" s="631"/>
      <c r="U36" s="631"/>
      <c r="V36" s="631"/>
      <c r="W36" s="631"/>
      <c r="X36" s="631"/>
      <c r="Y36" s="631"/>
      <c r="Z36" s="631"/>
      <c r="AA36" s="631"/>
      <c r="AB36" s="631"/>
      <c r="AC36" s="631"/>
      <c r="AD36" s="631"/>
      <c r="AE36" s="631"/>
      <c r="AF36" s="631"/>
      <c r="AG36" s="1855" t="s">
        <v>500</v>
      </c>
      <c r="AH36" s="1856"/>
    </row>
    <row r="37" spans="2:36">
      <c r="B37" s="658" t="s">
        <v>204</v>
      </c>
      <c r="C37" s="464" t="s">
        <v>130</v>
      </c>
      <c r="D37" s="577" t="s">
        <v>131</v>
      </c>
      <c r="E37" s="127" t="s">
        <v>132</v>
      </c>
      <c r="F37" s="465" t="s">
        <v>133</v>
      </c>
      <c r="G37" s="464" t="s">
        <v>134</v>
      </c>
      <c r="H37" s="577" t="s">
        <v>135</v>
      </c>
      <c r="I37" s="464" t="s">
        <v>136</v>
      </c>
      <c r="J37" s="465" t="s">
        <v>137</v>
      </c>
      <c r="K37" s="464" t="s">
        <v>138</v>
      </c>
      <c r="L37" s="577" t="s">
        <v>139</v>
      </c>
      <c r="M37" s="464" t="s">
        <v>140</v>
      </c>
      <c r="N37" s="465" t="s">
        <v>141</v>
      </c>
      <c r="O37" s="464" t="s">
        <v>142</v>
      </c>
      <c r="P37" s="577" t="s">
        <v>143</v>
      </c>
      <c r="Q37" s="1533" t="s">
        <v>621</v>
      </c>
      <c r="R37" s="1534" t="s">
        <v>622</v>
      </c>
      <c r="S37" s="1063" t="s">
        <v>130</v>
      </c>
      <c r="T37" s="654" t="s">
        <v>131</v>
      </c>
      <c r="U37" s="655" t="s">
        <v>132</v>
      </c>
      <c r="V37" s="656" t="s">
        <v>133</v>
      </c>
      <c r="W37" s="653" t="str">
        <f>G37</f>
        <v>1Q 18</v>
      </c>
      <c r="X37" s="464" t="str">
        <f>H37</f>
        <v>2Q 18</v>
      </c>
      <c r="Y37" s="653" t="str">
        <f>I37</f>
        <v>3Q 18</v>
      </c>
      <c r="Z37" s="656" t="str">
        <f>J37</f>
        <v>4Q 18</v>
      </c>
      <c r="AA37" s="653" t="s">
        <v>138</v>
      </c>
      <c r="AB37" s="464" t="s">
        <v>139</v>
      </c>
      <c r="AC37" s="653" t="str">
        <f>M37</f>
        <v>3Q 19</v>
      </c>
      <c r="AD37" s="656" t="str">
        <f>N37</f>
        <v>4Q 19</v>
      </c>
      <c r="AE37" s="653" t="s">
        <v>142</v>
      </c>
      <c r="AF37" s="464" t="s">
        <v>143</v>
      </c>
      <c r="AG37" s="1536" t="s">
        <v>621</v>
      </c>
      <c r="AH37" s="1537" t="s">
        <v>622</v>
      </c>
    </row>
    <row r="38" spans="2:36">
      <c r="B38" s="129" t="s">
        <v>205</v>
      </c>
      <c r="C38" s="566">
        <f>C75</f>
        <v>21657860</v>
      </c>
      <c r="D38" s="582">
        <f>D75</f>
        <v>22892583</v>
      </c>
      <c r="E38" s="130">
        <f t="shared" ref="E38:V38" si="0">E75</f>
        <v>21327035.899999999</v>
      </c>
      <c r="F38" s="468">
        <f t="shared" si="0"/>
        <v>21721792.109999999</v>
      </c>
      <c r="G38" s="566">
        <f>G75</f>
        <v>0</v>
      </c>
      <c r="H38" s="582">
        <f>H75</f>
        <v>0</v>
      </c>
      <c r="I38" s="582">
        <f t="shared" ref="I38:J38" si="1">I75</f>
        <v>0</v>
      </c>
      <c r="J38" s="468">
        <f t="shared" si="1"/>
        <v>0</v>
      </c>
      <c r="K38" s="566">
        <f>K75</f>
        <v>0</v>
      </c>
      <c r="L38" s="582">
        <f>L75</f>
        <v>0</v>
      </c>
      <c r="M38" s="582">
        <f t="shared" ref="M38:P38" si="2">M75</f>
        <v>0</v>
      </c>
      <c r="N38" s="468">
        <f t="shared" si="2"/>
        <v>0</v>
      </c>
      <c r="O38" s="566">
        <f t="shared" si="2"/>
        <v>0</v>
      </c>
      <c r="P38" s="582">
        <f t="shared" si="2"/>
        <v>0</v>
      </c>
      <c r="Q38" s="582">
        <f t="shared" ref="Q38:R38" si="3">Q75</f>
        <v>0</v>
      </c>
      <c r="R38" s="468">
        <f t="shared" si="3"/>
        <v>0</v>
      </c>
      <c r="S38" s="1253">
        <f>S75</f>
        <v>1300.7910523334783</v>
      </c>
      <c r="T38" s="1254">
        <f>T75</f>
        <v>1391.2499417030037</v>
      </c>
      <c r="U38" s="1255">
        <f t="shared" si="0"/>
        <v>1317.8591378258075</v>
      </c>
      <c r="V38" s="1256">
        <f t="shared" si="0"/>
        <v>1303.0409686859384</v>
      </c>
      <c r="W38" s="1255">
        <f>W75</f>
        <v>0</v>
      </c>
      <c r="X38" s="1257">
        <f>X75</f>
        <v>0</v>
      </c>
      <c r="Y38" s="1257">
        <f t="shared" ref="Y38:AF38" si="4">Y75</f>
        <v>0</v>
      </c>
      <c r="Z38" s="1256">
        <f t="shared" si="4"/>
        <v>0</v>
      </c>
      <c r="AA38" s="1255">
        <f t="shared" si="4"/>
        <v>0</v>
      </c>
      <c r="AB38" s="1257">
        <f t="shared" si="4"/>
        <v>0</v>
      </c>
      <c r="AC38" s="1257">
        <f t="shared" si="4"/>
        <v>0</v>
      </c>
      <c r="AD38" s="1256">
        <f t="shared" si="4"/>
        <v>0</v>
      </c>
      <c r="AE38" s="1255">
        <f t="shared" si="4"/>
        <v>0</v>
      </c>
      <c r="AF38" s="1257">
        <f t="shared" si="4"/>
        <v>0</v>
      </c>
      <c r="AG38" s="1257">
        <f t="shared" ref="AG38:AH38" si="5">AG75</f>
        <v>0</v>
      </c>
      <c r="AH38" s="1256">
        <f t="shared" si="5"/>
        <v>0</v>
      </c>
    </row>
    <row r="39" spans="2:36">
      <c r="B39" s="131"/>
      <c r="E39" s="132"/>
      <c r="F39" s="132"/>
      <c r="I39" s="132"/>
      <c r="J39" s="132"/>
      <c r="L39" s="132"/>
      <c r="M39" s="132"/>
      <c r="N39" s="132"/>
      <c r="O39" s="132"/>
      <c r="P39" s="132"/>
      <c r="Q39" s="132"/>
      <c r="R39" s="132"/>
      <c r="Y39" s="132"/>
      <c r="AC39" s="132"/>
      <c r="AE39" s="132"/>
      <c r="AF39" s="132"/>
      <c r="AG39" s="132"/>
      <c r="AH39" s="132"/>
    </row>
    <row r="40" spans="2:36" ht="15.45" customHeight="1">
      <c r="B40" s="367" t="s">
        <v>353</v>
      </c>
      <c r="C40" s="464" t="str">
        <f>C37</f>
        <v>1Q 17</v>
      </c>
      <c r="D40" s="577" t="str">
        <f>D37</f>
        <v>2Q 17</v>
      </c>
      <c r="E40" s="127" t="s">
        <v>132</v>
      </c>
      <c r="F40" s="467" t="s">
        <v>133</v>
      </c>
      <c r="G40" s="464" t="str">
        <f t="shared" ref="G40:N40" si="6">G37</f>
        <v>1Q 18</v>
      </c>
      <c r="H40" s="577" t="str">
        <f t="shared" si="6"/>
        <v>2Q 18</v>
      </c>
      <c r="I40" s="464" t="str">
        <f t="shared" si="6"/>
        <v>3Q 18</v>
      </c>
      <c r="J40" s="467" t="str">
        <f t="shared" si="6"/>
        <v>4Q 18</v>
      </c>
      <c r="K40" s="464" t="str">
        <f t="shared" si="6"/>
        <v>1Q 19</v>
      </c>
      <c r="L40" s="577" t="str">
        <f t="shared" si="6"/>
        <v>2Q 19</v>
      </c>
      <c r="M40" s="464" t="str">
        <f t="shared" si="6"/>
        <v>3Q 19</v>
      </c>
      <c r="N40" s="467" t="str">
        <f t="shared" si="6"/>
        <v>4Q 19</v>
      </c>
      <c r="O40" s="464" t="s">
        <v>142</v>
      </c>
      <c r="P40" s="577" t="s">
        <v>143</v>
      </c>
      <c r="Q40" s="1533" t="s">
        <v>621</v>
      </c>
      <c r="R40" s="1535" t="s">
        <v>622</v>
      </c>
      <c r="S40" s="464" t="str">
        <f>S37</f>
        <v>1Q 17</v>
      </c>
      <c r="T40" s="577" t="str">
        <f>T37</f>
        <v>2Q 17</v>
      </c>
      <c r="U40" s="127" t="s">
        <v>132</v>
      </c>
      <c r="V40" s="467" t="s">
        <v>133</v>
      </c>
      <c r="W40" s="464" t="str">
        <f t="shared" ref="W40:AD40" si="7">G37</f>
        <v>1Q 18</v>
      </c>
      <c r="X40" s="577" t="str">
        <f t="shared" si="7"/>
        <v>2Q 18</v>
      </c>
      <c r="Y40" s="464" t="str">
        <f t="shared" si="7"/>
        <v>3Q 18</v>
      </c>
      <c r="Z40" s="467" t="str">
        <f t="shared" si="7"/>
        <v>4Q 18</v>
      </c>
      <c r="AA40" s="464" t="str">
        <f t="shared" si="7"/>
        <v>1Q 19</v>
      </c>
      <c r="AB40" s="577" t="str">
        <f t="shared" si="7"/>
        <v>2Q 19</v>
      </c>
      <c r="AC40" s="464" t="str">
        <f t="shared" si="7"/>
        <v>3Q 19</v>
      </c>
      <c r="AD40" s="467" t="str">
        <f t="shared" si="7"/>
        <v>4Q 19</v>
      </c>
      <c r="AE40" s="464" t="s">
        <v>142</v>
      </c>
      <c r="AF40" s="577" t="s">
        <v>143</v>
      </c>
      <c r="AG40" s="1533" t="s">
        <v>621</v>
      </c>
      <c r="AH40" s="1535" t="s">
        <v>622</v>
      </c>
      <c r="AI40" s="45"/>
      <c r="AJ40" s="45"/>
    </row>
    <row r="41" spans="2:36">
      <c r="B41" s="129" t="s">
        <v>205</v>
      </c>
      <c r="C41" s="134"/>
      <c r="D41" s="575"/>
      <c r="E41" s="134"/>
      <c r="F41" s="466"/>
      <c r="G41" s="134">
        <f>G38/D38-1</f>
        <v>-1</v>
      </c>
      <c r="H41" s="575" t="e">
        <f>H38/G38-1</f>
        <v>#DIV/0!</v>
      </c>
      <c r="I41" s="575" t="e">
        <f>I38/H38-1</f>
        <v>#DIV/0!</v>
      </c>
      <c r="J41" s="466" t="e">
        <f>J38/I38-1</f>
        <v>#DIV/0!</v>
      </c>
      <c r="K41" s="134" t="e">
        <f>K38/H38-1</f>
        <v>#DIV/0!</v>
      </c>
      <c r="L41" s="575" t="e">
        <f>L38/K38-1</f>
        <v>#DIV/0!</v>
      </c>
      <c r="M41" s="575" t="e">
        <f>M38/J38-1</f>
        <v>#DIV/0!</v>
      </c>
      <c r="N41" s="466" t="e">
        <f>N38/M38-1</f>
        <v>#DIV/0!</v>
      </c>
      <c r="O41" s="134" t="e">
        <f>O38/L38-1</f>
        <v>#DIV/0!</v>
      </c>
      <c r="P41" s="575" t="e">
        <f>P38/O38-1</f>
        <v>#DIV/0!</v>
      </c>
      <c r="Q41" s="575" t="e">
        <f>Q38/P38-1</f>
        <v>#DIV/0!</v>
      </c>
      <c r="R41" s="466" t="e">
        <f>R38/Q38-1</f>
        <v>#DIV/0!</v>
      </c>
      <c r="S41" s="134"/>
      <c r="T41" s="575"/>
      <c r="U41" s="134"/>
      <c r="V41" s="466"/>
      <c r="W41" s="134">
        <f>W38/T38-1</f>
        <v>-1</v>
      </c>
      <c r="X41" s="575" t="e">
        <f>X38/W38-1</f>
        <v>#DIV/0!</v>
      </c>
      <c r="Y41" s="575" t="e">
        <f>Y38/X38-1</f>
        <v>#DIV/0!</v>
      </c>
      <c r="Z41" s="466" t="e">
        <f>Z38/Y38-1</f>
        <v>#DIV/0!</v>
      </c>
      <c r="AA41" s="134" t="e">
        <f>AA38/X38-1</f>
        <v>#DIV/0!</v>
      </c>
      <c r="AB41" s="575" t="e">
        <f>AB38/AA38-1</f>
        <v>#DIV/0!</v>
      </c>
      <c r="AC41" s="575" t="e">
        <f>AC38/Z38-1</f>
        <v>#DIV/0!</v>
      </c>
      <c r="AD41" s="466" t="e">
        <f>AD38/AC38-1</f>
        <v>#DIV/0!</v>
      </c>
      <c r="AE41" s="134" t="e">
        <f>AE38/AB38-1</f>
        <v>#DIV/0!</v>
      </c>
      <c r="AF41" s="575" t="e">
        <f>AF38/AE38-1</f>
        <v>#DIV/0!</v>
      </c>
      <c r="AG41" s="575" t="e">
        <f>AG38/AD38-1</f>
        <v>#DIV/0!</v>
      </c>
      <c r="AH41" s="466" t="e">
        <f>AH38/AG38-1</f>
        <v>#DIV/0!</v>
      </c>
    </row>
    <row r="42" spans="2:36">
      <c r="C42" s="133"/>
      <c r="D42" s="133"/>
      <c r="E42" s="133"/>
      <c r="F42" s="133"/>
      <c r="G42" s="126"/>
      <c r="H42" s="135"/>
      <c r="I42" s="126"/>
      <c r="J42" s="126"/>
      <c r="K42" s="126"/>
      <c r="L42" s="126"/>
      <c r="M42" s="126"/>
      <c r="N42" s="126"/>
      <c r="O42" s="126"/>
      <c r="P42" s="126"/>
      <c r="Q42" s="126"/>
      <c r="R42" s="126"/>
      <c r="S42" s="126"/>
      <c r="T42" s="126"/>
      <c r="U42" s="126"/>
      <c r="V42" s="126"/>
      <c r="W42" s="126"/>
      <c r="X42" s="126"/>
      <c r="Z42" s="125">
        <f>SUM(W38:Z38)</f>
        <v>0</v>
      </c>
      <c r="AD42" s="125">
        <f>SUM(AA38:AD38)</f>
        <v>0</v>
      </c>
      <c r="AH42" s="125">
        <f>SUM(AE38:AH38)</f>
        <v>0</v>
      </c>
    </row>
    <row r="43" spans="2:36">
      <c r="B43" s="136" t="s">
        <v>206</v>
      </c>
    </row>
    <row r="45" spans="2:36">
      <c r="V45" s="125">
        <f>SUM(S38:V38)</f>
        <v>5312.941100548228</v>
      </c>
    </row>
    <row r="46" spans="2:36">
      <c r="V46" s="1258" t="e">
        <f>V45/#REF!-1</f>
        <v>#REF!</v>
      </c>
    </row>
    <row r="66" spans="2:37" ht="16.2" thickBot="1">
      <c r="Q66" s="60"/>
      <c r="R66" s="14"/>
      <c r="AG66" s="60"/>
      <c r="AH66" s="14"/>
    </row>
    <row r="67" spans="2:37" ht="17.25" customHeight="1" thickBot="1">
      <c r="B67" s="634"/>
      <c r="C67" s="614"/>
      <c r="D67" s="631"/>
      <c r="E67" s="631"/>
      <c r="F67" s="631"/>
      <c r="G67" s="614" t="s">
        <v>202</v>
      </c>
      <c r="H67" s="631"/>
      <c r="I67" s="631"/>
      <c r="J67" s="631"/>
      <c r="K67" s="631"/>
      <c r="L67" s="631"/>
      <c r="M67" s="631"/>
      <c r="N67" s="631"/>
      <c r="O67" s="631"/>
      <c r="P67" s="631"/>
      <c r="Q67" s="1855" t="s">
        <v>500</v>
      </c>
      <c r="R67" s="1856"/>
      <c r="S67" s="615"/>
      <c r="T67" s="631"/>
      <c r="U67" s="631"/>
      <c r="V67" s="631"/>
      <c r="W67" s="631" t="s">
        <v>203</v>
      </c>
      <c r="X67" s="631"/>
      <c r="Y67" s="631"/>
      <c r="Z67" s="797"/>
      <c r="AA67" s="631"/>
      <c r="AB67" s="631"/>
      <c r="AC67" s="631"/>
      <c r="AD67" s="631"/>
      <c r="AE67" s="631"/>
      <c r="AF67" s="631"/>
      <c r="AG67" s="1855" t="s">
        <v>500</v>
      </c>
      <c r="AH67" s="1856"/>
    </row>
    <row r="68" spans="2:37" ht="17.25" customHeight="1" thickBot="1">
      <c r="B68" s="142" t="s">
        <v>154</v>
      </c>
      <c r="C68" s="464" t="str">
        <f t="shared" ref="C68:L68" si="8">C40</f>
        <v>1Q 17</v>
      </c>
      <c r="D68" s="577" t="str">
        <f t="shared" si="8"/>
        <v>2Q 17</v>
      </c>
      <c r="E68" s="127" t="str">
        <f t="shared" si="8"/>
        <v>3Q 17</v>
      </c>
      <c r="F68" s="465" t="str">
        <f t="shared" si="8"/>
        <v>4Q 17</v>
      </c>
      <c r="G68" s="127" t="str">
        <f t="shared" si="8"/>
        <v>1Q 18</v>
      </c>
      <c r="H68" s="128" t="str">
        <f t="shared" si="8"/>
        <v>2Q 18</v>
      </c>
      <c r="I68" s="127" t="str">
        <f t="shared" si="8"/>
        <v>3Q 18</v>
      </c>
      <c r="J68" s="465" t="str">
        <f t="shared" si="8"/>
        <v>4Q 18</v>
      </c>
      <c r="K68" s="127" t="str">
        <f t="shared" si="8"/>
        <v>1Q 19</v>
      </c>
      <c r="L68" s="128" t="str">
        <f t="shared" si="8"/>
        <v>2Q 19</v>
      </c>
      <c r="M68" s="127" t="s">
        <v>140</v>
      </c>
      <c r="N68" s="465" t="s">
        <v>141</v>
      </c>
      <c r="O68" s="127" t="s">
        <v>142</v>
      </c>
      <c r="P68" s="128" t="s">
        <v>143</v>
      </c>
      <c r="Q68" s="774" t="s">
        <v>621</v>
      </c>
      <c r="R68" s="774" t="s">
        <v>622</v>
      </c>
      <c r="S68" s="464" t="str">
        <f t="shared" ref="S68:AB68" si="9">S40</f>
        <v>1Q 17</v>
      </c>
      <c r="T68" s="577" t="str">
        <f t="shared" si="9"/>
        <v>2Q 17</v>
      </c>
      <c r="U68" s="127" t="str">
        <f t="shared" si="9"/>
        <v>3Q 17</v>
      </c>
      <c r="V68" s="467" t="str">
        <f t="shared" si="9"/>
        <v>4Q 17</v>
      </c>
      <c r="W68" s="127" t="str">
        <f t="shared" si="9"/>
        <v>1Q 18</v>
      </c>
      <c r="X68" s="128" t="str">
        <f t="shared" si="9"/>
        <v>2Q 18</v>
      </c>
      <c r="Y68" s="127" t="str">
        <f t="shared" si="9"/>
        <v>3Q 18</v>
      </c>
      <c r="Z68" s="467" t="str">
        <f t="shared" si="9"/>
        <v>4Q 18</v>
      </c>
      <c r="AA68" s="127" t="str">
        <f t="shared" si="9"/>
        <v>1Q 19</v>
      </c>
      <c r="AB68" s="577" t="str">
        <f t="shared" si="9"/>
        <v>2Q 19</v>
      </c>
      <c r="AC68" s="127" t="s">
        <v>140</v>
      </c>
      <c r="AD68" s="465" t="s">
        <v>141</v>
      </c>
      <c r="AE68" s="127" t="s">
        <v>142</v>
      </c>
      <c r="AF68" s="577" t="s">
        <v>143</v>
      </c>
      <c r="AG68" s="1538" t="s">
        <v>621</v>
      </c>
      <c r="AH68" s="1534" t="s">
        <v>622</v>
      </c>
      <c r="AI68" s="1500" t="s">
        <v>615</v>
      </c>
      <c r="AJ68" s="1500" t="s">
        <v>665</v>
      </c>
      <c r="AK68" s="736"/>
    </row>
    <row r="69" spans="2:37" ht="19.05" customHeight="1">
      <c r="B69" s="369" t="s">
        <v>207</v>
      </c>
      <c r="C69" s="561">
        <f>Ethernet!E72</f>
        <v>8694423</v>
      </c>
      <c r="D69" s="578">
        <f>Ethernet!F72</f>
        <v>9205972</v>
      </c>
      <c r="E69" s="581">
        <f>Ethernet!G72</f>
        <v>9281195</v>
      </c>
      <c r="F69" s="560">
        <f>Ethernet!H72</f>
        <v>9716775</v>
      </c>
      <c r="G69" s="561">
        <f>Ethernet!I72</f>
        <v>0</v>
      </c>
      <c r="H69" s="578">
        <f>Ethernet!J72</f>
        <v>0</v>
      </c>
      <c r="I69" s="581">
        <f>Ethernet!K72</f>
        <v>0</v>
      </c>
      <c r="J69" s="560">
        <f>Ethernet!L72</f>
        <v>0</v>
      </c>
      <c r="K69" s="561">
        <f>Ethernet!M72</f>
        <v>0</v>
      </c>
      <c r="L69" s="578">
        <f>Ethernet!N72</f>
        <v>0</v>
      </c>
      <c r="M69" s="578">
        <f>Ethernet!O72</f>
        <v>0</v>
      </c>
      <c r="N69" s="578">
        <f>Ethernet!P72</f>
        <v>0</v>
      </c>
      <c r="O69" s="561">
        <f>Ethernet!Q72</f>
        <v>0</v>
      </c>
      <c r="P69" s="578">
        <f>Ethernet!R72</f>
        <v>0</v>
      </c>
      <c r="Q69" s="578">
        <f>Ethernet!S72</f>
        <v>0</v>
      </c>
      <c r="R69" s="578">
        <f>Ethernet!T72</f>
        <v>0</v>
      </c>
      <c r="S69" s="1530">
        <f>Ethernet!E210/10^6</f>
        <v>715.72646777793818</v>
      </c>
      <c r="T69" s="1260">
        <f>Ethernet!F210/10^6</f>
        <v>820.4964072612147</v>
      </c>
      <c r="U69" s="1261">
        <f>Ethernet!G210/10^6</f>
        <v>809.58724973224446</v>
      </c>
      <c r="V69" s="1262">
        <f>Ethernet!H210/10^6</f>
        <v>814.82450627820526</v>
      </c>
      <c r="W69" s="1259">
        <f>Ethernet!I210/10^6</f>
        <v>0</v>
      </c>
      <c r="X69" s="1263">
        <f>Ethernet!J210/10^6</f>
        <v>0</v>
      </c>
      <c r="Y69" s="1264">
        <f>Ethernet!K210/10^6</f>
        <v>0</v>
      </c>
      <c r="Z69" s="1262">
        <f>Ethernet!L210/10^6</f>
        <v>0</v>
      </c>
      <c r="AA69" s="1259">
        <f>Ethernet!M210/10^6</f>
        <v>0</v>
      </c>
      <c r="AB69" s="1263">
        <f>Ethernet!N210/10^6</f>
        <v>0</v>
      </c>
      <c r="AC69" s="1264">
        <f>Ethernet!O210/10^6</f>
        <v>0</v>
      </c>
      <c r="AD69" s="1262">
        <f>Ethernet!P210/10^6</f>
        <v>0</v>
      </c>
      <c r="AE69" s="1259">
        <f>Ethernet!Q210/10^6</f>
        <v>0</v>
      </c>
      <c r="AF69" s="1263">
        <f>Ethernet!R210/10^6</f>
        <v>0</v>
      </c>
      <c r="AG69" s="1264">
        <f>Ethernet!S210/10^6</f>
        <v>0</v>
      </c>
      <c r="AH69" s="1262">
        <f>Ethernet!T210/10^6</f>
        <v>0</v>
      </c>
      <c r="AI69" s="1501" t="e">
        <f>SUM(AE69:AF69)/SUM(AA69:AB69)-1</f>
        <v>#DIV/0!</v>
      </c>
      <c r="AJ69" s="1501" t="e">
        <f>SUM(AE69:AH69)/SUM(AA69:AD69)-1</f>
        <v>#DIV/0!</v>
      </c>
      <c r="AK69" s="1502" t="str">
        <f t="shared" ref="AK69:AK75" si="10">B69</f>
        <v>Ethernet</v>
      </c>
    </row>
    <row r="70" spans="2:37" ht="19.05" customHeight="1">
      <c r="B70" s="369" t="s">
        <v>20</v>
      </c>
      <c r="C70" s="561">
        <f>'Fibre Channel'!D21</f>
        <v>2047411</v>
      </c>
      <c r="D70" s="579">
        <f>'Fibre Channel'!E21</f>
        <v>2198587</v>
      </c>
      <c r="E70" s="581">
        <f>'Fibre Channel'!F21</f>
        <v>2313255</v>
      </c>
      <c r="F70" s="562">
        <f>'Fibre Channel'!G21</f>
        <v>2263514</v>
      </c>
      <c r="G70" s="561">
        <f>'Fibre Channel'!H21</f>
        <v>0</v>
      </c>
      <c r="H70" s="579">
        <f>'Fibre Channel'!I21</f>
        <v>0</v>
      </c>
      <c r="I70" s="581">
        <f>'Fibre Channel'!J21</f>
        <v>0</v>
      </c>
      <c r="J70" s="562">
        <f>'Fibre Channel'!K21</f>
        <v>0</v>
      </c>
      <c r="K70" s="561">
        <f>'Fibre Channel'!L21</f>
        <v>0</v>
      </c>
      <c r="L70" s="579">
        <f>'Fibre Channel'!M21</f>
        <v>0</v>
      </c>
      <c r="M70" s="579">
        <f>'Fibre Channel'!N21</f>
        <v>0</v>
      </c>
      <c r="N70" s="579">
        <f>'Fibre Channel'!O21</f>
        <v>0</v>
      </c>
      <c r="O70" s="561">
        <f>'Fibre Channel'!P21</f>
        <v>0</v>
      </c>
      <c r="P70" s="579">
        <f>'Fibre Channel'!Q21</f>
        <v>0</v>
      </c>
      <c r="Q70" s="579">
        <f>'Fibre Channel'!R21</f>
        <v>0</v>
      </c>
      <c r="R70" s="579">
        <f>'Fibre Channel'!S21</f>
        <v>0</v>
      </c>
      <c r="S70" s="1530">
        <f>'Fibre Channel'!D55/10^6</f>
        <v>56.739276800113608</v>
      </c>
      <c r="T70" s="1265">
        <f>'Fibre Channel'!E55/10^6</f>
        <v>62.871894432037813</v>
      </c>
      <c r="U70" s="1261">
        <f>'Fibre Channel'!F55/10^6</f>
        <v>63.370640999999942</v>
      </c>
      <c r="V70" s="1262">
        <f>'Fibre Channel'!G55/10^6</f>
        <v>63.396205999999985</v>
      </c>
      <c r="W70" s="1259">
        <f>'Fibre Channel'!H55/10^6</f>
        <v>0</v>
      </c>
      <c r="X70" s="1261">
        <f>'Fibre Channel'!I55/10^6</f>
        <v>0</v>
      </c>
      <c r="Y70" s="1264">
        <f>'Fibre Channel'!J55/10^6</f>
        <v>0</v>
      </c>
      <c r="Z70" s="1262">
        <f>'Fibre Channel'!K55/10^6</f>
        <v>0</v>
      </c>
      <c r="AA70" s="1259">
        <f>'Fibre Channel'!L55/10^6</f>
        <v>0</v>
      </c>
      <c r="AB70" s="1261">
        <f>'Fibre Channel'!M55/10^6</f>
        <v>0</v>
      </c>
      <c r="AC70" s="1264">
        <f>'Fibre Channel'!N55/10^6</f>
        <v>0</v>
      </c>
      <c r="AD70" s="1262">
        <f>'Fibre Channel'!O55/10^6</f>
        <v>0</v>
      </c>
      <c r="AE70" s="1259">
        <f>'Fibre Channel'!P55/10^6</f>
        <v>0</v>
      </c>
      <c r="AF70" s="1261">
        <f>'Fibre Channel'!Q55/10^6</f>
        <v>0</v>
      </c>
      <c r="AG70" s="1264">
        <f>'Fibre Channel'!R55/10^6</f>
        <v>0</v>
      </c>
      <c r="AH70" s="1262">
        <f>'Fibre Channel'!S55/10^6</f>
        <v>0</v>
      </c>
      <c r="AI70" s="1501" t="e">
        <f t="shared" ref="AI70:AI75" si="11">SUM(AE70:AF70)/SUM(AA70:AB70)-1</f>
        <v>#DIV/0!</v>
      </c>
      <c r="AJ70" s="1501" t="e">
        <f t="shared" ref="AJ70:AJ75" si="12">SUM(AE70:AH70)/SUM(AA70:AD70)-1</f>
        <v>#DIV/0!</v>
      </c>
      <c r="AK70" s="1502" t="str">
        <f t="shared" si="10"/>
        <v>Fibre Channel</v>
      </c>
    </row>
    <row r="71" spans="2:37" ht="19.05" customHeight="1">
      <c r="B71" s="664" t="s">
        <v>21</v>
      </c>
      <c r="C71" s="563">
        <f>'Optical Interconnects'!C21</f>
        <v>808145</v>
      </c>
      <c r="D71" s="580">
        <f>'Optical Interconnects'!D21</f>
        <v>1036749</v>
      </c>
      <c r="E71" s="567">
        <f>'Optical Interconnects'!E21</f>
        <v>1157243</v>
      </c>
      <c r="F71" s="564">
        <f>'Optical Interconnects'!F21</f>
        <v>1155211</v>
      </c>
      <c r="G71" s="563">
        <f>'Optical Interconnects'!G21</f>
        <v>0</v>
      </c>
      <c r="H71" s="580">
        <f>'Optical Interconnects'!H21</f>
        <v>0</v>
      </c>
      <c r="I71" s="567">
        <f>'Optical Interconnects'!I21</f>
        <v>0</v>
      </c>
      <c r="J71" s="564">
        <f>'Optical Interconnects'!J21</f>
        <v>0</v>
      </c>
      <c r="K71" s="563">
        <f>'Optical Interconnects'!K21</f>
        <v>0</v>
      </c>
      <c r="L71" s="580">
        <f>'Optical Interconnects'!L21</f>
        <v>0</v>
      </c>
      <c r="M71" s="580">
        <f>'Optical Interconnects'!M21</f>
        <v>0</v>
      </c>
      <c r="N71" s="580">
        <f>'Optical Interconnects'!N21</f>
        <v>0</v>
      </c>
      <c r="O71" s="563">
        <f>'Optical Interconnects'!O21</f>
        <v>0</v>
      </c>
      <c r="P71" s="580">
        <f>'Optical Interconnects'!P21</f>
        <v>0</v>
      </c>
      <c r="Q71" s="580">
        <f>'Optical Interconnects'!Q21</f>
        <v>0</v>
      </c>
      <c r="R71" s="580">
        <f>'Optical Interconnects'!R21</f>
        <v>0</v>
      </c>
      <c r="S71" s="1531">
        <f>'Optical Interconnects'!C53/10^6</f>
        <v>63.957993999999999</v>
      </c>
      <c r="T71" s="1254">
        <f>'Optical Interconnects'!D53/10^6</f>
        <v>62.745559</v>
      </c>
      <c r="U71" s="1255">
        <f>'Optical Interconnects'!E53/10^6</f>
        <v>64.137828949999971</v>
      </c>
      <c r="V71" s="1267">
        <f>'Optical Interconnects'!F53/10^6</f>
        <v>62.059159623799992</v>
      </c>
      <c r="W71" s="1266">
        <f>'Optical Interconnects'!G53/10^6</f>
        <v>0</v>
      </c>
      <c r="X71" s="1255">
        <f>'Optical Interconnects'!H53/10^6</f>
        <v>0</v>
      </c>
      <c r="Y71" s="1253">
        <f>'Optical Interconnects'!I53/10^6</f>
        <v>0</v>
      </c>
      <c r="Z71" s="1267">
        <f>'Optical Interconnects'!J53/10^6</f>
        <v>0</v>
      </c>
      <c r="AA71" s="1266">
        <f>'Optical Interconnects'!K53/10^6</f>
        <v>0</v>
      </c>
      <c r="AB71" s="1255">
        <f>'Optical Interconnects'!L53/10^6</f>
        <v>0</v>
      </c>
      <c r="AC71" s="1253">
        <f>'Optical Interconnects'!M53/10^6</f>
        <v>0</v>
      </c>
      <c r="AD71" s="1267">
        <f>'Optical Interconnects'!N53/10^6</f>
        <v>0</v>
      </c>
      <c r="AE71" s="1266">
        <f>'Optical Interconnects'!O53/10^6</f>
        <v>0</v>
      </c>
      <c r="AF71" s="1255">
        <f>'Optical Interconnects'!P53/10^6</f>
        <v>0</v>
      </c>
      <c r="AG71" s="1253">
        <f>'Optical Interconnects'!Q53/10^6</f>
        <v>0</v>
      </c>
      <c r="AH71" s="1267">
        <f>'Optical Interconnects'!R53/10^6</f>
        <v>0</v>
      </c>
      <c r="AI71" s="1501" t="e">
        <f t="shared" si="11"/>
        <v>#DIV/0!</v>
      </c>
      <c r="AJ71" s="1501" t="e">
        <f t="shared" si="12"/>
        <v>#DIV/0!</v>
      </c>
      <c r="AK71" s="1502" t="str">
        <f t="shared" si="10"/>
        <v>Optical Interconnects</v>
      </c>
    </row>
    <row r="72" spans="2:37" ht="19.05" customHeight="1">
      <c r="B72" s="369" t="s">
        <v>23</v>
      </c>
      <c r="C72" s="561">
        <f>'CWDM and DWDM'!E26</f>
        <v>251522</v>
      </c>
      <c r="D72" s="579">
        <f>'CWDM and DWDM'!F26</f>
        <v>250556</v>
      </c>
      <c r="E72" s="581">
        <f>'CWDM and DWDM'!G26</f>
        <v>201065</v>
      </c>
      <c r="F72" s="562">
        <f>'CWDM and DWDM'!H26</f>
        <v>197612</v>
      </c>
      <c r="G72" s="561">
        <f>'CWDM and DWDM'!I26</f>
        <v>0</v>
      </c>
      <c r="H72" s="579">
        <f>'CWDM and DWDM'!J26</f>
        <v>0</v>
      </c>
      <c r="I72" s="581">
        <f>'CWDM and DWDM'!K26</f>
        <v>0</v>
      </c>
      <c r="J72" s="562">
        <f>'CWDM and DWDM'!L26</f>
        <v>0</v>
      </c>
      <c r="K72" s="561">
        <f>'CWDM and DWDM'!M26</f>
        <v>0</v>
      </c>
      <c r="L72" s="579">
        <f>'CWDM and DWDM'!N26</f>
        <v>0</v>
      </c>
      <c r="M72" s="579">
        <f>'CWDM and DWDM'!O26</f>
        <v>0</v>
      </c>
      <c r="N72" s="579">
        <f>'CWDM and DWDM'!P26</f>
        <v>0</v>
      </c>
      <c r="O72" s="561">
        <f>'CWDM and DWDM'!Q26</f>
        <v>0</v>
      </c>
      <c r="P72" s="579">
        <f>'CWDM and DWDM'!R26</f>
        <v>0</v>
      </c>
      <c r="Q72" s="579">
        <f>'CWDM and DWDM'!S26</f>
        <v>0</v>
      </c>
      <c r="R72" s="579">
        <f>'CWDM and DWDM'!T26</f>
        <v>0</v>
      </c>
      <c r="S72" s="1530">
        <f>'CWDM and DWDM'!E70/10^6</f>
        <v>270.20488843130698</v>
      </c>
      <c r="T72" s="338">
        <f>'CWDM and DWDM'!F70/10^6</f>
        <v>256.6279579070993</v>
      </c>
      <c r="U72" s="338">
        <f>'CWDM and DWDM'!G70/10^6</f>
        <v>243.3572022531458</v>
      </c>
      <c r="V72" s="1262">
        <f>'CWDM and DWDM'!H70/10^6</f>
        <v>217.88631132471454</v>
      </c>
      <c r="W72" s="1259">
        <f>'CWDM and DWDM'!I70/10^6</f>
        <v>0</v>
      </c>
      <c r="X72" s="338">
        <f>'CWDM and DWDM'!J70/10^6</f>
        <v>0</v>
      </c>
      <c r="Y72" s="338">
        <f>'CWDM and DWDM'!K70/10^6</f>
        <v>0</v>
      </c>
      <c r="Z72" s="1262">
        <f>'CWDM and DWDM'!L70/10^6</f>
        <v>0</v>
      </c>
      <c r="AA72" s="1259">
        <f>'CWDM and DWDM'!M70/10^6</f>
        <v>0</v>
      </c>
      <c r="AB72" s="338">
        <f>'CWDM and DWDM'!N70/10^6</f>
        <v>0</v>
      </c>
      <c r="AC72" s="338">
        <f>'CWDM and DWDM'!O70/10^6</f>
        <v>0</v>
      </c>
      <c r="AD72" s="1262">
        <f>'CWDM and DWDM'!P70/10^6</f>
        <v>0</v>
      </c>
      <c r="AE72" s="1259">
        <f>'CWDM and DWDM'!Q70/10^6</f>
        <v>0</v>
      </c>
      <c r="AF72" s="338">
        <f>'CWDM and DWDM'!R70/10^6</f>
        <v>0</v>
      </c>
      <c r="AG72" s="338">
        <f>'CWDM and DWDM'!S70/10^6</f>
        <v>0</v>
      </c>
      <c r="AH72" s="1262">
        <f>'CWDM and DWDM'!T70/10^6</f>
        <v>0</v>
      </c>
      <c r="AI72" s="1501" t="e">
        <f t="shared" si="11"/>
        <v>#DIV/0!</v>
      </c>
      <c r="AJ72" s="1501" t="e">
        <f t="shared" si="12"/>
        <v>#DIV/0!</v>
      </c>
      <c r="AK72" s="1502" t="str">
        <f t="shared" si="10"/>
        <v>CWDM / DWDM</v>
      </c>
    </row>
    <row r="73" spans="2:37" ht="19.05" customHeight="1">
      <c r="B73" s="369" t="s">
        <v>34</v>
      </c>
      <c r="C73" s="561">
        <f>Wireless!D34</f>
        <v>2773639</v>
      </c>
      <c r="D73" s="579">
        <f>Wireless!E34</f>
        <v>2940333</v>
      </c>
      <c r="E73" s="581">
        <f>Wireless!F34</f>
        <v>1743732</v>
      </c>
      <c r="F73" s="562">
        <f>Wireless!G34</f>
        <v>1750195</v>
      </c>
      <c r="G73" s="561">
        <f>Wireless!H34</f>
        <v>0</v>
      </c>
      <c r="H73" s="579">
        <f>Wireless!I34</f>
        <v>0</v>
      </c>
      <c r="I73" s="581">
        <f>Wireless!J34</f>
        <v>0</v>
      </c>
      <c r="J73" s="562">
        <f>Wireless!K34</f>
        <v>0</v>
      </c>
      <c r="K73" s="561">
        <f>Wireless!L34</f>
        <v>0</v>
      </c>
      <c r="L73" s="579">
        <f>Wireless!M34</f>
        <v>0</v>
      </c>
      <c r="M73" s="579">
        <f>Wireless!N34</f>
        <v>0</v>
      </c>
      <c r="N73" s="579">
        <f>Wireless!O34</f>
        <v>0</v>
      </c>
      <c r="O73" s="561">
        <f>Wireless!P34</f>
        <v>0</v>
      </c>
      <c r="P73" s="579">
        <f>Wireless!Q34</f>
        <v>0</v>
      </c>
      <c r="Q73" s="579">
        <f>Wireless!R34</f>
        <v>0</v>
      </c>
      <c r="R73" s="579">
        <f>Wireless!S34</f>
        <v>0</v>
      </c>
      <c r="S73" s="1530">
        <f>Wireless!D94/10^6</f>
        <v>49.844619000000002</v>
      </c>
      <c r="T73" s="1265">
        <f>Wireless!E94/10^6</f>
        <v>50.637574000000001</v>
      </c>
      <c r="U73" s="1261">
        <f>Wireless!F94/10^6</f>
        <v>30.340037777510627</v>
      </c>
      <c r="V73" s="1262">
        <f>Wireless!G94/10^6</f>
        <v>31.02065639624454</v>
      </c>
      <c r="W73" s="1259">
        <f>Wireless!H94/10^6</f>
        <v>0</v>
      </c>
      <c r="X73" s="1261">
        <f>Wireless!I94/10^6</f>
        <v>0</v>
      </c>
      <c r="Y73" s="1264">
        <f>Wireless!J94/10^6</f>
        <v>0</v>
      </c>
      <c r="Z73" s="1262">
        <f>Wireless!K94/10^6</f>
        <v>0</v>
      </c>
      <c r="AA73" s="1259">
        <f>Wireless!L94/10^6</f>
        <v>0</v>
      </c>
      <c r="AB73" s="1261">
        <f>Wireless!M94/10^6</f>
        <v>0</v>
      </c>
      <c r="AC73" s="1264">
        <f>Wireless!N94/10^6</f>
        <v>0</v>
      </c>
      <c r="AD73" s="1262">
        <f>Wireless!O94/10^6</f>
        <v>0</v>
      </c>
      <c r="AE73" s="1259">
        <f>Wireless!P94/10^6</f>
        <v>0</v>
      </c>
      <c r="AF73" s="1261">
        <f>Wireless!Q94/10^6</f>
        <v>0</v>
      </c>
      <c r="AG73" s="1264">
        <f>Wireless!R94/10^6</f>
        <v>0</v>
      </c>
      <c r="AH73" s="1262">
        <f>Wireless!S94/10^6</f>
        <v>0</v>
      </c>
      <c r="AI73" s="1501" t="e">
        <f t="shared" si="11"/>
        <v>#DIV/0!</v>
      </c>
      <c r="AJ73" s="1501" t="e">
        <f t="shared" si="12"/>
        <v>#DIV/0!</v>
      </c>
      <c r="AK73" s="1502" t="str">
        <f t="shared" si="10"/>
        <v>Wireless</v>
      </c>
    </row>
    <row r="74" spans="2:37" ht="19.05" customHeight="1">
      <c r="B74" s="369" t="s">
        <v>208</v>
      </c>
      <c r="C74" s="561">
        <f>FTTX!E24</f>
        <v>7082720</v>
      </c>
      <c r="D74" s="579">
        <f>FTTX!F24</f>
        <v>7260386</v>
      </c>
      <c r="E74" s="581">
        <f>FTTX!G24</f>
        <v>6630545.9000000004</v>
      </c>
      <c r="F74" s="562">
        <f>FTTX!H24</f>
        <v>6638485.1100000003</v>
      </c>
      <c r="G74" s="561">
        <f>FTTX!I24</f>
        <v>0</v>
      </c>
      <c r="H74" s="579">
        <f>FTTX!J24</f>
        <v>0</v>
      </c>
      <c r="I74" s="581">
        <f>FTTX!K24</f>
        <v>0</v>
      </c>
      <c r="J74" s="562">
        <f>FTTX!L24</f>
        <v>0</v>
      </c>
      <c r="K74" s="561">
        <f>FTTX!M24</f>
        <v>0</v>
      </c>
      <c r="L74" s="579">
        <f>FTTX!N24</f>
        <v>0</v>
      </c>
      <c r="M74" s="579">
        <f>FTTX!O24</f>
        <v>0</v>
      </c>
      <c r="N74" s="579">
        <f>FTTX!P24</f>
        <v>0</v>
      </c>
      <c r="O74" s="561">
        <f>FTTX!Q24</f>
        <v>0</v>
      </c>
      <c r="P74" s="579">
        <f>FTTX!R24</f>
        <v>0</v>
      </c>
      <c r="Q74" s="579">
        <f>FTTX!S24</f>
        <v>0</v>
      </c>
      <c r="R74" s="579">
        <f>FTTX!T24</f>
        <v>0</v>
      </c>
      <c r="S74" s="1530">
        <f>FTTX!E64/10^6</f>
        <v>144.31780632411963</v>
      </c>
      <c r="T74" s="1265">
        <f>FTTX!F64/10^6</f>
        <v>137.87054910265189</v>
      </c>
      <c r="U74" s="1261">
        <f>FTTX!G64/10^6</f>
        <v>107.06617811290673</v>
      </c>
      <c r="V74" s="1262">
        <f>FTTX!H64/10^6</f>
        <v>113.85412906297407</v>
      </c>
      <c r="W74" s="1259">
        <f>FTTX!I64/10^6</f>
        <v>0</v>
      </c>
      <c r="X74" s="1261">
        <f>FTTX!J64/10^6</f>
        <v>0</v>
      </c>
      <c r="Y74" s="1264">
        <f>FTTX!K64/10^6</f>
        <v>0</v>
      </c>
      <c r="Z74" s="1262">
        <f>FTTX!L64/10^6</f>
        <v>0</v>
      </c>
      <c r="AA74" s="1259">
        <f>FTTX!M64/10^6</f>
        <v>0</v>
      </c>
      <c r="AB74" s="1261">
        <f>FTTX!N64/10^6</f>
        <v>0</v>
      </c>
      <c r="AC74" s="1264">
        <f>FTTX!O64/10^6</f>
        <v>0</v>
      </c>
      <c r="AD74" s="1262">
        <f>FTTX!P64/10^6</f>
        <v>0</v>
      </c>
      <c r="AE74" s="1259">
        <f>FTTX!Q64/10^6</f>
        <v>0</v>
      </c>
      <c r="AF74" s="1261">
        <f>FTTX!R64/10^6</f>
        <v>0</v>
      </c>
      <c r="AG74" s="1264">
        <f>FTTX!S64/10^6</f>
        <v>0</v>
      </c>
      <c r="AH74" s="1262">
        <f>FTTX!T64/10^6</f>
        <v>0</v>
      </c>
      <c r="AI74" s="1501" t="e">
        <f t="shared" si="11"/>
        <v>#DIV/0!</v>
      </c>
      <c r="AJ74" s="1501" t="e">
        <f t="shared" si="12"/>
        <v>#DIV/0!</v>
      </c>
      <c r="AK74" s="1502" t="str">
        <f t="shared" si="10"/>
        <v>FTTx modules</v>
      </c>
    </row>
    <row r="75" spans="2:37" ht="19.05" customHeight="1">
      <c r="B75" s="147" t="s">
        <v>155</v>
      </c>
      <c r="C75" s="370">
        <f t="shared" ref="C75:Z75" si="13">SUM(C69:C74)</f>
        <v>21657860</v>
      </c>
      <c r="D75" s="148">
        <f t="shared" si="13"/>
        <v>22892583</v>
      </c>
      <c r="E75" s="370">
        <f t="shared" si="13"/>
        <v>21327035.899999999</v>
      </c>
      <c r="F75" s="472">
        <f t="shared" si="13"/>
        <v>21721792.109999999</v>
      </c>
      <c r="G75" s="370">
        <f t="shared" ref="G75:P75" si="14">SUM(G69:G74)</f>
        <v>0</v>
      </c>
      <c r="H75" s="148">
        <f t="shared" si="14"/>
        <v>0</v>
      </c>
      <c r="I75" s="370">
        <f t="shared" si="14"/>
        <v>0</v>
      </c>
      <c r="J75" s="472">
        <f t="shared" si="14"/>
        <v>0</v>
      </c>
      <c r="K75" s="370">
        <f t="shared" si="14"/>
        <v>0</v>
      </c>
      <c r="L75" s="148">
        <f t="shared" si="14"/>
        <v>0</v>
      </c>
      <c r="M75" s="370">
        <f t="shared" si="14"/>
        <v>0</v>
      </c>
      <c r="N75" s="472">
        <f t="shared" si="14"/>
        <v>0</v>
      </c>
      <c r="O75" s="370">
        <f t="shared" si="14"/>
        <v>0</v>
      </c>
      <c r="P75" s="148">
        <f t="shared" si="14"/>
        <v>0</v>
      </c>
      <c r="Q75" s="370">
        <f t="shared" ref="Q75:R75" si="15">SUM(Q69:Q74)</f>
        <v>0</v>
      </c>
      <c r="R75" s="472">
        <f t="shared" si="15"/>
        <v>0</v>
      </c>
      <c r="S75" s="1532">
        <f t="shared" si="13"/>
        <v>1300.7910523334783</v>
      </c>
      <c r="T75" s="576">
        <f t="shared" si="13"/>
        <v>1391.2499417030037</v>
      </c>
      <c r="U75" s="371">
        <f t="shared" si="13"/>
        <v>1317.8591378258075</v>
      </c>
      <c r="V75" s="469">
        <f t="shared" si="13"/>
        <v>1303.0409686859384</v>
      </c>
      <c r="W75" s="371">
        <f t="shared" si="13"/>
        <v>0</v>
      </c>
      <c r="X75" s="371">
        <f t="shared" si="13"/>
        <v>0</v>
      </c>
      <c r="Y75" s="565">
        <f t="shared" si="13"/>
        <v>0</v>
      </c>
      <c r="Z75" s="469">
        <f t="shared" si="13"/>
        <v>0</v>
      </c>
      <c r="AA75" s="371">
        <f>SUM(AA69:AA74)</f>
        <v>0</v>
      </c>
      <c r="AB75" s="371">
        <f t="shared" ref="AB75:AG75" si="16">SUM(AB69:AB74)</f>
        <v>0</v>
      </c>
      <c r="AC75" s="565">
        <f t="shared" si="16"/>
        <v>0</v>
      </c>
      <c r="AD75" s="469">
        <f>SUM(AD69:AD74)</f>
        <v>0</v>
      </c>
      <c r="AE75" s="371">
        <f>SUM(AE69:AE74)</f>
        <v>0</v>
      </c>
      <c r="AF75" s="371">
        <f t="shared" si="16"/>
        <v>0</v>
      </c>
      <c r="AG75" s="565">
        <f t="shared" si="16"/>
        <v>0</v>
      </c>
      <c r="AH75" s="469">
        <f>SUM(AH69:AH74)</f>
        <v>0</v>
      </c>
      <c r="AI75" s="1501" t="e">
        <f t="shared" si="11"/>
        <v>#DIV/0!</v>
      </c>
      <c r="AJ75" s="1501" t="e">
        <f t="shared" si="12"/>
        <v>#DIV/0!</v>
      </c>
      <c r="AK75" s="1502" t="str">
        <f t="shared" si="10"/>
        <v>TOTAL</v>
      </c>
    </row>
    <row r="76" spans="2:37">
      <c r="B76" s="137"/>
    </row>
    <row r="77" spans="2:37">
      <c r="B77" s="137"/>
      <c r="K77" s="125"/>
      <c r="L77" s="125"/>
      <c r="M77" s="125"/>
      <c r="N77" s="125"/>
      <c r="O77" s="125"/>
      <c r="P77" s="125"/>
      <c r="Q77" s="125"/>
      <c r="R77" s="125"/>
      <c r="S77" s="125"/>
      <c r="T77" s="125"/>
      <c r="U77" s="125"/>
      <c r="V77" s="125"/>
      <c r="W77" s="125"/>
      <c r="X77" s="125"/>
      <c r="Y77" s="125"/>
      <c r="Z77" s="125"/>
      <c r="AA77" s="125"/>
    </row>
    <row r="78" spans="2:37">
      <c r="B78" s="137"/>
      <c r="K78" s="139"/>
      <c r="L78" s="139"/>
      <c r="M78" s="139"/>
      <c r="N78" s="139"/>
      <c r="O78" s="139"/>
      <c r="P78" s="139"/>
      <c r="Q78" s="139"/>
      <c r="R78" s="139"/>
      <c r="S78" s="139"/>
      <c r="T78" s="139"/>
      <c r="U78" s="139"/>
      <c r="V78" s="139"/>
      <c r="W78" s="139"/>
      <c r="X78" s="139"/>
      <c r="Y78" s="139"/>
      <c r="Z78" s="139"/>
      <c r="AA78" s="139"/>
    </row>
    <row r="79" spans="2:37">
      <c r="B79" s="150" t="s">
        <v>207</v>
      </c>
      <c r="G79" s="138"/>
      <c r="H79" s="138"/>
    </row>
    <row r="80" spans="2:37">
      <c r="C80" s="140"/>
      <c r="D80" s="140"/>
      <c r="E80" s="140"/>
      <c r="F80" s="140"/>
    </row>
    <row r="81" spans="2:6">
      <c r="B81" s="45"/>
      <c r="C81" s="140"/>
      <c r="D81" s="140"/>
      <c r="E81" s="140"/>
      <c r="F81" s="140"/>
    </row>
    <row r="82" spans="2:6">
      <c r="B82" s="151"/>
      <c r="C82" s="140"/>
      <c r="D82" s="140"/>
      <c r="E82" s="140"/>
      <c r="F82" s="140"/>
    </row>
    <row r="83" spans="2:6">
      <c r="B83" s="151"/>
      <c r="C83" s="140"/>
      <c r="D83" s="140"/>
      <c r="E83" s="140"/>
      <c r="F83" s="140"/>
    </row>
    <row r="84" spans="2:6">
      <c r="B84" s="151"/>
      <c r="C84" s="140"/>
      <c r="D84" s="140"/>
      <c r="E84" s="140"/>
      <c r="F84" s="140"/>
    </row>
    <row r="85" spans="2:6">
      <c r="C85" s="140"/>
      <c r="D85" s="140"/>
      <c r="E85" s="140"/>
      <c r="F85" s="140"/>
    </row>
    <row r="86" spans="2:6">
      <c r="C86" s="140"/>
      <c r="D86" s="140"/>
      <c r="E86" s="140"/>
      <c r="F86" s="140"/>
    </row>
    <row r="87" spans="2:6">
      <c r="C87" s="140"/>
      <c r="D87" s="140"/>
      <c r="E87" s="140"/>
      <c r="F87" s="140"/>
    </row>
    <row r="88" spans="2:6">
      <c r="C88" s="140"/>
      <c r="D88" s="140"/>
      <c r="E88" s="140"/>
      <c r="F88" s="140"/>
    </row>
    <row r="89" spans="2:6">
      <c r="C89" s="140"/>
      <c r="D89" s="140"/>
      <c r="E89" s="140"/>
      <c r="F89" s="140"/>
    </row>
    <row r="90" spans="2:6">
      <c r="C90" s="140"/>
      <c r="D90" s="140"/>
      <c r="E90" s="140"/>
      <c r="F90" s="140"/>
    </row>
    <row r="91" spans="2:6">
      <c r="C91" s="140"/>
      <c r="D91" s="140"/>
      <c r="E91" s="140"/>
      <c r="F91" s="140"/>
    </row>
    <row r="92" spans="2:6">
      <c r="C92" s="140"/>
      <c r="D92" s="140"/>
      <c r="E92" s="140"/>
      <c r="F92" s="140"/>
    </row>
    <row r="93" spans="2:6">
      <c r="C93" s="140"/>
      <c r="D93" s="140"/>
      <c r="E93" s="140"/>
      <c r="F93" s="140"/>
    </row>
    <row r="94" spans="2:6">
      <c r="C94" s="140"/>
      <c r="D94" s="140"/>
      <c r="E94" s="140"/>
      <c r="F94" s="140"/>
    </row>
    <row r="95" spans="2:6">
      <c r="C95" s="140"/>
      <c r="D95" s="140"/>
      <c r="E95" s="140"/>
      <c r="F95" s="140"/>
    </row>
    <row r="96" spans="2:6">
      <c r="C96" s="140"/>
      <c r="D96" s="140"/>
      <c r="E96" s="140"/>
      <c r="F96" s="140"/>
    </row>
    <row r="97" spans="2:37">
      <c r="C97" s="140"/>
      <c r="D97" s="140"/>
      <c r="E97" s="140"/>
      <c r="F97" s="140"/>
    </row>
    <row r="98" spans="2:37">
      <c r="C98" s="140"/>
      <c r="D98" s="140"/>
      <c r="E98" s="140"/>
      <c r="F98" s="140"/>
    </row>
    <row r="99" spans="2:37" ht="13.2">
      <c r="C99" s="140"/>
      <c r="D99" s="140"/>
      <c r="E99" s="140"/>
      <c r="F99" s="140"/>
      <c r="AI99"/>
      <c r="AJ99"/>
      <c r="AK99"/>
    </row>
    <row r="100" spans="2:37" ht="15" thickBot="1">
      <c r="B100" s="795" t="str">
        <f>B79</f>
        <v>Ethernet</v>
      </c>
      <c r="C100" s="140"/>
      <c r="D100" s="140"/>
      <c r="E100" s="140"/>
      <c r="F100" s="140"/>
      <c r="G100" s="123"/>
      <c r="H100" s="123"/>
      <c r="Q100" s="60"/>
      <c r="R100" s="14"/>
      <c r="S100" s="795" t="str">
        <f>B100</f>
        <v>Ethernet</v>
      </c>
      <c r="AG100" s="60"/>
      <c r="AH100" s="14"/>
      <c r="AI100"/>
      <c r="AJ100"/>
      <c r="AK100"/>
    </row>
    <row r="101" spans="2:37" ht="18" customHeight="1" thickBot="1">
      <c r="B101" s="1858" t="s">
        <v>464</v>
      </c>
      <c r="C101" s="613"/>
      <c r="D101" s="632"/>
      <c r="E101" s="632"/>
      <c r="F101" s="632"/>
      <c r="G101" s="632" t="s">
        <v>209</v>
      </c>
      <c r="H101" s="632"/>
      <c r="I101" s="632"/>
      <c r="J101" s="632"/>
      <c r="K101" s="632"/>
      <c r="L101" s="632"/>
      <c r="M101" s="632"/>
      <c r="N101" s="632"/>
      <c r="O101" s="632"/>
      <c r="P101" s="632"/>
      <c r="Q101" s="1855" t="s">
        <v>500</v>
      </c>
      <c r="R101" s="1856"/>
      <c r="S101" s="612"/>
      <c r="T101" s="632"/>
      <c r="U101" s="632"/>
      <c r="V101" s="632"/>
      <c r="W101" s="632" t="s">
        <v>371</v>
      </c>
      <c r="X101" s="632"/>
      <c r="Y101" s="632"/>
      <c r="Z101" s="632"/>
      <c r="AA101" s="632"/>
      <c r="AB101" s="632"/>
      <c r="AC101" s="632"/>
      <c r="AD101" s="632"/>
      <c r="AE101" s="632"/>
      <c r="AF101" s="632"/>
      <c r="AG101" s="1855" t="s">
        <v>500</v>
      </c>
      <c r="AH101" s="1856"/>
      <c r="AI101"/>
      <c r="AJ101"/>
      <c r="AK101"/>
    </row>
    <row r="102" spans="2:37" ht="13.05" customHeight="1" thickBot="1">
      <c r="B102" s="1859"/>
      <c r="C102" s="446" t="str">
        <f t="shared" ref="C102:I102" si="17">C68</f>
        <v>1Q 17</v>
      </c>
      <c r="D102" s="378" t="str">
        <f t="shared" si="17"/>
        <v>2Q 17</v>
      </c>
      <c r="E102" s="378" t="str">
        <f t="shared" si="17"/>
        <v>3Q 17</v>
      </c>
      <c r="F102" s="447" t="str">
        <f t="shared" si="17"/>
        <v>4Q 17</v>
      </c>
      <c r="G102" s="446" t="str">
        <f t="shared" si="17"/>
        <v>1Q 18</v>
      </c>
      <c r="H102" s="378" t="str">
        <f t="shared" si="17"/>
        <v>2Q 18</v>
      </c>
      <c r="I102" s="378" t="str">
        <f t="shared" si="17"/>
        <v>3Q 18</v>
      </c>
      <c r="J102" s="447" t="str">
        <f>J$68</f>
        <v>4Q 18</v>
      </c>
      <c r="K102" s="446" t="str">
        <f t="shared" ref="K102:AB102" si="18">K$68</f>
        <v>1Q 19</v>
      </c>
      <c r="L102" s="378" t="str">
        <f t="shared" si="18"/>
        <v>2Q 19</v>
      </c>
      <c r="M102" s="378" t="s">
        <v>140</v>
      </c>
      <c r="N102" s="447" t="s">
        <v>141</v>
      </c>
      <c r="O102" s="446" t="s">
        <v>142</v>
      </c>
      <c r="P102" s="378" t="s">
        <v>143</v>
      </c>
      <c r="Q102" s="1539" t="s">
        <v>621</v>
      </c>
      <c r="R102" s="1540" t="s">
        <v>622</v>
      </c>
      <c r="S102" s="446" t="str">
        <f t="shared" si="18"/>
        <v>1Q 17</v>
      </c>
      <c r="T102" s="378" t="str">
        <f t="shared" si="18"/>
        <v>2Q 17</v>
      </c>
      <c r="U102" s="378" t="str">
        <f t="shared" si="18"/>
        <v>3Q 17</v>
      </c>
      <c r="V102" s="447" t="str">
        <f t="shared" si="18"/>
        <v>4Q 17</v>
      </c>
      <c r="W102" s="446" t="str">
        <f t="shared" si="18"/>
        <v>1Q 18</v>
      </c>
      <c r="X102" s="378" t="str">
        <f t="shared" si="18"/>
        <v>2Q 18</v>
      </c>
      <c r="Y102" s="378" t="str">
        <f t="shared" si="18"/>
        <v>3Q 18</v>
      </c>
      <c r="Z102" s="447" t="str">
        <f t="shared" si="18"/>
        <v>4Q 18</v>
      </c>
      <c r="AA102" s="446" t="str">
        <f t="shared" si="18"/>
        <v>1Q 19</v>
      </c>
      <c r="AB102" s="378" t="str">
        <f t="shared" si="18"/>
        <v>2Q 19</v>
      </c>
      <c r="AC102" s="378" t="s">
        <v>140</v>
      </c>
      <c r="AD102" s="447" t="s">
        <v>141</v>
      </c>
      <c r="AE102" s="446" t="s">
        <v>142</v>
      </c>
      <c r="AF102" s="378" t="s">
        <v>143</v>
      </c>
      <c r="AG102" s="1539" t="s">
        <v>621</v>
      </c>
      <c r="AH102" s="1540" t="s">
        <v>622</v>
      </c>
      <c r="AI102"/>
      <c r="AJ102"/>
      <c r="AK102"/>
    </row>
    <row r="103" spans="2:37" ht="13.2">
      <c r="B103" s="145" t="s">
        <v>481</v>
      </c>
      <c r="C103" s="146">
        <f>SUM(Ethernet!E9:E12)</f>
        <v>2708259</v>
      </c>
      <c r="D103" s="146">
        <f>SUM(Ethernet!F9:F12)</f>
        <v>2820980</v>
      </c>
      <c r="E103" s="146">
        <f>SUM(Ethernet!G9:G12)</f>
        <v>2999500</v>
      </c>
      <c r="F103" s="471">
        <f>SUM(Ethernet!H9:H12)</f>
        <v>3355467</v>
      </c>
      <c r="G103" s="146">
        <f>SUM(Ethernet!I9:I12)</f>
        <v>0</v>
      </c>
      <c r="H103" s="146">
        <f>SUM(Ethernet!J9:J12)</f>
        <v>0</v>
      </c>
      <c r="I103" s="146">
        <f>SUM(Ethernet!K9:K12)</f>
        <v>0</v>
      </c>
      <c r="J103" s="471">
        <f>SUM(Ethernet!L9:L12)</f>
        <v>0</v>
      </c>
      <c r="K103" s="146">
        <f>SUM(Ethernet!M9:M12)</f>
        <v>0</v>
      </c>
      <c r="L103" s="146">
        <f>SUM(Ethernet!N9:N12)</f>
        <v>0</v>
      </c>
      <c r="M103" s="146">
        <f>SUM(Ethernet!O9:O12)</f>
        <v>0</v>
      </c>
      <c r="N103" s="471">
        <f>SUM(Ethernet!P9:P12)</f>
        <v>0</v>
      </c>
      <c r="O103" s="146">
        <f>SUM(Ethernet!Q9:Q12)</f>
        <v>0</v>
      </c>
      <c r="P103" s="146">
        <f>SUM(Ethernet!R9:R12)</f>
        <v>0</v>
      </c>
      <c r="Q103" s="146">
        <f>SUM(Ethernet!S9:S12)</f>
        <v>0</v>
      </c>
      <c r="R103" s="471">
        <f>SUM(Ethernet!T9:T12)</f>
        <v>0</v>
      </c>
      <c r="S103" s="515">
        <f>SUM(Ethernet!E147:E150)/10^6</f>
        <v>33.297403659236629</v>
      </c>
      <c r="T103" s="153">
        <f>SUM(Ethernet!F147:F150)/10^6</f>
        <v>33.428760640543643</v>
      </c>
      <c r="U103" s="153">
        <f>SUM(Ethernet!G147:G150)/10^6</f>
        <v>28.923273631481926</v>
      </c>
      <c r="V103" s="516">
        <f>SUM(Ethernet!H147:H150)/10^6</f>
        <v>32.842078360689506</v>
      </c>
      <c r="W103" s="515">
        <f>SUM(Ethernet!I147:I150)/10^6</f>
        <v>0</v>
      </c>
      <c r="X103" s="153">
        <f>SUM(Ethernet!J147:J150)/10^6</f>
        <v>0</v>
      </c>
      <c r="Y103" s="153">
        <f>SUM(Ethernet!K147:K150)/10^6</f>
        <v>0</v>
      </c>
      <c r="Z103" s="516">
        <f>SUM(Ethernet!L147:L150)/10^6</f>
        <v>0</v>
      </c>
      <c r="AA103" s="515">
        <f>SUM(Ethernet!M147:M150)/10^6</f>
        <v>0</v>
      </c>
      <c r="AB103" s="153">
        <f>SUM(Ethernet!N147:N150)/10^6</f>
        <v>0</v>
      </c>
      <c r="AC103" s="153">
        <f>SUM(Ethernet!O147:O150)/10^6</f>
        <v>0</v>
      </c>
      <c r="AD103" s="516">
        <f>SUM(Ethernet!P147:P150)/10^6</f>
        <v>0</v>
      </c>
      <c r="AE103" s="515">
        <f>SUM(Ethernet!Q147:Q150)/10^6</f>
        <v>0</v>
      </c>
      <c r="AF103" s="153">
        <f>SUM(Ethernet!R147:R150)/10^6</f>
        <v>0</v>
      </c>
      <c r="AG103" s="153">
        <f>SUM(Ethernet!S147:S150)/10^6</f>
        <v>0</v>
      </c>
      <c r="AH103" s="516">
        <f>SUM(Ethernet!T147:T150)/10^6</f>
        <v>0</v>
      </c>
      <c r="AI103"/>
      <c r="AJ103"/>
      <c r="AK103"/>
    </row>
    <row r="104" spans="2:37" ht="13.2">
      <c r="B104" s="154" t="s">
        <v>482</v>
      </c>
      <c r="C104" s="146">
        <f>SUM(Ethernet!E13:E25)</f>
        <v>4547929</v>
      </c>
      <c r="D104" s="146">
        <f>SUM(Ethernet!F13:F25)</f>
        <v>4533103</v>
      </c>
      <c r="E104" s="146">
        <f>SUM(Ethernet!G13:G25)</f>
        <v>4414331</v>
      </c>
      <c r="F104" s="471">
        <f>SUM(Ethernet!H13:H25)</f>
        <v>4291414</v>
      </c>
      <c r="G104" s="146">
        <f>SUM(Ethernet!I13:I25)</f>
        <v>0</v>
      </c>
      <c r="H104" s="146">
        <f>SUM(Ethernet!J13:J25)</f>
        <v>0</v>
      </c>
      <c r="I104" s="146">
        <f>SUM(Ethernet!K13:K25)</f>
        <v>0</v>
      </c>
      <c r="J104" s="471">
        <f>SUM(Ethernet!L13:L25)</f>
        <v>0</v>
      </c>
      <c r="K104" s="146">
        <f>SUM(Ethernet!M13:M25)</f>
        <v>0</v>
      </c>
      <c r="L104" s="146">
        <f>SUM(Ethernet!N13:N25)</f>
        <v>0</v>
      </c>
      <c r="M104" s="146">
        <f>SUM(Ethernet!O13:O25)</f>
        <v>0</v>
      </c>
      <c r="N104" s="471">
        <f>SUM(Ethernet!P13:P25)</f>
        <v>0</v>
      </c>
      <c r="O104" s="146">
        <f>SUM(Ethernet!Q13:Q25)</f>
        <v>0</v>
      </c>
      <c r="P104" s="146">
        <f>SUM(Ethernet!R13:R25)</f>
        <v>0</v>
      </c>
      <c r="Q104" s="146">
        <f>SUM(Ethernet!S13:S25)</f>
        <v>0</v>
      </c>
      <c r="R104" s="471">
        <f>SUM(Ethernet!T13:T25)</f>
        <v>0</v>
      </c>
      <c r="S104" s="517">
        <f>SUM(Ethernet!E151:E163)/10^6</f>
        <v>140.41921813236263</v>
      </c>
      <c r="T104" s="155">
        <f>SUM(Ethernet!F151:F163)/10^6</f>
        <v>130.09519990940558</v>
      </c>
      <c r="U104" s="155">
        <f>SUM(Ethernet!G151:G163)/10^6</f>
        <v>112.15860396815739</v>
      </c>
      <c r="V104" s="516">
        <f>SUM(Ethernet!H151:H163)/10^6</f>
        <v>113.66451400697137</v>
      </c>
      <c r="W104" s="517">
        <f>SUM(Ethernet!I151:I163)/10^6</f>
        <v>0</v>
      </c>
      <c r="X104" s="153">
        <f>SUM(Ethernet!J151:J163)/10^6</f>
        <v>0</v>
      </c>
      <c r="Y104" s="155">
        <f>SUM(Ethernet!K151:K163)/10^6</f>
        <v>0</v>
      </c>
      <c r="Z104" s="516">
        <f>SUM(Ethernet!L151:L163)/10^6</f>
        <v>0</v>
      </c>
      <c r="AA104" s="517">
        <f>SUM(Ethernet!M151:M163)/10^6</f>
        <v>0</v>
      </c>
      <c r="AB104" s="155">
        <f>SUM(Ethernet!N151:N163)/10^6</f>
        <v>0</v>
      </c>
      <c r="AC104" s="155">
        <f>SUM(Ethernet!O151:O163)/10^6</f>
        <v>0</v>
      </c>
      <c r="AD104" s="516">
        <f>SUM(Ethernet!P151:P163)/10^6</f>
        <v>0</v>
      </c>
      <c r="AE104" s="517">
        <f>SUM(Ethernet!Q151:Q163)/10^6</f>
        <v>0</v>
      </c>
      <c r="AF104" s="155">
        <f>SUM(Ethernet!R151:R163)/10^6</f>
        <v>0</v>
      </c>
      <c r="AG104" s="155">
        <f>SUM(Ethernet!S151:S163)/10^6</f>
        <v>0</v>
      </c>
      <c r="AH104" s="516">
        <f>SUM(Ethernet!T151:T163)/10^6</f>
        <v>0</v>
      </c>
      <c r="AI104"/>
      <c r="AJ104"/>
      <c r="AK104"/>
    </row>
    <row r="105" spans="2:37" ht="13.2">
      <c r="B105" s="145" t="s">
        <v>483</v>
      </c>
      <c r="C105" s="146">
        <f>SUM(Ethernet!E26:E28)</f>
        <v>9900</v>
      </c>
      <c r="D105" s="146">
        <f>SUM(Ethernet!F26:F28)</f>
        <v>18069</v>
      </c>
      <c r="E105" s="146">
        <f>SUM(Ethernet!G26:G28)</f>
        <v>19413</v>
      </c>
      <c r="F105" s="471">
        <f>SUM(Ethernet!H26:H28)</f>
        <v>65945</v>
      </c>
      <c r="G105" s="146">
        <f>SUM(Ethernet!I26:I28)</f>
        <v>0</v>
      </c>
      <c r="H105" s="146">
        <f>SUM(Ethernet!J26:J28)</f>
        <v>0</v>
      </c>
      <c r="I105" s="146">
        <f>SUM(Ethernet!K26:K28)</f>
        <v>0</v>
      </c>
      <c r="J105" s="471">
        <f>SUM(Ethernet!L26:L28)</f>
        <v>0</v>
      </c>
      <c r="K105" s="146">
        <f>SUM(Ethernet!M26:M28)</f>
        <v>0</v>
      </c>
      <c r="L105" s="146">
        <f>SUM(Ethernet!N26:N28)</f>
        <v>0</v>
      </c>
      <c r="M105" s="146">
        <f>SUM(Ethernet!O26:O28)</f>
        <v>0</v>
      </c>
      <c r="N105" s="471">
        <f>SUM(Ethernet!P26:P28)</f>
        <v>0</v>
      </c>
      <c r="O105" s="146">
        <f>SUM(Ethernet!Q26:Q28)</f>
        <v>0</v>
      </c>
      <c r="P105" s="146">
        <f>SUM(Ethernet!R26:R28)</f>
        <v>0</v>
      </c>
      <c r="Q105" s="146">
        <f>SUM(Ethernet!S26:S28)</f>
        <v>0</v>
      </c>
      <c r="R105" s="471">
        <f>SUM(Ethernet!T26:T28)</f>
        <v>0</v>
      </c>
      <c r="S105" s="517">
        <f>SUM(Ethernet!E164:E166)/10^6</f>
        <v>2.194248</v>
      </c>
      <c r="T105" s="155">
        <f>SUM(Ethernet!F164:F166)/10^6</f>
        <v>2.95851</v>
      </c>
      <c r="U105" s="155">
        <f>SUM(Ethernet!G164:G166)/10^6</f>
        <v>3.1857310440410345</v>
      </c>
      <c r="V105" s="516">
        <f>SUM(Ethernet!H164:H166)/10^6</f>
        <v>10.848586262873194</v>
      </c>
      <c r="W105" s="517">
        <f>SUM(Ethernet!I164:I166)/10^6</f>
        <v>0</v>
      </c>
      <c r="X105" s="153">
        <f>SUM(Ethernet!J164:J166)/10^6</f>
        <v>0</v>
      </c>
      <c r="Y105" s="155">
        <f>SUM(Ethernet!K164:K166)/10^6</f>
        <v>0</v>
      </c>
      <c r="Z105" s="516">
        <f>SUM(Ethernet!L164:L166)/10^6</f>
        <v>0</v>
      </c>
      <c r="AA105" s="517">
        <f>SUM(Ethernet!M164:M166)/10^6</f>
        <v>0</v>
      </c>
      <c r="AB105" s="155">
        <f>SUM(Ethernet!N164:N166)/10^6</f>
        <v>0</v>
      </c>
      <c r="AC105" s="155">
        <f>SUM(Ethernet!O164:O166)/10^6</f>
        <v>0</v>
      </c>
      <c r="AD105" s="516">
        <f>SUM(Ethernet!P164:P166)/10^6</f>
        <v>0</v>
      </c>
      <c r="AE105" s="517">
        <f>SUM(Ethernet!Q164:Q166)/10^6</f>
        <v>0</v>
      </c>
      <c r="AF105" s="155">
        <f>SUM(Ethernet!R164:R166)/10^6</f>
        <v>0</v>
      </c>
      <c r="AG105" s="155">
        <f>SUM(Ethernet!S164:S166)/10^6</f>
        <v>0</v>
      </c>
      <c r="AH105" s="516">
        <f>SUM(Ethernet!T164:T166)/10^6</f>
        <v>0</v>
      </c>
      <c r="AI105"/>
      <c r="AJ105"/>
      <c r="AK105"/>
    </row>
    <row r="106" spans="2:37" ht="13.2">
      <c r="B106" s="154" t="s">
        <v>484</v>
      </c>
      <c r="C106" s="146">
        <f>SUM(Ethernet!E29:E40)</f>
        <v>868271</v>
      </c>
      <c r="D106" s="146">
        <f>SUM(Ethernet!F29:F40)</f>
        <v>1055050</v>
      </c>
      <c r="E106" s="146">
        <f>SUM(Ethernet!G29:G40)</f>
        <v>974213</v>
      </c>
      <c r="F106" s="471">
        <f>SUM(Ethernet!H29:H40)</f>
        <v>966626</v>
      </c>
      <c r="G106" s="146">
        <f>SUM(Ethernet!I29:I40)</f>
        <v>0</v>
      </c>
      <c r="H106" s="146">
        <f>SUM(Ethernet!J29:J40)</f>
        <v>0</v>
      </c>
      <c r="I106" s="146">
        <f>SUM(Ethernet!K29:K40)</f>
        <v>0</v>
      </c>
      <c r="J106" s="471">
        <f>SUM(Ethernet!L29:L40)</f>
        <v>0</v>
      </c>
      <c r="K106" s="146">
        <f>SUM(Ethernet!M29:M40)</f>
        <v>0</v>
      </c>
      <c r="L106" s="146">
        <f>SUM(Ethernet!N29:N40)</f>
        <v>0</v>
      </c>
      <c r="M106" s="146">
        <f>SUM(Ethernet!O29:O40)</f>
        <v>0</v>
      </c>
      <c r="N106" s="471">
        <f>SUM(Ethernet!P29:P40)</f>
        <v>0</v>
      </c>
      <c r="O106" s="146">
        <f>SUM(Ethernet!Q29:Q40)</f>
        <v>0</v>
      </c>
      <c r="P106" s="146">
        <f>SUM(Ethernet!R29:R40)</f>
        <v>0</v>
      </c>
      <c r="Q106" s="146">
        <f>SUM(Ethernet!S29:S40)</f>
        <v>0</v>
      </c>
      <c r="R106" s="471">
        <f>SUM(Ethernet!T29:T40)</f>
        <v>0</v>
      </c>
      <c r="S106" s="517">
        <f>SUM(Ethernet!E167:E178)/10^6</f>
        <v>188.62716260855163</v>
      </c>
      <c r="T106" s="155">
        <f>SUM(Ethernet!F167:F178)/10^6</f>
        <v>220.74000209289019</v>
      </c>
      <c r="U106" s="155">
        <f>SUM(Ethernet!G167:G178)/10^6</f>
        <v>213.7126016833657</v>
      </c>
      <c r="V106" s="516">
        <f>SUM(Ethernet!H167:H178)/10^6</f>
        <v>196.25707449739417</v>
      </c>
      <c r="W106" s="517">
        <f>SUM(Ethernet!I167:I178)/10^6</f>
        <v>0</v>
      </c>
      <c r="X106" s="153">
        <f>SUM(Ethernet!J167:J178)/10^6</f>
        <v>0</v>
      </c>
      <c r="Y106" s="155">
        <f>SUM(Ethernet!K167:K178)/10^6</f>
        <v>0</v>
      </c>
      <c r="Z106" s="516">
        <f>SUM(Ethernet!L167:L178)/10^6</f>
        <v>0</v>
      </c>
      <c r="AA106" s="517">
        <f>SUM(Ethernet!M167:M178)/10^6</f>
        <v>0</v>
      </c>
      <c r="AB106" s="155">
        <f>SUM(Ethernet!N167:N178)/10^6</f>
        <v>0</v>
      </c>
      <c r="AC106" s="155">
        <f>SUM(Ethernet!O167:O178)/10^6</f>
        <v>0</v>
      </c>
      <c r="AD106" s="516">
        <f>SUM(Ethernet!P167:P178)/10^6</f>
        <v>0</v>
      </c>
      <c r="AE106" s="517">
        <f>SUM(Ethernet!Q167:Q178)/10^6</f>
        <v>0</v>
      </c>
      <c r="AF106" s="155">
        <f>SUM(Ethernet!R167:R178)/10^6</f>
        <v>0</v>
      </c>
      <c r="AG106" s="155">
        <f>SUM(Ethernet!S167:S178)/10^6</f>
        <v>0</v>
      </c>
      <c r="AH106" s="516">
        <f>SUM(Ethernet!T167:T178)/10^6</f>
        <v>0</v>
      </c>
      <c r="AI106"/>
      <c r="AJ106"/>
      <c r="AK106"/>
    </row>
    <row r="107" spans="2:37" ht="13.2">
      <c r="B107" s="145" t="s">
        <v>485</v>
      </c>
      <c r="C107" s="146">
        <f>SUM(Ethernet!E41:E43)</f>
        <v>0</v>
      </c>
      <c r="D107" s="146">
        <f>SUM(Ethernet!F41:F43)</f>
        <v>0</v>
      </c>
      <c r="E107" s="146">
        <f>SUM(Ethernet!G41:G43)</f>
        <v>0</v>
      </c>
      <c r="F107" s="471">
        <f>SUM(Ethernet!H41:H43)</f>
        <v>0</v>
      </c>
      <c r="G107" s="146">
        <f>SUM(Ethernet!I41:I43)</f>
        <v>0</v>
      </c>
      <c r="H107" s="146">
        <f>SUM(Ethernet!J41:J43)</f>
        <v>0</v>
      </c>
      <c r="I107" s="146">
        <f>SUM(Ethernet!K41:K43)</f>
        <v>0</v>
      </c>
      <c r="J107" s="471">
        <f>SUM(Ethernet!L41:L43)</f>
        <v>0</v>
      </c>
      <c r="K107" s="146">
        <f>SUM(Ethernet!M41:M43)</f>
        <v>0</v>
      </c>
      <c r="L107" s="146">
        <f>SUM(Ethernet!N41:N43)</f>
        <v>0</v>
      </c>
      <c r="M107" s="146">
        <f>SUM(Ethernet!O41:O43)</f>
        <v>0</v>
      </c>
      <c r="N107" s="471">
        <f>SUM(Ethernet!P41:P43)</f>
        <v>0</v>
      </c>
      <c r="O107" s="146">
        <f>SUM(Ethernet!Q41:Q43)</f>
        <v>0</v>
      </c>
      <c r="P107" s="146">
        <f>SUM(Ethernet!R41:R43)</f>
        <v>0</v>
      </c>
      <c r="Q107" s="146">
        <f>SUM(Ethernet!S41:S43)</f>
        <v>0</v>
      </c>
      <c r="R107" s="471">
        <f>SUM(Ethernet!T41:T43)</f>
        <v>0</v>
      </c>
      <c r="S107" s="517">
        <f>SUM(Ethernet!E179:E181)/10^6</f>
        <v>0</v>
      </c>
      <c r="T107" s="155">
        <f>SUM(Ethernet!F179:F181)/10^6</f>
        <v>0</v>
      </c>
      <c r="U107" s="155">
        <f>SUM(Ethernet!G179:G181)/10^6</f>
        <v>0</v>
      </c>
      <c r="V107" s="516">
        <f>SUM(Ethernet!H179:H181)/10^6</f>
        <v>0</v>
      </c>
      <c r="W107" s="517">
        <f>SUM(Ethernet!I179:I181)/10^6</f>
        <v>0</v>
      </c>
      <c r="X107" s="153">
        <f>SUM(Ethernet!J179:J181)/10^6</f>
        <v>0</v>
      </c>
      <c r="Y107" s="155">
        <f>SUM(Ethernet!K179:K181)/10^6</f>
        <v>0</v>
      </c>
      <c r="Z107" s="516">
        <f>SUM(Ethernet!L179:L181)/10^6</f>
        <v>0</v>
      </c>
      <c r="AA107" s="517">
        <f>SUM(Ethernet!M179:M181)/10^6</f>
        <v>0</v>
      </c>
      <c r="AB107" s="155">
        <f>SUM(Ethernet!N179:N181)/10^6</f>
        <v>0</v>
      </c>
      <c r="AC107" s="155">
        <f>SUM(Ethernet!O179:O181)/10^6</f>
        <v>0</v>
      </c>
      <c r="AD107" s="516">
        <f>SUM(Ethernet!P179:P181)/10^6</f>
        <v>0</v>
      </c>
      <c r="AE107" s="517">
        <f>SUM(Ethernet!Q179:Q181)/10^6</f>
        <v>0</v>
      </c>
      <c r="AF107" s="155">
        <f>SUM(Ethernet!R179:R181)/10^6</f>
        <v>0</v>
      </c>
      <c r="AG107" s="155">
        <f>SUM(Ethernet!S179:S181)/10^6</f>
        <v>0</v>
      </c>
      <c r="AH107" s="516">
        <f>SUM(Ethernet!T179:T181)/10^6</f>
        <v>0</v>
      </c>
      <c r="AI107"/>
      <c r="AJ107"/>
      <c r="AK107"/>
    </row>
    <row r="108" spans="2:37" ht="13.2">
      <c r="B108" s="154" t="s">
        <v>486</v>
      </c>
      <c r="C108" s="146">
        <f>SUM(Ethernet!E44:E60)</f>
        <v>453136</v>
      </c>
      <c r="D108" s="146">
        <f>SUM(Ethernet!F44:F60)</f>
        <v>672293</v>
      </c>
      <c r="E108" s="146">
        <f>SUM(Ethernet!G44:G60)</f>
        <v>773738</v>
      </c>
      <c r="F108" s="471">
        <f>SUM(Ethernet!H44:H60)</f>
        <v>937323</v>
      </c>
      <c r="G108" s="146">
        <f>SUM(Ethernet!I44:I60)</f>
        <v>0</v>
      </c>
      <c r="H108" s="146">
        <f>SUM(Ethernet!J44:J60)</f>
        <v>0</v>
      </c>
      <c r="I108" s="146">
        <f>SUM(Ethernet!K44:K60)</f>
        <v>0</v>
      </c>
      <c r="J108" s="471">
        <f>SUM(Ethernet!L44:L60)</f>
        <v>0</v>
      </c>
      <c r="K108" s="146">
        <f>SUM(Ethernet!M44:M60)</f>
        <v>0</v>
      </c>
      <c r="L108" s="146">
        <f>SUM(Ethernet!N44:N60)</f>
        <v>0</v>
      </c>
      <c r="M108" s="146">
        <f>SUM(Ethernet!O44:O60)</f>
        <v>0</v>
      </c>
      <c r="N108" s="471">
        <f>SUM(Ethernet!P44:P60)</f>
        <v>0</v>
      </c>
      <c r="O108" s="146">
        <f>SUM(Ethernet!Q44:Q60)</f>
        <v>0</v>
      </c>
      <c r="P108" s="146">
        <f>SUM(Ethernet!R44:R60)</f>
        <v>0</v>
      </c>
      <c r="Q108" s="146">
        <f>SUM(Ethernet!S44:S60)</f>
        <v>0</v>
      </c>
      <c r="R108" s="471">
        <f>SUM(Ethernet!T44:T60)</f>
        <v>0</v>
      </c>
      <c r="S108" s="517">
        <f>SUM(Ethernet!E182:E198)/10^6</f>
        <v>335.93431384868904</v>
      </c>
      <c r="T108" s="155">
        <f>SUM(Ethernet!F182:F198)/10^6</f>
        <v>418.56961418235812</v>
      </c>
      <c r="U108" s="155">
        <f>SUM(Ethernet!G182:G198)/10^6</f>
        <v>437.80703940519845</v>
      </c>
      <c r="V108" s="516">
        <f>SUM(Ethernet!H182:H198)/10^6</f>
        <v>447.41225315027708</v>
      </c>
      <c r="W108" s="517">
        <f>SUM(Ethernet!I182:I198)/10^6</f>
        <v>0</v>
      </c>
      <c r="X108" s="153">
        <f>SUM(Ethernet!J182:J198)/10^6</f>
        <v>0</v>
      </c>
      <c r="Y108" s="155">
        <f>SUM(Ethernet!K182:K198)/10^6</f>
        <v>0</v>
      </c>
      <c r="Z108" s="516">
        <f>SUM(Ethernet!L182:L198)/10^6</f>
        <v>0</v>
      </c>
      <c r="AA108" s="517">
        <f>SUM(Ethernet!M182:M198)/10^6</f>
        <v>0</v>
      </c>
      <c r="AB108" s="155">
        <f>SUM(Ethernet!N182:N198)/10^6</f>
        <v>0</v>
      </c>
      <c r="AC108" s="155">
        <f>SUM(Ethernet!O182:O198)/10^6</f>
        <v>0</v>
      </c>
      <c r="AD108" s="516">
        <f>SUM(Ethernet!P182:P198)/10^6</f>
        <v>0</v>
      </c>
      <c r="AE108" s="517">
        <f>SUM(Ethernet!Q182:Q198)/10^6</f>
        <v>0</v>
      </c>
      <c r="AF108" s="155">
        <f>SUM(Ethernet!R182:R198)/10^6</f>
        <v>0</v>
      </c>
      <c r="AG108" s="155">
        <f>SUM(Ethernet!S182:S198)/10^6</f>
        <v>0</v>
      </c>
      <c r="AH108" s="516">
        <f>SUM(Ethernet!T182:T198)/10^6</f>
        <v>0</v>
      </c>
      <c r="AI108"/>
      <c r="AJ108"/>
      <c r="AK108"/>
    </row>
    <row r="109" spans="2:37" ht="13.2">
      <c r="B109" s="145" t="s">
        <v>480</v>
      </c>
      <c r="C109" s="156">
        <f>SUM(Ethernet!E61:E70)</f>
        <v>0</v>
      </c>
      <c r="D109" s="156">
        <f>SUM(Ethernet!F61:F70)</f>
        <v>0</v>
      </c>
      <c r="E109" s="156">
        <f>SUM(Ethernet!G61:G70)</f>
        <v>0</v>
      </c>
      <c r="F109" s="490">
        <f>SUM(Ethernet!H61:H70)</f>
        <v>0</v>
      </c>
      <c r="G109" s="156">
        <f>SUM(Ethernet!I61:I70)</f>
        <v>0</v>
      </c>
      <c r="H109" s="156">
        <f>SUM(Ethernet!J61:J70)</f>
        <v>0</v>
      </c>
      <c r="I109" s="156">
        <f>SUM(Ethernet!K61:K70)</f>
        <v>0</v>
      </c>
      <c r="J109" s="490">
        <f>SUM(Ethernet!L61:L70)</f>
        <v>0</v>
      </c>
      <c r="K109" s="156">
        <f>SUM(Ethernet!M61:M70)</f>
        <v>0</v>
      </c>
      <c r="L109" s="156">
        <f>SUM(Ethernet!N61:N70)</f>
        <v>0</v>
      </c>
      <c r="M109" s="156">
        <f>SUM(Ethernet!O61:O70)</f>
        <v>0</v>
      </c>
      <c r="N109" s="490">
        <f>SUM(Ethernet!P61:P70)</f>
        <v>0</v>
      </c>
      <c r="O109" s="156">
        <f>SUM(Ethernet!Q61:Q70)</f>
        <v>0</v>
      </c>
      <c r="P109" s="156">
        <f>SUM(Ethernet!R61:R70)</f>
        <v>0</v>
      </c>
      <c r="Q109" s="156">
        <f>SUM(Ethernet!S61:S70)</f>
        <v>0</v>
      </c>
      <c r="R109" s="490">
        <f>SUM(Ethernet!T61:T70)</f>
        <v>0</v>
      </c>
      <c r="S109" s="517">
        <f>SUM(Ethernet!E199:E208)/10^6</f>
        <v>0</v>
      </c>
      <c r="T109" s="153">
        <f>SUM(Ethernet!F199:F208)/10^6</f>
        <v>0</v>
      </c>
      <c r="U109" s="153">
        <f>SUM(Ethernet!G199:G208)/10^6</f>
        <v>0</v>
      </c>
      <c r="V109" s="516">
        <f>SUM(Ethernet!H199:H208)/10^6</f>
        <v>0</v>
      </c>
      <c r="W109" s="665">
        <f>SUM(Ethernet!I199:I208)/10^6</f>
        <v>0</v>
      </c>
      <c r="X109" s="153">
        <f>SUM(Ethernet!J199:J208)/10^6</f>
        <v>0</v>
      </c>
      <c r="Y109" s="153">
        <f>SUM(Ethernet!K199:K208)/10^6</f>
        <v>0</v>
      </c>
      <c r="Z109" s="516">
        <f>SUM(Ethernet!L199:L208)/10^6</f>
        <v>0</v>
      </c>
      <c r="AA109" s="665">
        <f>SUM(Ethernet!M199:M208)/10^6</f>
        <v>0</v>
      </c>
      <c r="AB109" s="153">
        <f>SUM(Ethernet!N199:N208)/10^6</f>
        <v>0</v>
      </c>
      <c r="AC109" s="153">
        <f>SUM(Ethernet!O199:O208)/10^6</f>
        <v>0</v>
      </c>
      <c r="AD109" s="516">
        <f>SUM(Ethernet!P199:P208)/10^6</f>
        <v>0</v>
      </c>
      <c r="AE109" s="665">
        <f>SUM(Ethernet!Q199:Q208)/10^6</f>
        <v>0</v>
      </c>
      <c r="AF109" s="153">
        <f>SUM(Ethernet!R199:R208)/10^6</f>
        <v>0</v>
      </c>
      <c r="AG109" s="153">
        <f>SUM(Ethernet!S199:S208)/10^6</f>
        <v>0</v>
      </c>
      <c r="AH109" s="516">
        <f>SUM(Ethernet!T199:T208)/10^6</f>
        <v>0</v>
      </c>
      <c r="AI109"/>
      <c r="AJ109"/>
      <c r="AK109"/>
    </row>
    <row r="110" spans="2:37" ht="13.2">
      <c r="B110" s="157" t="s">
        <v>212</v>
      </c>
      <c r="C110" s="158">
        <f>SUM(C103:C109)</f>
        <v>8587495</v>
      </c>
      <c r="D110" s="158">
        <f t="shared" ref="D110:P110" si="19">SUM(D103:D109)</f>
        <v>9099495</v>
      </c>
      <c r="E110" s="158">
        <f t="shared" si="19"/>
        <v>9181195</v>
      </c>
      <c r="F110" s="491">
        <f t="shared" si="19"/>
        <v>9616775</v>
      </c>
      <c r="G110" s="158">
        <f t="shared" si="19"/>
        <v>0</v>
      </c>
      <c r="H110" s="158">
        <f t="shared" si="19"/>
        <v>0</v>
      </c>
      <c r="I110" s="158">
        <f t="shared" si="19"/>
        <v>0</v>
      </c>
      <c r="J110" s="491">
        <f t="shared" si="19"/>
        <v>0</v>
      </c>
      <c r="K110" s="158">
        <f t="shared" si="19"/>
        <v>0</v>
      </c>
      <c r="L110" s="158">
        <f t="shared" si="19"/>
        <v>0</v>
      </c>
      <c r="M110" s="158">
        <f t="shared" si="19"/>
        <v>0</v>
      </c>
      <c r="N110" s="491">
        <f t="shared" si="19"/>
        <v>0</v>
      </c>
      <c r="O110" s="158">
        <f t="shared" si="19"/>
        <v>0</v>
      </c>
      <c r="P110" s="158">
        <f t="shared" si="19"/>
        <v>0</v>
      </c>
      <c r="Q110" s="158">
        <f t="shared" ref="Q110:R110" si="20">SUM(Q103:Q109)</f>
        <v>0</v>
      </c>
      <c r="R110" s="491">
        <f t="shared" si="20"/>
        <v>0</v>
      </c>
      <c r="S110" s="476">
        <f>SUM(S103:S109)</f>
        <v>700.47234624883993</v>
      </c>
      <c r="T110" s="476">
        <f t="shared" ref="T110:AH110" si="21">SUM(T103:T109)</f>
        <v>805.79208682519754</v>
      </c>
      <c r="U110" s="476">
        <f t="shared" si="21"/>
        <v>795.7872497322445</v>
      </c>
      <c r="V110" s="498">
        <f t="shared" si="21"/>
        <v>801.02450627820531</v>
      </c>
      <c r="W110" s="476">
        <f t="shared" si="21"/>
        <v>0</v>
      </c>
      <c r="X110" s="476">
        <f t="shared" si="21"/>
        <v>0</v>
      </c>
      <c r="Y110" s="476">
        <f t="shared" si="21"/>
        <v>0</v>
      </c>
      <c r="Z110" s="498">
        <f t="shared" si="21"/>
        <v>0</v>
      </c>
      <c r="AA110" s="476">
        <f t="shared" si="21"/>
        <v>0</v>
      </c>
      <c r="AB110" s="476">
        <f t="shared" si="21"/>
        <v>0</v>
      </c>
      <c r="AC110" s="476">
        <f t="shared" si="21"/>
        <v>0</v>
      </c>
      <c r="AD110" s="498">
        <f t="shared" si="21"/>
        <v>0</v>
      </c>
      <c r="AE110" s="476">
        <f t="shared" si="21"/>
        <v>0</v>
      </c>
      <c r="AF110" s="476">
        <f t="shared" si="21"/>
        <v>0</v>
      </c>
      <c r="AG110" s="476">
        <f t="shared" si="21"/>
        <v>0</v>
      </c>
      <c r="AH110" s="498">
        <f t="shared" si="21"/>
        <v>0</v>
      </c>
      <c r="AI110"/>
      <c r="AJ110"/>
      <c r="AK110"/>
    </row>
    <row r="111" spans="2:37" ht="13.2">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c r="AJ111"/>
      <c r="AK111"/>
    </row>
    <row r="112" spans="2:37" ht="13.2">
      <c r="B112" s="149"/>
      <c r="C112" s="160"/>
      <c r="D112" s="160"/>
      <c r="E112" s="160"/>
      <c r="F112" s="160"/>
      <c r="G112" s="126"/>
      <c r="H112" s="161"/>
      <c r="I112" s="126"/>
      <c r="J112" s="162"/>
      <c r="K112" s="162"/>
      <c r="L112" s="162"/>
      <c r="M112" s="162"/>
      <c r="N112" s="162"/>
      <c r="O112" s="162"/>
      <c r="P112" s="162"/>
      <c r="Q112" s="162"/>
      <c r="R112" s="162"/>
      <c r="AI112"/>
      <c r="AJ112"/>
      <c r="AK112"/>
    </row>
    <row r="113" spans="2:37">
      <c r="B113" s="163" t="s">
        <v>20</v>
      </c>
      <c r="C113" s="160"/>
      <c r="D113" s="160"/>
      <c r="E113" s="160"/>
      <c r="F113" s="160"/>
      <c r="G113" s="126"/>
      <c r="H113" s="161"/>
      <c r="I113" s="126"/>
      <c r="J113" s="123"/>
      <c r="K113" s="123"/>
      <c r="L113" s="123"/>
      <c r="M113" s="123"/>
      <c r="N113" s="123"/>
      <c r="O113" s="123"/>
      <c r="P113" s="123"/>
      <c r="Q113" s="123"/>
      <c r="R113" s="123"/>
      <c r="AI113"/>
      <c r="AJ113"/>
      <c r="AK113"/>
    </row>
    <row r="114" spans="2:37" ht="13.2">
      <c r="B114" s="149"/>
      <c r="G114" s="126"/>
      <c r="H114" s="126"/>
      <c r="I114" s="126"/>
      <c r="J114" s="123"/>
      <c r="K114" s="123"/>
      <c r="L114" s="123"/>
      <c r="M114" s="123"/>
      <c r="N114" s="123"/>
      <c r="O114" s="123"/>
      <c r="P114" s="123"/>
      <c r="Q114" s="123"/>
      <c r="R114" s="123"/>
      <c r="AI114"/>
      <c r="AJ114"/>
      <c r="AK114"/>
    </row>
    <row r="115" spans="2:37" ht="13.2">
      <c r="B115" s="149"/>
      <c r="G115" s="126"/>
      <c r="H115" s="126"/>
      <c r="I115" s="126"/>
      <c r="J115" s="123"/>
      <c r="K115" s="123"/>
      <c r="L115" s="123"/>
      <c r="M115" s="123"/>
      <c r="N115" s="123"/>
      <c r="O115" s="123"/>
      <c r="P115" s="123"/>
      <c r="Q115" s="123"/>
      <c r="R115" s="123"/>
      <c r="AI115"/>
      <c r="AJ115"/>
      <c r="AK115"/>
    </row>
    <row r="116" spans="2:37" ht="13.2">
      <c r="B116" s="149"/>
      <c r="G116" s="126"/>
      <c r="H116" s="126"/>
      <c r="I116" s="126"/>
      <c r="J116" s="123"/>
      <c r="K116" s="123"/>
      <c r="L116" s="123"/>
      <c r="M116" s="123"/>
      <c r="N116" s="123"/>
      <c r="O116" s="123"/>
      <c r="P116" s="123"/>
      <c r="Q116" s="123"/>
      <c r="R116" s="123"/>
      <c r="AI116"/>
      <c r="AJ116"/>
      <c r="AK116"/>
    </row>
    <row r="117" spans="2:37" ht="13.2">
      <c r="B117" s="149"/>
      <c r="G117" s="126"/>
      <c r="H117" s="126"/>
      <c r="I117" s="126"/>
      <c r="J117" s="123"/>
      <c r="K117" s="123"/>
      <c r="L117" s="123"/>
      <c r="M117" s="123"/>
      <c r="N117" s="123"/>
      <c r="O117" s="123"/>
      <c r="P117" s="123"/>
      <c r="Q117" s="123"/>
      <c r="R117" s="123"/>
      <c r="AI117"/>
      <c r="AJ117"/>
      <c r="AK117"/>
    </row>
    <row r="118" spans="2:37" ht="13.2">
      <c r="B118" s="149"/>
      <c r="G118" s="126"/>
      <c r="H118" s="126"/>
      <c r="I118" s="126"/>
      <c r="J118" s="123"/>
      <c r="K118" s="123"/>
      <c r="L118" s="123"/>
      <c r="M118" s="123"/>
      <c r="N118" s="123"/>
      <c r="O118" s="123"/>
      <c r="P118" s="123"/>
      <c r="Q118" s="123"/>
      <c r="R118" s="123"/>
      <c r="AI118"/>
      <c r="AJ118"/>
      <c r="AK118"/>
    </row>
    <row r="119" spans="2:37" ht="13.2">
      <c r="B119" s="149"/>
      <c r="G119" s="126"/>
      <c r="H119" s="126"/>
      <c r="I119" s="126"/>
      <c r="J119" s="123"/>
      <c r="K119" s="123"/>
      <c r="L119" s="123"/>
      <c r="M119" s="123"/>
      <c r="N119" s="123"/>
      <c r="O119" s="123"/>
      <c r="P119" s="123"/>
      <c r="Q119" s="123"/>
      <c r="R119" s="123"/>
      <c r="AI119"/>
      <c r="AJ119"/>
      <c r="AK119"/>
    </row>
    <row r="120" spans="2:37" ht="13.2">
      <c r="B120" s="149"/>
      <c r="G120" s="126"/>
      <c r="H120" s="126"/>
      <c r="I120" s="126"/>
      <c r="AI120"/>
      <c r="AJ120"/>
      <c r="AK120"/>
    </row>
    <row r="121" spans="2:37" ht="13.2">
      <c r="B121" s="149"/>
      <c r="C121" s="164"/>
      <c r="D121" s="164"/>
      <c r="E121" s="164"/>
      <c r="F121" s="164"/>
      <c r="G121" s="126"/>
      <c r="H121" s="126"/>
      <c r="I121" s="126"/>
      <c r="AI121"/>
      <c r="AJ121"/>
      <c r="AK121"/>
    </row>
    <row r="122" spans="2:37" ht="13.2">
      <c r="B122" s="149"/>
      <c r="C122" s="164"/>
      <c r="D122" s="164"/>
      <c r="E122" s="164"/>
      <c r="F122" s="164"/>
      <c r="G122" s="126"/>
      <c r="H122" s="126"/>
      <c r="I122" s="126"/>
      <c r="AI122"/>
      <c r="AJ122"/>
      <c r="AK122"/>
    </row>
    <row r="123" spans="2:37" ht="13.2">
      <c r="B123" s="149"/>
      <c r="C123" s="164"/>
      <c r="D123" s="164"/>
      <c r="E123" s="164"/>
      <c r="F123" s="164"/>
      <c r="G123" s="126"/>
      <c r="H123" s="126"/>
      <c r="I123" s="126"/>
      <c r="AI123"/>
      <c r="AJ123"/>
      <c r="AK123"/>
    </row>
    <row r="124" spans="2:37" ht="13.2">
      <c r="B124" s="149"/>
      <c r="C124" s="164"/>
      <c r="D124" s="164"/>
      <c r="E124" s="164"/>
      <c r="F124" s="164"/>
      <c r="G124" s="126"/>
      <c r="H124" s="126"/>
      <c r="I124" s="126"/>
      <c r="AI124"/>
      <c r="AJ124"/>
      <c r="AK124"/>
    </row>
    <row r="125" spans="2:37" ht="13.2">
      <c r="B125" s="149"/>
      <c r="C125" s="164"/>
      <c r="D125" s="164"/>
      <c r="E125" s="164"/>
      <c r="F125" s="164"/>
      <c r="G125" s="126"/>
      <c r="H125" s="126"/>
      <c r="I125" s="126"/>
      <c r="AI125"/>
      <c r="AJ125"/>
      <c r="AK125"/>
    </row>
    <row r="126" spans="2:37" ht="13.2">
      <c r="B126" s="149"/>
      <c r="C126" s="164"/>
      <c r="D126" s="164"/>
      <c r="E126" s="164"/>
      <c r="F126" s="164"/>
      <c r="G126" s="126"/>
      <c r="H126" s="126"/>
      <c r="I126" s="126"/>
      <c r="AI126"/>
      <c r="AJ126"/>
      <c r="AK126"/>
    </row>
    <row r="127" spans="2:37" ht="13.2">
      <c r="B127" s="149"/>
      <c r="C127" s="164"/>
      <c r="D127" s="164"/>
      <c r="E127" s="164"/>
      <c r="F127" s="164"/>
      <c r="G127" s="126"/>
      <c r="H127" s="126"/>
      <c r="I127" s="126"/>
      <c r="AI127"/>
      <c r="AJ127"/>
      <c r="AK127"/>
    </row>
    <row r="128" spans="2:37" ht="13.2">
      <c r="B128" s="149"/>
      <c r="C128" s="164"/>
      <c r="D128" s="164"/>
      <c r="E128" s="164"/>
      <c r="F128" s="164"/>
      <c r="G128" s="126"/>
      <c r="H128" s="126"/>
      <c r="I128" s="126"/>
      <c r="AI128"/>
      <c r="AJ128"/>
      <c r="AK128"/>
    </row>
    <row r="129" spans="2:37" ht="13.2">
      <c r="B129" s="149"/>
      <c r="C129" s="164"/>
      <c r="D129" s="164"/>
      <c r="E129" s="164"/>
      <c r="F129" s="164"/>
      <c r="G129" s="126"/>
      <c r="H129" s="126"/>
      <c r="I129" s="126"/>
      <c r="AI129"/>
      <c r="AJ129"/>
      <c r="AK129"/>
    </row>
    <row r="130" spans="2:37" ht="13.2">
      <c r="B130" s="149"/>
      <c r="C130" s="164"/>
      <c r="D130" s="164"/>
      <c r="E130" s="164"/>
      <c r="F130" s="164"/>
      <c r="G130" s="126"/>
      <c r="H130" s="126"/>
      <c r="I130" s="126"/>
      <c r="AI130"/>
      <c r="AJ130"/>
      <c r="AK130"/>
    </row>
    <row r="131" spans="2:37" ht="13.2">
      <c r="B131" s="149"/>
      <c r="C131" s="164"/>
      <c r="D131" s="164"/>
      <c r="E131" s="164"/>
      <c r="F131" s="164"/>
      <c r="G131" s="126"/>
      <c r="H131" s="126"/>
      <c r="I131" s="126"/>
      <c r="AI131"/>
      <c r="AJ131"/>
      <c r="AK131"/>
    </row>
    <row r="132" spans="2:37" ht="13.2">
      <c r="B132" s="149"/>
      <c r="C132" s="164"/>
      <c r="D132" s="164"/>
      <c r="E132" s="164"/>
      <c r="F132" s="164"/>
      <c r="G132" s="126"/>
      <c r="H132" s="126"/>
      <c r="I132" s="126"/>
      <c r="AI132"/>
      <c r="AJ132"/>
      <c r="AK132"/>
    </row>
    <row r="133" spans="2:37" ht="13.2">
      <c r="B133" s="149"/>
      <c r="C133" s="164"/>
      <c r="D133" s="164"/>
      <c r="E133" s="164"/>
      <c r="F133" s="164"/>
      <c r="G133" s="126"/>
      <c r="H133" s="126"/>
      <c r="I133" s="126"/>
      <c r="AI133"/>
      <c r="AJ133"/>
      <c r="AK133"/>
    </row>
    <row r="134" spans="2:37" ht="15" thickBot="1">
      <c r="B134" s="796" t="s">
        <v>20</v>
      </c>
      <c r="C134" s="164"/>
      <c r="D134" s="164"/>
      <c r="E134" s="164"/>
      <c r="F134" s="164"/>
      <c r="Q134" s="60"/>
      <c r="R134" s="14"/>
      <c r="S134" s="796" t="str">
        <f>B134</f>
        <v>Fibre Channel</v>
      </c>
      <c r="AG134" s="60"/>
      <c r="AH134" s="14"/>
      <c r="AI134"/>
      <c r="AJ134"/>
      <c r="AK134"/>
    </row>
    <row r="135" spans="2:37" ht="13.8" thickBot="1">
      <c r="B135" s="1858" t="s">
        <v>464</v>
      </c>
      <c r="C135" s="613"/>
      <c r="D135" s="632"/>
      <c r="E135" s="632"/>
      <c r="F135" s="632"/>
      <c r="G135" s="632" t="s">
        <v>209</v>
      </c>
      <c r="H135" s="632"/>
      <c r="I135" s="632"/>
      <c r="J135" s="632"/>
      <c r="K135" s="632"/>
      <c r="L135" s="632"/>
      <c r="M135" s="632"/>
      <c r="N135" s="632"/>
      <c r="O135" s="632"/>
      <c r="P135" s="632"/>
      <c r="Q135" s="1855" t="s">
        <v>500</v>
      </c>
      <c r="R135" s="1856"/>
      <c r="S135" s="612"/>
      <c r="T135" s="632"/>
      <c r="U135" s="632"/>
      <c r="V135" s="632"/>
      <c r="W135" s="632" t="s">
        <v>371</v>
      </c>
      <c r="X135" s="632"/>
      <c r="Y135" s="632"/>
      <c r="Z135" s="632"/>
      <c r="AA135" s="632"/>
      <c r="AB135" s="632"/>
      <c r="AC135" s="632"/>
      <c r="AD135" s="632"/>
      <c r="AE135" s="632"/>
      <c r="AF135" s="632"/>
      <c r="AG135" s="1855" t="s">
        <v>500</v>
      </c>
      <c r="AH135" s="1856"/>
      <c r="AI135"/>
      <c r="AJ135"/>
      <c r="AK135"/>
    </row>
    <row r="136" spans="2:37" ht="13.8" thickBot="1">
      <c r="B136" s="1859" t="s">
        <v>211</v>
      </c>
      <c r="C136" s="446" t="str">
        <f t="shared" ref="C136:I136" si="22">C68</f>
        <v>1Q 17</v>
      </c>
      <c r="D136" s="378" t="str">
        <f t="shared" si="22"/>
        <v>2Q 17</v>
      </c>
      <c r="E136" s="378" t="str">
        <f t="shared" si="22"/>
        <v>3Q 17</v>
      </c>
      <c r="F136" s="447" t="str">
        <f t="shared" si="22"/>
        <v>4Q 17</v>
      </c>
      <c r="G136" s="446" t="str">
        <f t="shared" si="22"/>
        <v>1Q 18</v>
      </c>
      <c r="H136" s="378" t="str">
        <f t="shared" si="22"/>
        <v>2Q 18</v>
      </c>
      <c r="I136" s="378" t="str">
        <f t="shared" si="22"/>
        <v>3Q 18</v>
      </c>
      <c r="J136" s="447" t="str">
        <f>J$68</f>
        <v>4Q 18</v>
      </c>
      <c r="K136" s="446" t="str">
        <f t="shared" ref="K136:AB136" si="23">K$68</f>
        <v>1Q 19</v>
      </c>
      <c r="L136" s="378" t="str">
        <f t="shared" si="23"/>
        <v>2Q 19</v>
      </c>
      <c r="M136" s="378" t="s">
        <v>140</v>
      </c>
      <c r="N136" s="447" t="s">
        <v>141</v>
      </c>
      <c r="O136" s="446" t="s">
        <v>142</v>
      </c>
      <c r="P136" s="378" t="s">
        <v>143</v>
      </c>
      <c r="Q136" s="1539" t="s">
        <v>621</v>
      </c>
      <c r="R136" s="1540" t="s">
        <v>622</v>
      </c>
      <c r="S136" s="446" t="str">
        <f t="shared" si="23"/>
        <v>1Q 17</v>
      </c>
      <c r="T136" s="378" t="str">
        <f t="shared" si="23"/>
        <v>2Q 17</v>
      </c>
      <c r="U136" s="378" t="str">
        <f t="shared" si="23"/>
        <v>3Q 17</v>
      </c>
      <c r="V136" s="772" t="str">
        <f t="shared" si="23"/>
        <v>4Q 17</v>
      </c>
      <c r="W136" s="446" t="str">
        <f t="shared" si="23"/>
        <v>1Q 18</v>
      </c>
      <c r="X136" s="378" t="str">
        <f t="shared" si="23"/>
        <v>2Q 18</v>
      </c>
      <c r="Y136" s="378" t="str">
        <f t="shared" si="23"/>
        <v>3Q 18</v>
      </c>
      <c r="Z136" s="772" t="str">
        <f t="shared" si="23"/>
        <v>4Q 18</v>
      </c>
      <c r="AA136" s="379" t="str">
        <f t="shared" si="23"/>
        <v>1Q 19</v>
      </c>
      <c r="AB136" s="378" t="str">
        <f t="shared" si="23"/>
        <v>2Q 19</v>
      </c>
      <c r="AC136" s="378" t="s">
        <v>140</v>
      </c>
      <c r="AD136" s="447" t="s">
        <v>141</v>
      </c>
      <c r="AE136" s="446" t="s">
        <v>142</v>
      </c>
      <c r="AF136" s="378" t="s">
        <v>143</v>
      </c>
      <c r="AG136" s="1539" t="s">
        <v>621</v>
      </c>
      <c r="AH136" s="1540" t="s">
        <v>622</v>
      </c>
      <c r="AI136"/>
      <c r="AJ136"/>
      <c r="AK136"/>
    </row>
    <row r="137" spans="2:37" ht="13.2">
      <c r="B137" s="165" t="s">
        <v>489</v>
      </c>
      <c r="C137" s="166">
        <f>SUM('Fibre Channel'!D9:D11)</f>
        <v>337350</v>
      </c>
      <c r="D137" s="166">
        <f>SUM('Fibre Channel'!E9:E11)</f>
        <v>271370</v>
      </c>
      <c r="E137" s="474">
        <f>SUM('Fibre Channel'!F9:F11)</f>
        <v>278699</v>
      </c>
      <c r="F137" s="493">
        <f>SUM('Fibre Channel'!G9:G11)</f>
        <v>230054</v>
      </c>
      <c r="G137" s="166">
        <f>SUM('Fibre Channel'!H9:H11)</f>
        <v>0</v>
      </c>
      <c r="H137" s="166">
        <f>SUM('Fibre Channel'!I9:I11)</f>
        <v>0</v>
      </c>
      <c r="I137" s="729">
        <f>SUM('Fibre Channel'!J9:J11)</f>
        <v>0</v>
      </c>
      <c r="J137" s="730">
        <f>SUM('Fibre Channel'!K9:K11)</f>
        <v>0</v>
      </c>
      <c r="K137" s="166">
        <f>SUM('Fibre Channel'!L9:L11)</f>
        <v>0</v>
      </c>
      <c r="L137" s="166">
        <f>SUM('Fibre Channel'!M9:M11)</f>
        <v>0</v>
      </c>
      <c r="M137" s="166">
        <f>SUM('Fibre Channel'!N9:N11)</f>
        <v>0</v>
      </c>
      <c r="N137" s="730">
        <f>SUM('Fibre Channel'!O9:O11)</f>
        <v>0</v>
      </c>
      <c r="O137" s="166">
        <f>SUM('Fibre Channel'!P9:P11)</f>
        <v>0</v>
      </c>
      <c r="P137" s="166">
        <f>SUM('Fibre Channel'!Q9:Q11)</f>
        <v>0</v>
      </c>
      <c r="Q137" s="166">
        <f>SUM('Fibre Channel'!R9:R11)</f>
        <v>0</v>
      </c>
      <c r="R137" s="730">
        <f>SUM('Fibre Channel'!S9:S11)</f>
        <v>0</v>
      </c>
      <c r="S137" s="1073">
        <f>SUM('Fibre Channel'!D43:D45)/10^6</f>
        <v>4.2239630000000004</v>
      </c>
      <c r="T137" s="475">
        <f>SUM('Fibre Channel'!E43:E45)/10^6</f>
        <v>3.814257</v>
      </c>
      <c r="U137" s="475">
        <f>SUM('Fibre Channel'!F43:F45)/10^6</f>
        <v>3.4903749999999936</v>
      </c>
      <c r="V137" s="1074">
        <f>SUM('Fibre Channel'!G43:G45)/10^6</f>
        <v>3.4328349999999976</v>
      </c>
      <c r="W137" s="475">
        <f>SUM('Fibre Channel'!H43:H45)/10^6</f>
        <v>0</v>
      </c>
      <c r="X137" s="475">
        <f>SUM('Fibre Channel'!I43:I45)/10^6</f>
        <v>0</v>
      </c>
      <c r="Y137" s="728">
        <f>SUM('Fibre Channel'!J43:J45)/10^6</f>
        <v>0</v>
      </c>
      <c r="Z137" s="1074">
        <f>SUM('Fibre Channel'!K43:K45)/10^6</f>
        <v>0</v>
      </c>
      <c r="AA137" s="480">
        <f>SUM('Fibre Channel'!L43:L45)/10^6</f>
        <v>0</v>
      </c>
      <c r="AB137" s="475">
        <f>SUM('Fibre Channel'!M43:M45)/10^6</f>
        <v>0</v>
      </c>
      <c r="AC137" s="475">
        <f>SUM('Fibre Channel'!N43:N45)/10^6</f>
        <v>0</v>
      </c>
      <c r="AD137" s="1076">
        <f>SUM('Fibre Channel'!O43:O45)/10^6</f>
        <v>0</v>
      </c>
      <c r="AE137" s="480">
        <f>SUM('Fibre Channel'!P43:P45)/10^6</f>
        <v>0</v>
      </c>
      <c r="AF137" s="475">
        <f>SUM('Fibre Channel'!Q43:Q45)/10^6</f>
        <v>0</v>
      </c>
      <c r="AG137" s="475">
        <f>SUM('Fibre Channel'!R43:R45)/10^6</f>
        <v>0</v>
      </c>
      <c r="AH137" s="1076">
        <f>SUM('Fibre Channel'!S43:S45)/10^6</f>
        <v>0</v>
      </c>
      <c r="AI137"/>
      <c r="AJ137"/>
      <c r="AK137"/>
    </row>
    <row r="138" spans="2:37" ht="13.2">
      <c r="B138" s="167" t="s">
        <v>490</v>
      </c>
      <c r="C138" s="168">
        <f>SUM('Fibre Channel'!D12:D13)</f>
        <v>694848</v>
      </c>
      <c r="D138" s="168">
        <f>SUM('Fibre Channel'!E12:E13)</f>
        <v>573495</v>
      </c>
      <c r="E138" s="474">
        <f>SUM('Fibre Channel'!F12:F13)</f>
        <v>556992</v>
      </c>
      <c r="F138" s="494">
        <f>SUM('Fibre Channel'!G12:G13)</f>
        <v>621670</v>
      </c>
      <c r="G138" s="168">
        <f>SUM('Fibre Channel'!H12:H13)</f>
        <v>0</v>
      </c>
      <c r="H138" s="168">
        <f>SUM('Fibre Channel'!I12:I13)</f>
        <v>0</v>
      </c>
      <c r="I138" s="474">
        <f>SUM('Fibre Channel'!J12:J13)</f>
        <v>0</v>
      </c>
      <c r="J138" s="727">
        <f>SUM('Fibre Channel'!K12:K13)</f>
        <v>0</v>
      </c>
      <c r="K138" s="168">
        <f>SUM('Fibre Channel'!L12:L13)</f>
        <v>0</v>
      </c>
      <c r="L138" s="168">
        <f>SUM('Fibre Channel'!M12:M13)</f>
        <v>0</v>
      </c>
      <c r="M138" s="168">
        <f>SUM('Fibre Channel'!N12:N13)</f>
        <v>0</v>
      </c>
      <c r="N138" s="727">
        <f>SUM('Fibre Channel'!O12:O13)</f>
        <v>0</v>
      </c>
      <c r="O138" s="168">
        <f>SUM('Fibre Channel'!P12:P13)</f>
        <v>0</v>
      </c>
      <c r="P138" s="168">
        <f>SUM('Fibre Channel'!Q12:Q13)</f>
        <v>0</v>
      </c>
      <c r="Q138" s="168">
        <f>SUM('Fibre Channel'!R12:R13)</f>
        <v>0</v>
      </c>
      <c r="R138" s="727">
        <f>SUM('Fibre Channel'!S12:S13)</f>
        <v>0</v>
      </c>
      <c r="S138" s="1075">
        <f>SUM('Fibre Channel'!D46:D47)/10^6</f>
        <v>10.408296999999999</v>
      </c>
      <c r="T138" s="475">
        <f>SUM('Fibre Channel'!E46:E47)/10^6</f>
        <v>8.2756279999999993</v>
      </c>
      <c r="U138" s="475">
        <f>SUM('Fibre Channel'!F46:F47)/10^6</f>
        <v>7.8125869999999953</v>
      </c>
      <c r="V138" s="1076">
        <f>SUM('Fibre Channel'!G46:G47)/10^6</f>
        <v>8.1308419999999924</v>
      </c>
      <c r="W138" s="475">
        <f>SUM('Fibre Channel'!H46:H47)/10^6</f>
        <v>0</v>
      </c>
      <c r="X138" s="475">
        <f>SUM('Fibre Channel'!I46:I47)/10^6</f>
        <v>0</v>
      </c>
      <c r="Y138" s="480">
        <f>SUM('Fibre Channel'!J46:J47)/10^6</f>
        <v>0</v>
      </c>
      <c r="Z138" s="1076">
        <f>SUM('Fibre Channel'!K46:K47)/10^6</f>
        <v>0</v>
      </c>
      <c r="AA138" s="480">
        <f>SUM('Fibre Channel'!L46:L47)/10^6</f>
        <v>0</v>
      </c>
      <c r="AB138" s="475">
        <f>SUM('Fibre Channel'!M46:M47)/10^6</f>
        <v>0</v>
      </c>
      <c r="AC138" s="475">
        <f>SUM('Fibre Channel'!N46:N47)/10^6</f>
        <v>0</v>
      </c>
      <c r="AD138" s="1076">
        <f>SUM('Fibre Channel'!O46:O47)/10^6</f>
        <v>0</v>
      </c>
      <c r="AE138" s="480">
        <f>SUM('Fibre Channel'!P46:P47)/10^6</f>
        <v>0</v>
      </c>
      <c r="AF138" s="475">
        <f>SUM('Fibre Channel'!Q46:Q47)/10^6</f>
        <v>0</v>
      </c>
      <c r="AG138" s="475">
        <f>SUM('Fibre Channel'!R46:R47)/10^6</f>
        <v>0</v>
      </c>
      <c r="AH138" s="1076">
        <f>SUM('Fibre Channel'!S46:S47)/10^6</f>
        <v>0</v>
      </c>
      <c r="AI138"/>
      <c r="AJ138"/>
      <c r="AK138"/>
    </row>
    <row r="139" spans="2:37" s="123" customFormat="1" ht="13.2">
      <c r="B139" s="167" t="s">
        <v>491</v>
      </c>
      <c r="C139" s="168">
        <f>SUM('Fibre Channel'!D14:D15)</f>
        <v>931261</v>
      </c>
      <c r="D139" s="168">
        <f>SUM('Fibre Channel'!E14:E15)</f>
        <v>1271842</v>
      </c>
      <c r="E139" s="474">
        <f>SUM('Fibre Channel'!F14:F15)</f>
        <v>1365342</v>
      </c>
      <c r="F139" s="494">
        <f>SUM('Fibre Channel'!G14:G15)</f>
        <v>1255263</v>
      </c>
      <c r="G139" s="168">
        <f>SUM('Fibre Channel'!H14:H15)</f>
        <v>0</v>
      </c>
      <c r="H139" s="168">
        <f>SUM('Fibre Channel'!I14:I15)</f>
        <v>0</v>
      </c>
      <c r="I139" s="474">
        <f>SUM('Fibre Channel'!J14:J15)</f>
        <v>0</v>
      </c>
      <c r="J139" s="727">
        <f>SUM('Fibre Channel'!K14:K15)</f>
        <v>0</v>
      </c>
      <c r="K139" s="168">
        <f>SUM('Fibre Channel'!L14:L15)</f>
        <v>0</v>
      </c>
      <c r="L139" s="168">
        <f>SUM('Fibre Channel'!M14:M15)</f>
        <v>0</v>
      </c>
      <c r="M139" s="168">
        <f>SUM('Fibre Channel'!N14:N15)</f>
        <v>0</v>
      </c>
      <c r="N139" s="727">
        <f>SUM('Fibre Channel'!O14:O15)</f>
        <v>0</v>
      </c>
      <c r="O139" s="168">
        <f>SUM('Fibre Channel'!P14:P15)</f>
        <v>0</v>
      </c>
      <c r="P139" s="168">
        <f>SUM('Fibre Channel'!Q14:Q15)</f>
        <v>0</v>
      </c>
      <c r="Q139" s="168">
        <f>SUM('Fibre Channel'!R14:R15)</f>
        <v>0</v>
      </c>
      <c r="R139" s="727">
        <f>SUM('Fibre Channel'!S14:S15)</f>
        <v>0</v>
      </c>
      <c r="S139" s="1075">
        <f>SUM('Fibre Channel'!D48:D49)/10^6</f>
        <v>30.385957000000001</v>
      </c>
      <c r="T139" s="475">
        <f>SUM('Fibre Channel'!E48:E49)/10^6</f>
        <v>40.019958000000003</v>
      </c>
      <c r="U139" s="475">
        <f>SUM('Fibre Channel'!F48:F49)/10^6</f>
        <v>40.938776999999952</v>
      </c>
      <c r="V139" s="1076">
        <f>SUM('Fibre Channel'!G48:G49)/10^6</f>
        <v>38.331254000000001</v>
      </c>
      <c r="W139" s="475">
        <f>SUM('Fibre Channel'!H48:H49)/10^6</f>
        <v>0</v>
      </c>
      <c r="X139" s="475">
        <f>SUM('Fibre Channel'!I48:I49)/10^6</f>
        <v>0</v>
      </c>
      <c r="Y139" s="480">
        <f>SUM('Fibre Channel'!J48:J49)/10^6</f>
        <v>0</v>
      </c>
      <c r="Z139" s="1076">
        <f>SUM('Fibre Channel'!K48:K49)/10^6</f>
        <v>0</v>
      </c>
      <c r="AA139" s="480">
        <f>SUM('Fibre Channel'!L48:L49)/10^6</f>
        <v>0</v>
      </c>
      <c r="AB139" s="475">
        <f>SUM('Fibre Channel'!M48:M49)/10^6</f>
        <v>0</v>
      </c>
      <c r="AC139" s="475">
        <f>SUM('Fibre Channel'!N48:N49)/10^6</f>
        <v>0</v>
      </c>
      <c r="AD139" s="1076">
        <f>SUM('Fibre Channel'!O48:O49)/10^6</f>
        <v>0</v>
      </c>
      <c r="AE139" s="480">
        <f>SUM('Fibre Channel'!P48:P49)/10^6</f>
        <v>0</v>
      </c>
      <c r="AF139" s="475">
        <f>SUM('Fibre Channel'!Q48:Q49)/10^6</f>
        <v>0</v>
      </c>
      <c r="AG139" s="475">
        <f>SUM('Fibre Channel'!R48:R49)/10^6</f>
        <v>0</v>
      </c>
      <c r="AH139" s="1076">
        <f>SUM('Fibre Channel'!S48:S49)/10^6</f>
        <v>0</v>
      </c>
      <c r="AI139"/>
      <c r="AJ139"/>
      <c r="AK139"/>
    </row>
    <row r="140" spans="2:37" s="123" customFormat="1" ht="13.2">
      <c r="B140" s="167" t="s">
        <v>492</v>
      </c>
      <c r="C140" s="492">
        <f>SUM('Fibre Channel'!D16:D17)</f>
        <v>83815</v>
      </c>
      <c r="D140" s="492">
        <f>SUM('Fibre Channel'!E16:E17)</f>
        <v>81620</v>
      </c>
      <c r="E140" s="474">
        <f>SUM('Fibre Channel'!F16:F17)</f>
        <v>112222</v>
      </c>
      <c r="F140" s="494">
        <f>SUM('Fibre Channel'!G16:G17)</f>
        <v>156527</v>
      </c>
      <c r="G140" s="492">
        <f>SUM('Fibre Channel'!H16:H17)</f>
        <v>0</v>
      </c>
      <c r="H140" s="492">
        <f>SUM('Fibre Channel'!I16:I17)</f>
        <v>0</v>
      </c>
      <c r="I140" s="474">
        <f>SUM('Fibre Channel'!J16:J17)</f>
        <v>0</v>
      </c>
      <c r="J140" s="727">
        <f>SUM('Fibre Channel'!K16:K17)</f>
        <v>0</v>
      </c>
      <c r="K140" s="492">
        <f>SUM('Fibre Channel'!L16:L17)</f>
        <v>0</v>
      </c>
      <c r="L140" s="492">
        <f>SUM('Fibre Channel'!M16:M17)</f>
        <v>0</v>
      </c>
      <c r="M140" s="492">
        <f>SUM('Fibre Channel'!N16:N17)</f>
        <v>0</v>
      </c>
      <c r="N140" s="727">
        <f>SUM('Fibre Channel'!O16:O17)</f>
        <v>0</v>
      </c>
      <c r="O140" s="492">
        <f>SUM('Fibre Channel'!P16:P17)</f>
        <v>0</v>
      </c>
      <c r="P140" s="492">
        <f>SUM('Fibre Channel'!Q16:Q17)</f>
        <v>0</v>
      </c>
      <c r="Q140" s="492">
        <f>SUM('Fibre Channel'!R16:R17)</f>
        <v>0</v>
      </c>
      <c r="R140" s="727">
        <f>SUM('Fibre Channel'!S16:S17)</f>
        <v>0</v>
      </c>
      <c r="S140" s="1075">
        <f>SUM('Fibre Channel'!D50:D51)/10^6</f>
        <v>11.636746</v>
      </c>
      <c r="T140" s="475">
        <f>SUM('Fibre Channel'!E50:E51)/10^6</f>
        <v>10.602931</v>
      </c>
      <c r="U140" s="475">
        <f>SUM('Fibre Channel'!F50:F51)/10^6</f>
        <v>11.128902</v>
      </c>
      <c r="V140" s="1076">
        <f>SUM('Fibre Channel'!G50:G51)/10^6</f>
        <v>13.501274999999994</v>
      </c>
      <c r="W140" s="475">
        <f>SUM('Fibre Channel'!H50:H51)/10^6</f>
        <v>0</v>
      </c>
      <c r="X140" s="475">
        <f>SUM('Fibre Channel'!I50:I51)/10^6</f>
        <v>0</v>
      </c>
      <c r="Y140" s="480">
        <f>SUM('Fibre Channel'!J50:J51)/10^6</f>
        <v>0</v>
      </c>
      <c r="Z140" s="1076">
        <f>SUM('Fibre Channel'!K50:K51)/10^6</f>
        <v>0</v>
      </c>
      <c r="AA140" s="480">
        <f>SUM('Fibre Channel'!L50:L51)/10^6</f>
        <v>0</v>
      </c>
      <c r="AB140" s="475">
        <f>SUM('Fibre Channel'!M50:M51)/10^6</f>
        <v>0</v>
      </c>
      <c r="AC140" s="475">
        <f>SUM('Fibre Channel'!N50:N51)/10^6</f>
        <v>0</v>
      </c>
      <c r="AD140" s="1076">
        <f>SUM('Fibre Channel'!O50:O51)/10^6</f>
        <v>0</v>
      </c>
      <c r="AE140" s="480">
        <f>SUM('Fibre Channel'!P50:P51)/10^6</f>
        <v>0</v>
      </c>
      <c r="AF140" s="475">
        <f>SUM('Fibre Channel'!Q50:Q51)/10^6</f>
        <v>0</v>
      </c>
      <c r="AG140" s="475">
        <f>SUM('Fibre Channel'!R50:R51)/10^6</f>
        <v>0</v>
      </c>
      <c r="AH140" s="1076">
        <f>SUM('Fibre Channel'!S50:S51)/10^6</f>
        <v>0</v>
      </c>
      <c r="AI140"/>
      <c r="AJ140"/>
      <c r="AK140"/>
    </row>
    <row r="141" spans="2:37" s="123" customFormat="1" ht="13.2">
      <c r="B141" s="999" t="s">
        <v>616</v>
      </c>
      <c r="C141" s="492"/>
      <c r="D141" s="492"/>
      <c r="E141" s="474"/>
      <c r="F141" s="494"/>
      <c r="G141" s="492"/>
      <c r="H141" s="492"/>
      <c r="I141" s="474"/>
      <c r="J141" s="727"/>
      <c r="K141" s="492">
        <f>'Fibre Channel'!L18+'Fibre Channel'!L19</f>
        <v>0</v>
      </c>
      <c r="L141" s="492">
        <f>'Fibre Channel'!M18+'Fibre Channel'!M19</f>
        <v>0</v>
      </c>
      <c r="M141" s="492">
        <f>'Fibre Channel'!N18+'Fibre Channel'!N19</f>
        <v>0</v>
      </c>
      <c r="N141" s="727">
        <f>'Fibre Channel'!O18+'Fibre Channel'!O19</f>
        <v>0</v>
      </c>
      <c r="O141" s="492">
        <f>'Fibre Channel'!P18+'Fibre Channel'!P19</f>
        <v>0</v>
      </c>
      <c r="P141" s="492">
        <f>'Fibre Channel'!Q18+'Fibre Channel'!Q19</f>
        <v>0</v>
      </c>
      <c r="Q141" s="492">
        <f>'Fibre Channel'!R18+'Fibre Channel'!R19</f>
        <v>0</v>
      </c>
      <c r="R141" s="727">
        <f>'Fibre Channel'!S18+'Fibre Channel'!S19</f>
        <v>0</v>
      </c>
      <c r="S141" s="1075"/>
      <c r="T141" s="475"/>
      <c r="U141" s="475"/>
      <c r="V141" s="1076"/>
      <c r="W141" s="475"/>
      <c r="X141" s="475"/>
      <c r="Y141" s="480"/>
      <c r="Z141" s="1076"/>
      <c r="AA141" s="480">
        <f>('Fibre Channel'!L52+'Fibre Channel'!L53)/10^6</f>
        <v>0</v>
      </c>
      <c r="AB141" s="475">
        <f>('Fibre Channel'!M52+'Fibre Channel'!M53)/10^6</f>
        <v>0</v>
      </c>
      <c r="AC141" s="475">
        <f>('Fibre Channel'!N52+'Fibre Channel'!N53)/10^6</f>
        <v>0</v>
      </c>
      <c r="AD141" s="1076">
        <f>('Fibre Channel'!O52+'Fibre Channel'!O53)/10^6</f>
        <v>0</v>
      </c>
      <c r="AE141" s="480">
        <f>('Fibre Channel'!P52+'Fibre Channel'!P53)/10^6</f>
        <v>0</v>
      </c>
      <c r="AF141" s="475">
        <f>('Fibre Channel'!Q52+'Fibre Channel'!Q53)/10^6</f>
        <v>0</v>
      </c>
      <c r="AG141" s="475">
        <f>('Fibre Channel'!R52+'Fibre Channel'!R53)/10^6</f>
        <v>0</v>
      </c>
      <c r="AH141" s="1076">
        <f>('Fibre Channel'!S52+'Fibre Channel'!S53)/10^6</f>
        <v>0</v>
      </c>
      <c r="AI141"/>
      <c r="AJ141"/>
      <c r="AK141"/>
    </row>
    <row r="142" spans="2:37" ht="13.2">
      <c r="B142" s="157" t="s">
        <v>155</v>
      </c>
      <c r="C142" s="169">
        <f t="shared" ref="C142:M142" si="24">SUM(C137:C140)</f>
        <v>2047274</v>
      </c>
      <c r="D142" s="169">
        <f t="shared" si="24"/>
        <v>2198327</v>
      </c>
      <c r="E142" s="130">
        <f t="shared" si="24"/>
        <v>2313255</v>
      </c>
      <c r="F142" s="495">
        <f t="shared" si="24"/>
        <v>2263514</v>
      </c>
      <c r="G142" s="169">
        <f t="shared" si="24"/>
        <v>0</v>
      </c>
      <c r="H142" s="169">
        <f t="shared" si="24"/>
        <v>0</v>
      </c>
      <c r="I142" s="130">
        <f t="shared" si="24"/>
        <v>0</v>
      </c>
      <c r="J142" s="491">
        <f t="shared" si="24"/>
        <v>0</v>
      </c>
      <c r="K142" s="169">
        <f t="shared" si="24"/>
        <v>0</v>
      </c>
      <c r="L142" s="169">
        <f t="shared" si="24"/>
        <v>0</v>
      </c>
      <c r="M142" s="169">
        <f t="shared" si="24"/>
        <v>0</v>
      </c>
      <c r="N142" s="491">
        <f t="shared" ref="N142" si="25">SUM(N137:N140)</f>
        <v>0</v>
      </c>
      <c r="O142" s="169">
        <f t="shared" ref="O142:Z142" si="26">SUM(O137:O140)</f>
        <v>0</v>
      </c>
      <c r="P142" s="169">
        <f t="shared" si="26"/>
        <v>0</v>
      </c>
      <c r="Q142" s="169">
        <f>SUM(Q137:Q141)</f>
        <v>0</v>
      </c>
      <c r="R142" s="491">
        <f>SUM(R137:R141)</f>
        <v>0</v>
      </c>
      <c r="S142" s="1077">
        <f t="shared" si="26"/>
        <v>56.654963000000002</v>
      </c>
      <c r="T142" s="476">
        <f t="shared" si="26"/>
        <v>62.712773999999996</v>
      </c>
      <c r="U142" s="476">
        <f t="shared" si="26"/>
        <v>63.370640999999935</v>
      </c>
      <c r="V142" s="1078">
        <f t="shared" si="26"/>
        <v>63.396205999999985</v>
      </c>
      <c r="W142" s="476">
        <f t="shared" si="26"/>
        <v>0</v>
      </c>
      <c r="X142" s="476">
        <f t="shared" si="26"/>
        <v>0</v>
      </c>
      <c r="Y142" s="496">
        <f t="shared" si="26"/>
        <v>0</v>
      </c>
      <c r="Z142" s="1078">
        <f t="shared" si="26"/>
        <v>0</v>
      </c>
      <c r="AA142" s="496">
        <f t="shared" ref="AA142:AF142" si="27">SUM(AA137:AA141)</f>
        <v>0</v>
      </c>
      <c r="AB142" s="476">
        <f t="shared" si="27"/>
        <v>0</v>
      </c>
      <c r="AC142" s="476">
        <f t="shared" si="27"/>
        <v>0</v>
      </c>
      <c r="AD142" s="1078">
        <f t="shared" si="27"/>
        <v>0</v>
      </c>
      <c r="AE142" s="496">
        <f t="shared" si="27"/>
        <v>0</v>
      </c>
      <c r="AF142" s="476">
        <f t="shared" si="27"/>
        <v>0</v>
      </c>
      <c r="AG142" s="476">
        <f>SUM(AG137:AG141)</f>
        <v>0</v>
      </c>
      <c r="AH142" s="1078">
        <f>SUM(AH137:AH141)</f>
        <v>0</v>
      </c>
      <c r="AI142"/>
      <c r="AJ142"/>
      <c r="AK142"/>
    </row>
    <row r="143" spans="2:37" ht="13.2">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c r="AJ143"/>
      <c r="AK143"/>
    </row>
    <row r="144" spans="2:37" ht="13.2">
      <c r="C144" s="140"/>
      <c r="D144" s="140"/>
      <c r="E144" s="140"/>
      <c r="F144" s="140"/>
      <c r="AI144"/>
      <c r="AJ144"/>
      <c r="AK144"/>
    </row>
    <row r="145" spans="2:37" ht="13.2">
      <c r="C145" s="140"/>
      <c r="D145" s="140"/>
      <c r="E145" s="140"/>
      <c r="F145" s="140"/>
      <c r="AI145"/>
      <c r="AJ145"/>
      <c r="AK145"/>
    </row>
    <row r="146" spans="2:37">
      <c r="B146" s="163" t="str">
        <f>B169</f>
        <v>CWDM/DWDM</v>
      </c>
      <c r="C146" s="140"/>
      <c r="D146" s="140"/>
      <c r="E146" s="140"/>
      <c r="F146" s="140"/>
      <c r="AI146"/>
      <c r="AJ146"/>
      <c r="AK146"/>
    </row>
    <row r="147" spans="2:37" ht="13.2">
      <c r="B147" s="149"/>
      <c r="C147" s="140"/>
      <c r="D147" s="140"/>
      <c r="E147" s="140"/>
      <c r="F147" s="140"/>
      <c r="AI147"/>
      <c r="AJ147"/>
      <c r="AK147"/>
    </row>
    <row r="148" spans="2:37" ht="13.2">
      <c r="C148" s="140"/>
      <c r="D148" s="140"/>
      <c r="E148" s="140"/>
      <c r="F148" s="140"/>
      <c r="AI148"/>
      <c r="AJ148"/>
      <c r="AK148"/>
    </row>
    <row r="149" spans="2:37" ht="13.2">
      <c r="C149" s="140"/>
      <c r="D149" s="140"/>
      <c r="E149" s="140"/>
      <c r="F149" s="140"/>
      <c r="AI149"/>
      <c r="AJ149"/>
      <c r="AK149"/>
    </row>
    <row r="150" spans="2:37" ht="13.2">
      <c r="C150" s="140"/>
      <c r="D150" s="140"/>
      <c r="E150" s="140"/>
      <c r="F150" s="140"/>
      <c r="AI150"/>
      <c r="AJ150"/>
      <c r="AK150"/>
    </row>
    <row r="151" spans="2:37" ht="13.2">
      <c r="C151" s="140"/>
      <c r="D151" s="140"/>
      <c r="E151" s="140"/>
      <c r="F151" s="140"/>
      <c r="AI151"/>
      <c r="AJ151"/>
      <c r="AK151"/>
    </row>
    <row r="152" spans="2:37" ht="13.2">
      <c r="C152" s="140"/>
      <c r="D152" s="140"/>
      <c r="E152" s="140"/>
      <c r="F152" s="140"/>
      <c r="AI152"/>
      <c r="AJ152"/>
      <c r="AK152"/>
    </row>
    <row r="153" spans="2:37" ht="13.2">
      <c r="C153" s="140"/>
      <c r="D153" s="140"/>
      <c r="E153" s="140"/>
      <c r="F153" s="140"/>
      <c r="AI153"/>
      <c r="AJ153"/>
      <c r="AK153"/>
    </row>
    <row r="154" spans="2:37" ht="13.2">
      <c r="C154" s="140"/>
      <c r="D154" s="140"/>
      <c r="E154" s="140"/>
      <c r="F154" s="140"/>
      <c r="AI154"/>
      <c r="AJ154"/>
      <c r="AK154"/>
    </row>
    <row r="155" spans="2:37" ht="13.2">
      <c r="C155" s="140"/>
      <c r="D155" s="140"/>
      <c r="E155" s="140"/>
      <c r="F155" s="140"/>
      <c r="AI155"/>
      <c r="AJ155"/>
      <c r="AK155"/>
    </row>
    <row r="156" spans="2:37" ht="13.2">
      <c r="C156" s="140"/>
      <c r="D156" s="140"/>
      <c r="E156" s="140"/>
      <c r="F156" s="140"/>
      <c r="AI156"/>
      <c r="AJ156"/>
      <c r="AK156"/>
    </row>
    <row r="157" spans="2:37" ht="13.2">
      <c r="C157" s="140"/>
      <c r="D157" s="140"/>
      <c r="E157" s="140"/>
      <c r="F157" s="140"/>
      <c r="AI157"/>
      <c r="AJ157"/>
      <c r="AK157"/>
    </row>
    <row r="158" spans="2:37" ht="13.2">
      <c r="C158" s="140"/>
      <c r="D158" s="140"/>
      <c r="E158" s="140"/>
      <c r="F158" s="140"/>
      <c r="AI158"/>
      <c r="AJ158"/>
      <c r="AK158"/>
    </row>
    <row r="159" spans="2:37" ht="13.2">
      <c r="C159" s="140"/>
      <c r="D159" s="140"/>
      <c r="E159" s="140"/>
      <c r="F159" s="140"/>
      <c r="AI159"/>
      <c r="AJ159"/>
      <c r="AK159"/>
    </row>
    <row r="160" spans="2:37" ht="13.2">
      <c r="C160" s="140"/>
      <c r="D160" s="140"/>
      <c r="E160" s="140"/>
      <c r="F160" s="140"/>
      <c r="AI160"/>
      <c r="AJ160"/>
      <c r="AK160"/>
    </row>
    <row r="161" spans="2:37" ht="13.2">
      <c r="C161" s="140"/>
      <c r="D161" s="140"/>
      <c r="E161" s="140"/>
      <c r="F161" s="140"/>
      <c r="AI161"/>
      <c r="AJ161"/>
      <c r="AK161"/>
    </row>
    <row r="162" spans="2:37" ht="13.2">
      <c r="C162" s="140"/>
      <c r="D162" s="140"/>
      <c r="E162" s="140"/>
      <c r="F162" s="140"/>
      <c r="AI162"/>
      <c r="AJ162"/>
      <c r="AK162"/>
    </row>
    <row r="163" spans="2:37" ht="13.2">
      <c r="C163" s="140"/>
      <c r="D163" s="140"/>
      <c r="E163" s="140"/>
      <c r="F163" s="140"/>
      <c r="AI163"/>
      <c r="AJ163"/>
      <c r="AK163"/>
    </row>
    <row r="164" spans="2:37" ht="13.2">
      <c r="C164" s="140"/>
      <c r="D164" s="140"/>
      <c r="E164" s="140"/>
      <c r="F164" s="140"/>
      <c r="AI164"/>
      <c r="AJ164"/>
      <c r="AK164"/>
    </row>
    <row r="165" spans="2:37" ht="13.2">
      <c r="C165" s="140"/>
      <c r="D165" s="140"/>
      <c r="E165" s="140"/>
      <c r="F165" s="140"/>
      <c r="AI165"/>
      <c r="AJ165"/>
      <c r="AK165"/>
    </row>
    <row r="166" spans="2:37" ht="13.2">
      <c r="C166" s="140"/>
      <c r="D166" s="140"/>
      <c r="E166" s="140"/>
      <c r="F166" s="140"/>
      <c r="AI166"/>
      <c r="AJ166"/>
      <c r="AK166"/>
    </row>
    <row r="167" spans="2:37" ht="13.2">
      <c r="C167" s="140"/>
      <c r="D167" s="140"/>
      <c r="E167" s="140"/>
      <c r="F167" s="140"/>
      <c r="AI167"/>
      <c r="AJ167"/>
      <c r="AK167"/>
    </row>
    <row r="168" spans="2:37" ht="13.2">
      <c r="C168" s="140"/>
      <c r="D168" s="140"/>
      <c r="E168" s="140"/>
      <c r="F168" s="140"/>
      <c r="AI168"/>
      <c r="AJ168"/>
      <c r="AK168"/>
    </row>
    <row r="169" spans="2:37" ht="15" thickBot="1">
      <c r="B169" s="795" t="s">
        <v>152</v>
      </c>
      <c r="C169" s="140"/>
      <c r="D169" s="140"/>
      <c r="E169" s="140"/>
      <c r="F169" s="140"/>
      <c r="Q169" s="60"/>
      <c r="R169" s="14"/>
      <c r="S169" s="795" t="str">
        <f>B169</f>
        <v>CWDM/DWDM</v>
      </c>
      <c r="AG169" s="60"/>
      <c r="AH169" s="14"/>
      <c r="AI169"/>
      <c r="AJ169"/>
      <c r="AK169"/>
    </row>
    <row r="170" spans="2:37" ht="18" customHeight="1" thickBot="1">
      <c r="B170" s="1858" t="s">
        <v>467</v>
      </c>
      <c r="C170" s="613"/>
      <c r="D170" s="632"/>
      <c r="E170" s="632"/>
      <c r="F170" s="632"/>
      <c r="G170" s="632" t="s">
        <v>209</v>
      </c>
      <c r="H170" s="632"/>
      <c r="I170" s="632"/>
      <c r="J170" s="632"/>
      <c r="K170" s="632"/>
      <c r="L170" s="632"/>
      <c r="M170" s="632"/>
      <c r="N170" s="632"/>
      <c r="O170" s="632"/>
      <c r="P170" s="632"/>
      <c r="Q170" s="1855" t="s">
        <v>500</v>
      </c>
      <c r="R170" s="1856"/>
      <c r="S170" s="612"/>
      <c r="T170" s="632"/>
      <c r="U170" s="632"/>
      <c r="V170" s="632"/>
      <c r="W170" s="632" t="s">
        <v>371</v>
      </c>
      <c r="X170" s="632"/>
      <c r="Y170" s="632"/>
      <c r="Z170" s="632"/>
      <c r="AA170" s="632"/>
      <c r="AB170" s="632"/>
      <c r="AC170" s="632"/>
      <c r="AD170" s="632"/>
      <c r="AE170" s="632"/>
      <c r="AF170" s="632"/>
      <c r="AG170" s="1855" t="s">
        <v>500</v>
      </c>
      <c r="AH170" s="1856"/>
      <c r="AI170"/>
      <c r="AJ170"/>
      <c r="AK170"/>
    </row>
    <row r="171" spans="2:37" ht="13.8" thickBot="1">
      <c r="B171" s="1859" t="s">
        <v>211</v>
      </c>
      <c r="C171" s="446" t="str">
        <f t="shared" ref="C171:I171" si="28">C68</f>
        <v>1Q 17</v>
      </c>
      <c r="D171" s="378" t="str">
        <f t="shared" si="28"/>
        <v>2Q 17</v>
      </c>
      <c r="E171" s="378" t="str">
        <f t="shared" si="28"/>
        <v>3Q 17</v>
      </c>
      <c r="F171" s="447" t="str">
        <f t="shared" si="28"/>
        <v>4Q 17</v>
      </c>
      <c r="G171" s="446" t="str">
        <f t="shared" si="28"/>
        <v>1Q 18</v>
      </c>
      <c r="H171" s="378" t="str">
        <f t="shared" si="28"/>
        <v>2Q 18</v>
      </c>
      <c r="I171" s="378" t="str">
        <f t="shared" si="28"/>
        <v>3Q 18</v>
      </c>
      <c r="J171" s="447" t="str">
        <f>J$68</f>
        <v>4Q 18</v>
      </c>
      <c r="K171" s="446" t="str">
        <f t="shared" ref="K171:AB171" si="29">K$68</f>
        <v>1Q 19</v>
      </c>
      <c r="L171" s="378" t="str">
        <f t="shared" si="29"/>
        <v>2Q 19</v>
      </c>
      <c r="M171" s="378" t="s">
        <v>140</v>
      </c>
      <c r="N171" s="447" t="s">
        <v>141</v>
      </c>
      <c r="O171" s="446" t="s">
        <v>142</v>
      </c>
      <c r="P171" s="378" t="s">
        <v>143</v>
      </c>
      <c r="Q171" s="774" t="s">
        <v>621</v>
      </c>
      <c r="R171" s="774" t="s">
        <v>622</v>
      </c>
      <c r="S171" s="446" t="str">
        <f t="shared" si="29"/>
        <v>1Q 17</v>
      </c>
      <c r="T171" s="378" t="str">
        <f t="shared" si="29"/>
        <v>2Q 17</v>
      </c>
      <c r="U171" s="378" t="str">
        <f t="shared" si="29"/>
        <v>3Q 17</v>
      </c>
      <c r="V171" s="447" t="str">
        <f t="shared" si="29"/>
        <v>4Q 17</v>
      </c>
      <c r="W171" s="446" t="str">
        <f t="shared" si="29"/>
        <v>1Q 18</v>
      </c>
      <c r="X171" s="378" t="str">
        <f t="shared" si="29"/>
        <v>2Q 18</v>
      </c>
      <c r="Y171" s="378" t="str">
        <f t="shared" si="29"/>
        <v>3Q 18</v>
      </c>
      <c r="Z171" s="447" t="str">
        <f t="shared" si="29"/>
        <v>4Q 18</v>
      </c>
      <c r="AA171" s="446" t="str">
        <f t="shared" si="29"/>
        <v>1Q 19</v>
      </c>
      <c r="AB171" s="378" t="str">
        <f t="shared" si="29"/>
        <v>2Q 19</v>
      </c>
      <c r="AC171" s="378" t="s">
        <v>140</v>
      </c>
      <c r="AD171" s="447" t="s">
        <v>141</v>
      </c>
      <c r="AE171" s="446" t="s">
        <v>142</v>
      </c>
      <c r="AF171" s="378" t="s">
        <v>143</v>
      </c>
      <c r="AG171" s="1539" t="s">
        <v>621</v>
      </c>
      <c r="AH171" s="1540" t="s">
        <v>622</v>
      </c>
      <c r="AI171"/>
      <c r="AJ171"/>
      <c r="AK171"/>
    </row>
    <row r="172" spans="2:37" ht="13.2">
      <c r="B172" s="165" t="s">
        <v>213</v>
      </c>
      <c r="C172" s="470">
        <f>SUM('CWDM and DWDM'!E9:E13)</f>
        <v>80813</v>
      </c>
      <c r="D172" s="477">
        <f>SUM('CWDM and DWDM'!F9:F13)</f>
        <v>81399</v>
      </c>
      <c r="E172" s="474">
        <f>SUM('CWDM and DWDM'!G9:G13)</f>
        <v>54296</v>
      </c>
      <c r="F172" s="499">
        <f>SUM('CWDM and DWDM'!H9:H13)</f>
        <v>60066</v>
      </c>
      <c r="G172" s="470">
        <f>SUM('CWDM and DWDM'!I9:I13)</f>
        <v>0</v>
      </c>
      <c r="H172" s="477">
        <f>SUM('CWDM and DWDM'!J9:J13)</f>
        <v>0</v>
      </c>
      <c r="I172" s="729">
        <f>SUM('CWDM and DWDM'!K9:K13)</f>
        <v>0</v>
      </c>
      <c r="J172" s="731">
        <f>SUM('CWDM and DWDM'!L9:L13)</f>
        <v>0</v>
      </c>
      <c r="K172" s="470">
        <f>SUM('CWDM and DWDM'!M9:M13)</f>
        <v>0</v>
      </c>
      <c r="L172" s="477">
        <f>SUM('CWDM and DWDM'!N9:N13)</f>
        <v>0</v>
      </c>
      <c r="M172" s="729">
        <f>SUM('CWDM and DWDM'!O9:O13)</f>
        <v>0</v>
      </c>
      <c r="N172" s="731">
        <f>SUM('CWDM and DWDM'!P9:P13)</f>
        <v>0</v>
      </c>
      <c r="O172" s="470">
        <f>SUM('CWDM and DWDM'!Q9:Q13)</f>
        <v>0</v>
      </c>
      <c r="P172" s="477">
        <f>SUM('CWDM and DWDM'!R9:R13)</f>
        <v>0</v>
      </c>
      <c r="Q172" s="729">
        <f>SUM('CWDM and DWDM'!S9:S13)</f>
        <v>0</v>
      </c>
      <c r="R172" s="731">
        <f>SUM('CWDM and DWDM'!T9:T13)</f>
        <v>0</v>
      </c>
      <c r="S172" s="480">
        <f>SUM('CWDM and DWDM'!E53:E57)/10^6</f>
        <v>13.983640550116636</v>
      </c>
      <c r="T172" s="475">
        <f>SUM('CWDM and DWDM'!F53:F57)/10^6</f>
        <v>13.409607774386899</v>
      </c>
      <c r="U172" s="475">
        <f>SUM('CWDM and DWDM'!G53:G57)/10^6</f>
        <v>9.4699861220245243</v>
      </c>
      <c r="V172" s="497">
        <f>SUM('CWDM and DWDM'!H53:H57)/10^6</f>
        <v>9.4763765587417765</v>
      </c>
      <c r="W172" s="475">
        <f>SUM('CWDM and DWDM'!I53:I57)/10^6</f>
        <v>0</v>
      </c>
      <c r="X172" s="475">
        <f>SUM('CWDM and DWDM'!J53:J57)/10^6</f>
        <v>0</v>
      </c>
      <c r="Y172" s="728">
        <f>SUM('CWDM and DWDM'!K53:K57)/10^6</f>
        <v>0</v>
      </c>
      <c r="Z172" s="497">
        <f>SUM('CWDM and DWDM'!L53:L57)/10^6</f>
        <v>0</v>
      </c>
      <c r="AA172" s="475">
        <f>SUM('CWDM and DWDM'!M53:M57)/10^6</f>
        <v>0</v>
      </c>
      <c r="AB172" s="475">
        <f>SUM('CWDM and DWDM'!N53:N57)/10^6</f>
        <v>0</v>
      </c>
      <c r="AC172" s="728">
        <f>SUM('CWDM and DWDM'!O53:O57)/10^6</f>
        <v>0</v>
      </c>
      <c r="AD172" s="1074">
        <f>SUM('CWDM and DWDM'!P53:P57)/10^6</f>
        <v>0</v>
      </c>
      <c r="AE172" s="475">
        <f>SUM('CWDM and DWDM'!Q53:Q57)/10^6</f>
        <v>0</v>
      </c>
      <c r="AF172" s="475">
        <f>SUM('CWDM and DWDM'!R53:R57)/10^6</f>
        <v>0</v>
      </c>
      <c r="AG172" s="728">
        <f>SUM('CWDM and DWDM'!S53:S57)/10^6</f>
        <v>0</v>
      </c>
      <c r="AH172" s="1074">
        <f>SUM('CWDM and DWDM'!T53:T57)/10^6</f>
        <v>0</v>
      </c>
      <c r="AI172"/>
      <c r="AJ172"/>
      <c r="AK172"/>
    </row>
    <row r="173" spans="2:37" ht="13.2">
      <c r="B173" s="171" t="s">
        <v>437</v>
      </c>
      <c r="C173" s="172">
        <f>'CWDM and DWDM'!E14</f>
        <v>24286</v>
      </c>
      <c r="D173" s="478">
        <f>'CWDM and DWDM'!F14</f>
        <v>17356</v>
      </c>
      <c r="E173" s="474">
        <f>'CWDM and DWDM'!G14</f>
        <v>5994</v>
      </c>
      <c r="F173" s="500">
        <f>'CWDM and DWDM'!H14</f>
        <v>7562</v>
      </c>
      <c r="G173" s="172">
        <f>'CWDM and DWDM'!I14</f>
        <v>0</v>
      </c>
      <c r="H173" s="478">
        <f>'CWDM and DWDM'!J14</f>
        <v>0</v>
      </c>
      <c r="I173" s="474">
        <f>'CWDM and DWDM'!K14</f>
        <v>0</v>
      </c>
      <c r="J173" s="500">
        <f>'CWDM and DWDM'!L14</f>
        <v>0</v>
      </c>
      <c r="K173" s="172">
        <f>'CWDM and DWDM'!M14</f>
        <v>0</v>
      </c>
      <c r="L173" s="478">
        <f>'CWDM and DWDM'!N14</f>
        <v>0</v>
      </c>
      <c r="M173" s="474">
        <f>'CWDM and DWDM'!O14</f>
        <v>0</v>
      </c>
      <c r="N173" s="500">
        <f>'CWDM and DWDM'!P14</f>
        <v>0</v>
      </c>
      <c r="O173" s="172"/>
      <c r="P173" s="478"/>
      <c r="Q173" s="474">
        <f>'CWDM and DWDM'!S14</f>
        <v>0</v>
      </c>
      <c r="R173" s="500">
        <f>'CWDM and DWDM'!T14</f>
        <v>0</v>
      </c>
      <c r="S173" s="480">
        <f>'CWDM and DWDM'!E58/10^6</f>
        <v>6.731084000000001</v>
      </c>
      <c r="T173" s="475">
        <f>'CWDM and DWDM'!F58/10^6</f>
        <v>4.6280809999999999</v>
      </c>
      <c r="U173" s="475">
        <f>'CWDM and DWDM'!G58/10^6</f>
        <v>1.4454020000000005</v>
      </c>
      <c r="V173" s="497">
        <f>'CWDM and DWDM'!H58/10^6</f>
        <v>1.7121029999999986</v>
      </c>
      <c r="W173" s="475">
        <f>'CWDM and DWDM'!I58/10^6</f>
        <v>0</v>
      </c>
      <c r="X173" s="475">
        <f>'CWDM and DWDM'!J58/10^6</f>
        <v>0</v>
      </c>
      <c r="Y173" s="475">
        <f>'CWDM and DWDM'!K58/10^6</f>
        <v>0</v>
      </c>
      <c r="Z173" s="497">
        <f>'CWDM and DWDM'!L58/10^6</f>
        <v>0</v>
      </c>
      <c r="AA173" s="475">
        <f>'CWDM and DWDM'!M58/10^6</f>
        <v>0</v>
      </c>
      <c r="AB173" s="475">
        <f>'CWDM and DWDM'!N58/10^6</f>
        <v>0</v>
      </c>
      <c r="AC173" s="475">
        <f>'CWDM and DWDM'!O58/10^6</f>
        <v>0</v>
      </c>
      <c r="AD173" s="1076">
        <f>'CWDM and DWDM'!P58/10^6</f>
        <v>0</v>
      </c>
      <c r="AE173" s="475"/>
      <c r="AF173" s="475"/>
      <c r="AG173" s="475"/>
      <c r="AH173" s="1076"/>
      <c r="AI173"/>
      <c r="AJ173"/>
      <c r="AK173"/>
    </row>
    <row r="174" spans="2:37" ht="13.5" customHeight="1">
      <c r="B174" s="369" t="s">
        <v>488</v>
      </c>
      <c r="C174" s="172">
        <f>SUM('CWDM and DWDM'!E15:E18)</f>
        <v>116984</v>
      </c>
      <c r="D174" s="479">
        <f>SUM('CWDM and DWDM'!F15:F18)</f>
        <v>120438</v>
      </c>
      <c r="E174" s="474">
        <f>SUM('CWDM and DWDM'!G15:G18)</f>
        <v>110517</v>
      </c>
      <c r="F174" s="500">
        <f>SUM('CWDM and DWDM'!H15:H18)</f>
        <v>102842</v>
      </c>
      <c r="G174" s="172">
        <f>SUM('CWDM and DWDM'!I15:I18)</f>
        <v>0</v>
      </c>
      <c r="H174" s="479">
        <f>SUM('CWDM and DWDM'!J15:J18)</f>
        <v>0</v>
      </c>
      <c r="I174" s="474">
        <f>SUM('CWDM and DWDM'!K15:K18)</f>
        <v>0</v>
      </c>
      <c r="J174" s="500">
        <f>SUM('CWDM and DWDM'!L15:L18)</f>
        <v>0</v>
      </c>
      <c r="K174" s="172">
        <f>SUM('CWDM and DWDM'!M15:M18)</f>
        <v>0</v>
      </c>
      <c r="L174" s="479">
        <f>SUM('CWDM and DWDM'!N15:N18)</f>
        <v>0</v>
      </c>
      <c r="M174" s="474">
        <f>SUM('CWDM and DWDM'!O15:O18)</f>
        <v>0</v>
      </c>
      <c r="N174" s="500">
        <f>SUM('CWDM and DWDM'!P15:P18)</f>
        <v>0</v>
      </c>
      <c r="O174" s="172">
        <f>SUM('CWDM and DWDM'!Q15:Q18)</f>
        <v>0</v>
      </c>
      <c r="P174" s="479">
        <f>SUM('CWDM and DWDM'!R15:R18)</f>
        <v>0</v>
      </c>
      <c r="Q174" s="474">
        <f>SUM('CWDM and DWDM'!S15:S18)</f>
        <v>0</v>
      </c>
      <c r="R174" s="500">
        <f>SUM('CWDM and DWDM'!T15:T18)</f>
        <v>0</v>
      </c>
      <c r="S174" s="480">
        <f>SUM('CWDM and DWDM'!E59:E62)/10^6</f>
        <v>61.883428881190348</v>
      </c>
      <c r="T174" s="475">
        <f>SUM('CWDM and DWDM'!F59:F62)/10^6</f>
        <v>61.156011132712379</v>
      </c>
      <c r="U174" s="475">
        <f>SUM('CWDM and DWDM'!G59:G62)/10^6</f>
        <v>56.969980131121275</v>
      </c>
      <c r="V174" s="497">
        <f>SUM('CWDM and DWDM'!H59:H62)/10^6</f>
        <v>51.812621765972771</v>
      </c>
      <c r="W174" s="475">
        <f>SUM('CWDM and DWDM'!I59:I62)/10^6</f>
        <v>0</v>
      </c>
      <c r="X174" s="475">
        <f>SUM('CWDM and DWDM'!J59:J62)/10^6</f>
        <v>0</v>
      </c>
      <c r="Y174" s="475">
        <f>SUM('CWDM and DWDM'!K59:K62)/10^6</f>
        <v>0</v>
      </c>
      <c r="Z174" s="497">
        <f>SUM('CWDM and DWDM'!L59:L62)/10^6</f>
        <v>0</v>
      </c>
      <c r="AA174" s="475">
        <f>SUM('CWDM and DWDM'!M59:M62)/10^6</f>
        <v>0</v>
      </c>
      <c r="AB174" s="475">
        <f>SUM('CWDM and DWDM'!N59:N62)/10^6</f>
        <v>0</v>
      </c>
      <c r="AC174" s="475">
        <f>SUM('CWDM and DWDM'!O59:O62)/10^6</f>
        <v>0</v>
      </c>
      <c r="AD174" s="1076">
        <f>SUM('CWDM and DWDM'!P59:P62)/10^6</f>
        <v>0</v>
      </c>
      <c r="AE174" s="475">
        <f>SUM('CWDM and DWDM'!Q59:Q62)/10^6</f>
        <v>0</v>
      </c>
      <c r="AF174" s="475">
        <f>SUM('CWDM and DWDM'!R59:R62)/10^6</f>
        <v>0</v>
      </c>
      <c r="AG174" s="475">
        <f>SUM('CWDM and DWDM'!S59:S62)/10^6</f>
        <v>0</v>
      </c>
      <c r="AH174" s="1076">
        <f>SUM('CWDM and DWDM'!T59:T62)/10^6</f>
        <v>0</v>
      </c>
      <c r="AI174"/>
      <c r="AJ174"/>
      <c r="AK174"/>
    </row>
    <row r="175" spans="2:37" ht="13.5" customHeight="1">
      <c r="B175" s="369" t="s">
        <v>438</v>
      </c>
      <c r="C175" s="172">
        <f>'CWDM and DWDM'!E19</f>
        <v>232</v>
      </c>
      <c r="D175" s="479">
        <f>'CWDM and DWDM'!F19</f>
        <v>52</v>
      </c>
      <c r="E175" s="474">
        <f>'CWDM and DWDM'!G19</f>
        <v>50</v>
      </c>
      <c r="F175" s="500">
        <f>'CWDM and DWDM'!H19</f>
        <v>0</v>
      </c>
      <c r="G175" s="172">
        <f>'CWDM and DWDM'!I19</f>
        <v>0</v>
      </c>
      <c r="H175" s="479">
        <f>'CWDM and DWDM'!J19</f>
        <v>0</v>
      </c>
      <c r="I175" s="474">
        <f>'CWDM and DWDM'!K19</f>
        <v>0</v>
      </c>
      <c r="J175" s="500">
        <f>'CWDM and DWDM'!L19</f>
        <v>0</v>
      </c>
      <c r="K175" s="172">
        <f>'CWDM and DWDM'!M19</f>
        <v>0</v>
      </c>
      <c r="L175" s="479">
        <f>'CWDM and DWDM'!N19</f>
        <v>0</v>
      </c>
      <c r="M175" s="474">
        <f>'CWDM and DWDM'!O19</f>
        <v>0</v>
      </c>
      <c r="N175" s="500">
        <f>'CWDM and DWDM'!P19</f>
        <v>0</v>
      </c>
      <c r="O175" s="172">
        <f>'CWDM and DWDM'!Q19</f>
        <v>0</v>
      </c>
      <c r="P175" s="479">
        <f>'CWDM and DWDM'!R19</f>
        <v>0</v>
      </c>
      <c r="Q175" s="474">
        <f>'CWDM and DWDM'!S19</f>
        <v>0</v>
      </c>
      <c r="R175" s="500">
        <f>'CWDM and DWDM'!T19</f>
        <v>0</v>
      </c>
      <c r="S175" s="480">
        <f>'CWDM and DWDM'!E63/10^6</f>
        <v>1.8560000000000001</v>
      </c>
      <c r="T175" s="475">
        <f>'CWDM and DWDM'!F63/10^6</f>
        <v>0.39</v>
      </c>
      <c r="U175" s="475">
        <f>'CWDM and DWDM'!G63/10^6</f>
        <v>0</v>
      </c>
      <c r="V175" s="497">
        <f>'CWDM and DWDM'!H63/10^6</f>
        <v>0</v>
      </c>
      <c r="W175" s="475">
        <f>'CWDM and DWDM'!I63/10^6</f>
        <v>0</v>
      </c>
      <c r="X175" s="475">
        <f>'CWDM and DWDM'!J63/10^6</f>
        <v>0</v>
      </c>
      <c r="Y175" s="475">
        <f>'CWDM and DWDM'!K63/10^6</f>
        <v>0</v>
      </c>
      <c r="Z175" s="497">
        <f>'CWDM and DWDM'!L63/10^6</f>
        <v>0</v>
      </c>
      <c r="AA175" s="475">
        <f>'CWDM and DWDM'!M63/10^6</f>
        <v>0</v>
      </c>
      <c r="AB175" s="475">
        <f>'CWDM and DWDM'!N63/10^6</f>
        <v>0</v>
      </c>
      <c r="AC175" s="475">
        <f>'CWDM and DWDM'!O63/10^6</f>
        <v>0</v>
      </c>
      <c r="AD175" s="1076">
        <f>'CWDM and DWDM'!P63/10^6</f>
        <v>0</v>
      </c>
      <c r="AE175" s="475">
        <f>'CWDM and DWDM'!Q63/10^6</f>
        <v>0</v>
      </c>
      <c r="AF175" s="475">
        <f>'CWDM and DWDM'!R63/10^6</f>
        <v>0</v>
      </c>
      <c r="AG175" s="475">
        <f>'CWDM and DWDM'!S63/10^6</f>
        <v>0</v>
      </c>
      <c r="AH175" s="1076">
        <f>'CWDM and DWDM'!T63/10^6</f>
        <v>0</v>
      </c>
      <c r="AI175"/>
      <c r="AJ175"/>
      <c r="AK175"/>
    </row>
    <row r="176" spans="2:37" ht="13.5" customHeight="1">
      <c r="B176" s="664" t="s">
        <v>487</v>
      </c>
      <c r="C176" s="173">
        <f>SUM('CWDM and DWDM'!E20:E23)</f>
        <v>23724</v>
      </c>
      <c r="D176" s="173">
        <f>SUM('CWDM and DWDM'!F20:F23)</f>
        <v>26096</v>
      </c>
      <c r="E176" s="474">
        <f>SUM('CWDM and DWDM'!G20:G23)</f>
        <v>28986</v>
      </c>
      <c r="F176" s="500">
        <f>SUM('CWDM and DWDM'!H20:H23)</f>
        <v>26518</v>
      </c>
      <c r="G176" s="173">
        <f>SUM('CWDM and DWDM'!I20:I23)</f>
        <v>0</v>
      </c>
      <c r="H176" s="173">
        <f>SUM('CWDM and DWDM'!J20:J23)</f>
        <v>0</v>
      </c>
      <c r="I176" s="474">
        <f>SUM('CWDM and DWDM'!K20:K23)</f>
        <v>0</v>
      </c>
      <c r="J176" s="500">
        <f>SUM('CWDM and DWDM'!L20:L23)</f>
        <v>0</v>
      </c>
      <c r="K176" s="173">
        <f>SUM('CWDM and DWDM'!M20:M24)</f>
        <v>0</v>
      </c>
      <c r="L176" s="173">
        <f>SUM('CWDM and DWDM'!N20:N24)</f>
        <v>0</v>
      </c>
      <c r="M176" s="474">
        <f>SUM('CWDM and DWDM'!O20:O24)</f>
        <v>0</v>
      </c>
      <c r="N176" s="500">
        <f>SUM('CWDM and DWDM'!P20:P24)</f>
        <v>0</v>
      </c>
      <c r="O176" s="173">
        <f>SUM('CWDM and DWDM'!Q20:Q24)</f>
        <v>0</v>
      </c>
      <c r="P176" s="173">
        <f>SUM('CWDM and DWDM'!R20:R24)</f>
        <v>0</v>
      </c>
      <c r="Q176" s="474">
        <f>SUM('CWDM and DWDM'!S20:S24)</f>
        <v>0</v>
      </c>
      <c r="R176" s="500">
        <f>SUM('CWDM and DWDM'!T20:T24)</f>
        <v>0</v>
      </c>
      <c r="S176" s="480">
        <f>SUM('CWDM and DWDM'!E64:E68)/10^6</f>
        <v>184.87078</v>
      </c>
      <c r="T176" s="475">
        <f>SUM('CWDM and DWDM'!F64:F68)/10^6</f>
        <v>176.35138000000001</v>
      </c>
      <c r="U176" s="475">
        <f>SUM('CWDM and DWDM'!G64:G68)/10^6</f>
        <v>174.736537</v>
      </c>
      <c r="V176" s="497">
        <f>SUM('CWDM and DWDM'!H64:H68)/10^6</f>
        <v>154.51026200000001</v>
      </c>
      <c r="W176" s="475">
        <f>SUM('CWDM and DWDM'!I64:I68)/10^6</f>
        <v>0</v>
      </c>
      <c r="X176" s="475">
        <f>SUM('CWDM and DWDM'!J64:J68)/10^6</f>
        <v>0</v>
      </c>
      <c r="Y176" s="475">
        <f>SUM('CWDM and DWDM'!K64:K68)/10^6</f>
        <v>0</v>
      </c>
      <c r="Z176" s="497">
        <f>SUM('CWDM and DWDM'!L64:L68)/10^6</f>
        <v>0</v>
      </c>
      <c r="AA176" s="475">
        <f>SUM('CWDM and DWDM'!M64:M68)/10^6</f>
        <v>0</v>
      </c>
      <c r="AB176" s="475">
        <f>SUM('CWDM and DWDM'!N64:N68)/10^6</f>
        <v>0</v>
      </c>
      <c r="AC176" s="475">
        <f>SUM('CWDM and DWDM'!O64:O68)/10^6</f>
        <v>0</v>
      </c>
      <c r="AD176" s="1076">
        <f>SUM('CWDM and DWDM'!P64:P68)/10^6</f>
        <v>0</v>
      </c>
      <c r="AE176" s="475">
        <f>SUM('CWDM and DWDM'!Q64:Q68)/10^6</f>
        <v>0</v>
      </c>
      <c r="AF176" s="475">
        <f>SUM('CWDM and DWDM'!R64:R68)/10^6</f>
        <v>0</v>
      </c>
      <c r="AG176" s="475">
        <f>SUM('CWDM and DWDM'!S64:S68)/10^6</f>
        <v>0</v>
      </c>
      <c r="AH176" s="1076">
        <f>SUM('CWDM and DWDM'!T64:T68)/10^6</f>
        <v>0</v>
      </c>
      <c r="AI176"/>
      <c r="AJ176"/>
      <c r="AK176"/>
    </row>
    <row r="177" spans="1:37" ht="13.2">
      <c r="A177" s="126"/>
      <c r="B177" s="174" t="s">
        <v>155</v>
      </c>
      <c r="C177" s="501">
        <f t="shared" ref="C177:H177" si="30">SUM(C172:C176)</f>
        <v>246039</v>
      </c>
      <c r="D177" s="481">
        <f t="shared" si="30"/>
        <v>245341</v>
      </c>
      <c r="E177" s="130">
        <f t="shared" si="30"/>
        <v>199843</v>
      </c>
      <c r="F177" s="468">
        <f t="shared" si="30"/>
        <v>196988</v>
      </c>
      <c r="G177" s="501">
        <f t="shared" si="30"/>
        <v>0</v>
      </c>
      <c r="H177" s="481">
        <f t="shared" si="30"/>
        <v>0</v>
      </c>
      <c r="I177" s="130">
        <f t="shared" ref="I177:R177" si="31">SUM(I172:I176)</f>
        <v>0</v>
      </c>
      <c r="J177" s="468">
        <f t="shared" si="31"/>
        <v>0</v>
      </c>
      <c r="K177" s="501">
        <f t="shared" si="31"/>
        <v>0</v>
      </c>
      <c r="L177" s="481">
        <f t="shared" si="31"/>
        <v>0</v>
      </c>
      <c r="M177" s="1080">
        <f t="shared" si="31"/>
        <v>0</v>
      </c>
      <c r="N177" s="1268">
        <f t="shared" si="31"/>
        <v>0</v>
      </c>
      <c r="O177" s="501">
        <f t="shared" si="31"/>
        <v>0</v>
      </c>
      <c r="P177" s="481">
        <f t="shared" si="31"/>
        <v>0</v>
      </c>
      <c r="Q177" s="1080">
        <f t="shared" si="31"/>
        <v>0</v>
      </c>
      <c r="R177" s="1268">
        <f t="shared" si="31"/>
        <v>0</v>
      </c>
      <c r="S177" s="1079">
        <f t="shared" ref="S177:AH177" si="32">SUM(S172:S176)</f>
        <v>269.32493343130699</v>
      </c>
      <c r="T177" s="476">
        <f t="shared" si="32"/>
        <v>255.93507990709929</v>
      </c>
      <c r="U177" s="476">
        <f t="shared" si="32"/>
        <v>242.6219052531458</v>
      </c>
      <c r="V177" s="498">
        <f t="shared" si="32"/>
        <v>217.51136332471455</v>
      </c>
      <c r="W177" s="476">
        <f t="shared" si="32"/>
        <v>0</v>
      </c>
      <c r="X177" s="476">
        <f t="shared" si="32"/>
        <v>0</v>
      </c>
      <c r="Y177" s="476">
        <f t="shared" si="32"/>
        <v>0</v>
      </c>
      <c r="Z177" s="498">
        <f t="shared" si="32"/>
        <v>0</v>
      </c>
      <c r="AA177" s="476">
        <f t="shared" si="32"/>
        <v>0</v>
      </c>
      <c r="AB177" s="476">
        <f t="shared" ref="AB177" si="33">SUM(AB172:AB176)</f>
        <v>0</v>
      </c>
      <c r="AC177" s="476">
        <f t="shared" si="32"/>
        <v>0</v>
      </c>
      <c r="AD177" s="1078">
        <f t="shared" si="32"/>
        <v>0</v>
      </c>
      <c r="AE177" s="476">
        <f t="shared" si="32"/>
        <v>0</v>
      </c>
      <c r="AF177" s="476">
        <f t="shared" si="32"/>
        <v>0</v>
      </c>
      <c r="AG177" s="476">
        <f t="shared" si="32"/>
        <v>0</v>
      </c>
      <c r="AH177" s="1078">
        <f t="shared" si="32"/>
        <v>0</v>
      </c>
      <c r="AI177"/>
      <c r="AJ177"/>
      <c r="AK177"/>
    </row>
    <row r="178" spans="1:37" ht="13.2">
      <c r="A178" s="126"/>
      <c r="B178" s="149"/>
      <c r="C178" s="175"/>
      <c r="D178" s="482"/>
      <c r="E178" s="175"/>
      <c r="F178" s="482"/>
      <c r="O178" s="794">
        <f>O177-'CWDM and DWDM'!Q26+'CWDM and DWDM'!Q25</f>
        <v>0</v>
      </c>
      <c r="P178" s="794">
        <f>P177-'CWDM and DWDM'!R26+'CWDM and DWDM'!R25</f>
        <v>0</v>
      </c>
      <c r="Q178" s="794">
        <f>Q177-'CWDM and DWDM'!S26+'CWDM and DWDM'!S25</f>
        <v>0</v>
      </c>
      <c r="R178" s="794">
        <f>R177-'CWDM and DWDM'!T26+'CWDM and DWDM'!T25</f>
        <v>0</v>
      </c>
      <c r="S178" s="1717">
        <f>S177-('CWDM and DWDM'!E70-'CWDM and DWDM'!E69)/10^6</f>
        <v>0</v>
      </c>
      <c r="T178" s="1717">
        <f>T177-('CWDM and DWDM'!F70-'CWDM and DWDM'!F69)/10^6</f>
        <v>0</v>
      </c>
      <c r="U178" s="1717">
        <f>U177-('CWDM and DWDM'!G70-'CWDM and DWDM'!G69)/10^6</f>
        <v>0</v>
      </c>
      <c r="V178" s="1717">
        <f>V177-('CWDM and DWDM'!H70-'CWDM and DWDM'!H69)/10^6</f>
        <v>0</v>
      </c>
      <c r="W178" s="1717">
        <f>W177-('CWDM and DWDM'!I70-'CWDM and DWDM'!I69)/10^6</f>
        <v>0</v>
      </c>
      <c r="X178" s="1717">
        <f>X177-('CWDM and DWDM'!J70-'CWDM and DWDM'!J69)/10^6</f>
        <v>0</v>
      </c>
      <c r="Y178" s="1717">
        <f>Y177-('CWDM and DWDM'!K70-'CWDM and DWDM'!K69)/10^6</f>
        <v>0</v>
      </c>
      <c r="Z178" s="1717">
        <f>Z177-('CWDM and DWDM'!L70-'CWDM and DWDM'!L69)/10^6</f>
        <v>0</v>
      </c>
      <c r="AA178" s="1717">
        <f>AA177-('CWDM and DWDM'!M70-'CWDM and DWDM'!M69)/10^6</f>
        <v>0</v>
      </c>
      <c r="AB178" s="1717">
        <f>AB177-('CWDM and DWDM'!N70-'CWDM and DWDM'!N69)/10^6</f>
        <v>0</v>
      </c>
      <c r="AC178" s="1717">
        <f>AC177-('CWDM and DWDM'!O70-'CWDM and DWDM'!O69)/10^6</f>
        <v>0</v>
      </c>
      <c r="AD178" s="1717">
        <f>AD177-('CWDM and DWDM'!P70-'CWDM and DWDM'!P69)/10^6</f>
        <v>0</v>
      </c>
      <c r="AE178" s="1717">
        <f>AE177-('CWDM and DWDM'!Q70-'CWDM and DWDM'!Q69)/10^6</f>
        <v>0</v>
      </c>
      <c r="AF178" s="1717">
        <f>AF177-('CWDM and DWDM'!R70-'CWDM and DWDM'!R69)/10^6</f>
        <v>0</v>
      </c>
      <c r="AG178" s="1717">
        <f>AG177-('CWDM and DWDM'!S70-'CWDM and DWDM'!S69)/10^6</f>
        <v>0</v>
      </c>
      <c r="AH178" s="1717">
        <f>AH177-('CWDM and DWDM'!T70-'CWDM and DWDM'!T69)/10^6</f>
        <v>0</v>
      </c>
      <c r="AI178"/>
      <c r="AJ178"/>
      <c r="AK178"/>
    </row>
    <row r="179" spans="1:37" ht="13.2">
      <c r="A179" s="126"/>
      <c r="B179" s="149"/>
      <c r="C179" s="175"/>
      <c r="D179" s="175"/>
      <c r="E179" s="175"/>
      <c r="F179" s="175"/>
      <c r="AI179"/>
      <c r="AJ179"/>
      <c r="AK179"/>
    </row>
    <row r="180" spans="1:37">
      <c r="A180" s="126"/>
      <c r="B180" s="163" t="s">
        <v>25</v>
      </c>
      <c r="C180" s="176"/>
      <c r="D180" s="176"/>
      <c r="E180" s="176"/>
      <c r="F180" s="176"/>
      <c r="AI180"/>
      <c r="AJ180"/>
      <c r="AK180"/>
    </row>
    <row r="181" spans="1:37" ht="13.2">
      <c r="A181" s="126"/>
      <c r="B181" s="149"/>
      <c r="C181" s="176"/>
      <c r="D181" s="176"/>
      <c r="E181" s="176"/>
      <c r="F181" s="176"/>
      <c r="AI181"/>
      <c r="AJ181"/>
      <c r="AK181"/>
    </row>
    <row r="182" spans="1:37" ht="13.2">
      <c r="A182" s="126"/>
      <c r="B182" s="149"/>
      <c r="C182" s="176"/>
      <c r="D182" s="176"/>
      <c r="E182" s="176"/>
      <c r="F182" s="176"/>
      <c r="AI182"/>
      <c r="AJ182"/>
      <c r="AK182"/>
    </row>
    <row r="183" spans="1:37" ht="13.2">
      <c r="A183" s="126"/>
      <c r="B183" s="149"/>
      <c r="C183" s="176"/>
      <c r="D183" s="176"/>
      <c r="E183" s="176"/>
      <c r="F183" s="176"/>
      <c r="AI183"/>
      <c r="AJ183"/>
      <c r="AK183"/>
    </row>
    <row r="184" spans="1:37" ht="13.2">
      <c r="A184" s="126"/>
      <c r="B184" s="149"/>
      <c r="C184" s="176"/>
      <c r="D184" s="176"/>
      <c r="E184" s="176"/>
      <c r="F184" s="176"/>
      <c r="AI184"/>
      <c r="AJ184"/>
      <c r="AK184"/>
    </row>
    <row r="185" spans="1:37" ht="13.2">
      <c r="A185" s="126"/>
      <c r="B185" s="149"/>
      <c r="C185" s="176"/>
      <c r="D185" s="176"/>
      <c r="E185" s="176"/>
      <c r="F185" s="176"/>
      <c r="AI185"/>
      <c r="AJ185"/>
      <c r="AK185"/>
    </row>
    <row r="186" spans="1:37" ht="13.2">
      <c r="A186" s="126"/>
      <c r="B186" s="149"/>
      <c r="C186" s="176"/>
      <c r="D186" s="176"/>
      <c r="E186" s="176"/>
      <c r="F186" s="176"/>
      <c r="AI186"/>
      <c r="AJ186"/>
      <c r="AK186"/>
    </row>
    <row r="187" spans="1:37" ht="13.2">
      <c r="A187" s="126"/>
      <c r="B187" s="149"/>
      <c r="C187" s="176"/>
      <c r="D187" s="176"/>
      <c r="E187" s="176"/>
      <c r="F187" s="176"/>
      <c r="AI187"/>
      <c r="AJ187"/>
      <c r="AK187"/>
    </row>
    <row r="188" spans="1:37" ht="13.2">
      <c r="A188" s="126"/>
      <c r="B188" s="149"/>
      <c r="C188" s="176"/>
      <c r="D188" s="176"/>
      <c r="E188" s="176"/>
      <c r="F188" s="176"/>
      <c r="AI188"/>
      <c r="AJ188"/>
      <c r="AK188"/>
    </row>
    <row r="189" spans="1:37" ht="13.2">
      <c r="A189" s="126"/>
      <c r="B189" s="149"/>
      <c r="C189" s="176"/>
      <c r="D189" s="176"/>
      <c r="E189" s="176"/>
      <c r="F189" s="176"/>
      <c r="AI189"/>
      <c r="AJ189"/>
      <c r="AK189"/>
    </row>
    <row r="190" spans="1:37" ht="13.2">
      <c r="A190" s="126"/>
      <c r="B190" s="149"/>
      <c r="C190" s="176"/>
      <c r="D190" s="176"/>
      <c r="E190" s="176"/>
      <c r="F190" s="176"/>
      <c r="AI190"/>
      <c r="AJ190"/>
      <c r="AK190"/>
    </row>
    <row r="191" spans="1:37" ht="13.2">
      <c r="A191" s="126"/>
      <c r="B191" s="149"/>
      <c r="C191" s="176"/>
      <c r="D191" s="176"/>
      <c r="E191" s="176"/>
      <c r="F191" s="176"/>
      <c r="AI191"/>
      <c r="AJ191"/>
      <c r="AK191"/>
    </row>
    <row r="192" spans="1:37" ht="13.2">
      <c r="A192" s="126"/>
      <c r="B192" s="149"/>
      <c r="C192" s="176"/>
      <c r="D192" s="176"/>
      <c r="E192" s="176"/>
      <c r="F192" s="176"/>
      <c r="AI192"/>
      <c r="AJ192"/>
      <c r="AK192"/>
    </row>
    <row r="193" spans="1:37" ht="13.2">
      <c r="A193" s="126"/>
      <c r="B193" s="149"/>
      <c r="C193" s="176"/>
      <c r="D193" s="176"/>
      <c r="E193" s="176"/>
      <c r="F193" s="176"/>
      <c r="AI193"/>
      <c r="AJ193"/>
      <c r="AK193"/>
    </row>
    <row r="194" spans="1:37" ht="13.2">
      <c r="A194" s="126"/>
      <c r="B194" s="149"/>
      <c r="C194" s="176"/>
      <c r="D194" s="176"/>
      <c r="E194" s="176"/>
      <c r="F194" s="176"/>
      <c r="AI194"/>
      <c r="AJ194"/>
      <c r="AK194"/>
    </row>
    <row r="195" spans="1:37" ht="13.2">
      <c r="A195" s="126"/>
      <c r="B195" s="149"/>
      <c r="C195" s="176"/>
      <c r="D195" s="176"/>
      <c r="E195" s="176"/>
      <c r="F195" s="176"/>
      <c r="AI195"/>
      <c r="AJ195"/>
      <c r="AK195"/>
    </row>
    <row r="196" spans="1:37" ht="13.2">
      <c r="A196" s="126"/>
      <c r="B196" s="149"/>
      <c r="C196" s="176"/>
      <c r="D196" s="176"/>
      <c r="E196" s="176"/>
      <c r="F196" s="176"/>
      <c r="AI196"/>
      <c r="AJ196"/>
      <c r="AK196"/>
    </row>
    <row r="197" spans="1:37" ht="13.2">
      <c r="A197" s="126"/>
      <c r="B197" s="149"/>
      <c r="C197" s="176"/>
      <c r="D197" s="176"/>
      <c r="E197" s="176"/>
      <c r="F197" s="176"/>
      <c r="AI197"/>
      <c r="AJ197"/>
      <c r="AK197"/>
    </row>
    <row r="198" spans="1:37" ht="13.2">
      <c r="A198" s="126"/>
      <c r="B198" s="149"/>
      <c r="C198" s="176"/>
      <c r="D198" s="176"/>
      <c r="E198" s="176"/>
      <c r="F198" s="176"/>
      <c r="AI198"/>
      <c r="AJ198"/>
      <c r="AK198"/>
    </row>
    <row r="199" spans="1:37" ht="13.2">
      <c r="A199" s="126"/>
      <c r="B199" s="149"/>
      <c r="C199" s="176"/>
      <c r="D199" s="176"/>
      <c r="E199" s="176"/>
      <c r="F199" s="176"/>
      <c r="AI199"/>
      <c r="AJ199"/>
      <c r="AK199"/>
    </row>
    <row r="200" spans="1:37" ht="13.2">
      <c r="A200" s="126"/>
      <c r="B200" s="149"/>
      <c r="C200" s="176"/>
      <c r="D200" s="176"/>
      <c r="E200" s="176"/>
      <c r="F200" s="176"/>
      <c r="AI200"/>
      <c r="AJ200"/>
      <c r="AK200"/>
    </row>
    <row r="201" spans="1:37" ht="13.2">
      <c r="A201" s="126"/>
      <c r="B201" s="149"/>
      <c r="C201" s="176"/>
      <c r="D201" s="176"/>
      <c r="E201" s="176"/>
      <c r="F201" s="176"/>
      <c r="AI201"/>
      <c r="AJ201"/>
      <c r="AK201"/>
    </row>
    <row r="202" spans="1:37" ht="13.2">
      <c r="A202" s="126"/>
      <c r="B202" s="149"/>
      <c r="C202" s="176"/>
      <c r="D202" s="176"/>
      <c r="E202" s="176"/>
      <c r="F202" s="176"/>
      <c r="AI202"/>
      <c r="AJ202"/>
      <c r="AK202"/>
    </row>
    <row r="203" spans="1:37" ht="13.2">
      <c r="A203" s="126"/>
      <c r="B203" s="149"/>
      <c r="C203" s="176"/>
      <c r="D203" s="176"/>
      <c r="E203" s="176"/>
      <c r="F203" s="176"/>
      <c r="AI203"/>
      <c r="AJ203"/>
      <c r="AK203"/>
    </row>
    <row r="204" spans="1:37" ht="15" thickBot="1">
      <c r="A204" s="126"/>
      <c r="B204" s="795" t="s">
        <v>214</v>
      </c>
      <c r="C204" s="140"/>
      <c r="D204" s="140"/>
      <c r="E204" s="140"/>
      <c r="F204" s="140"/>
      <c r="Q204" s="60"/>
      <c r="R204" s="14"/>
      <c r="S204" s="795" t="str">
        <f>B204</f>
        <v>FTTx Transceivers</v>
      </c>
      <c r="AG204" s="60"/>
      <c r="AH204" s="14"/>
      <c r="AI204"/>
      <c r="AJ204"/>
      <c r="AK204"/>
    </row>
    <row r="205" spans="1:37" s="72" customFormat="1" ht="13.8" thickBot="1">
      <c r="A205" s="177"/>
      <c r="B205" s="1858" t="s">
        <v>466</v>
      </c>
      <c r="C205" s="632"/>
      <c r="D205" s="632"/>
      <c r="E205" s="632"/>
      <c r="F205" s="632"/>
      <c r="G205" s="613" t="s">
        <v>209</v>
      </c>
      <c r="H205" s="632"/>
      <c r="I205" s="632"/>
      <c r="J205" s="632"/>
      <c r="K205" s="632"/>
      <c r="L205" s="632"/>
      <c r="M205" s="632"/>
      <c r="N205" s="632"/>
      <c r="O205" s="632"/>
      <c r="P205" s="632"/>
      <c r="Q205" s="1855" t="s">
        <v>500</v>
      </c>
      <c r="R205" s="1856"/>
      <c r="S205" s="612"/>
      <c r="T205" s="632"/>
      <c r="U205" s="632"/>
      <c r="V205" s="632"/>
      <c r="W205" s="632" t="s">
        <v>371</v>
      </c>
      <c r="X205" s="632"/>
      <c r="Y205" s="632"/>
      <c r="Z205" s="632"/>
      <c r="AA205" s="632"/>
      <c r="AB205" s="632"/>
      <c r="AC205" s="632"/>
      <c r="AD205" s="632"/>
      <c r="AE205" s="632"/>
      <c r="AF205" s="632"/>
      <c r="AG205" s="1855" t="s">
        <v>500</v>
      </c>
      <c r="AH205" s="1856"/>
      <c r="AI205"/>
      <c r="AJ205"/>
      <c r="AK205"/>
    </row>
    <row r="206" spans="1:37" s="72" customFormat="1" ht="13.8" thickBot="1">
      <c r="A206" s="126"/>
      <c r="B206" s="1859"/>
      <c r="C206" s="446" t="str">
        <f t="shared" ref="C206:I206" si="34">C68</f>
        <v>1Q 17</v>
      </c>
      <c r="D206" s="378" t="str">
        <f t="shared" si="34"/>
        <v>2Q 17</v>
      </c>
      <c r="E206" s="378" t="str">
        <f t="shared" si="34"/>
        <v>3Q 17</v>
      </c>
      <c r="F206" s="447" t="str">
        <f t="shared" si="34"/>
        <v>4Q 17</v>
      </c>
      <c r="G206" s="446" t="str">
        <f t="shared" si="34"/>
        <v>1Q 18</v>
      </c>
      <c r="H206" s="378" t="str">
        <f t="shared" si="34"/>
        <v>2Q 18</v>
      </c>
      <c r="I206" s="378" t="str">
        <f t="shared" si="34"/>
        <v>3Q 18</v>
      </c>
      <c r="J206" s="447" t="str">
        <f>J$68</f>
        <v>4Q 18</v>
      </c>
      <c r="K206" s="446" t="str">
        <f t="shared" ref="K206:AB206" si="35">K$68</f>
        <v>1Q 19</v>
      </c>
      <c r="L206" s="378" t="str">
        <f t="shared" si="35"/>
        <v>2Q 19</v>
      </c>
      <c r="M206" s="378" t="s">
        <v>140</v>
      </c>
      <c r="N206" s="447" t="s">
        <v>141</v>
      </c>
      <c r="O206" s="446" t="s">
        <v>142</v>
      </c>
      <c r="P206" s="378" t="s">
        <v>143</v>
      </c>
      <c r="Q206" s="774" t="s">
        <v>621</v>
      </c>
      <c r="R206" s="774" t="s">
        <v>622</v>
      </c>
      <c r="S206" s="446" t="str">
        <f t="shared" si="35"/>
        <v>1Q 17</v>
      </c>
      <c r="T206" s="378" t="str">
        <f t="shared" si="35"/>
        <v>2Q 17</v>
      </c>
      <c r="U206" s="378" t="str">
        <f t="shared" si="35"/>
        <v>3Q 17</v>
      </c>
      <c r="V206" s="447" t="str">
        <f t="shared" si="35"/>
        <v>4Q 17</v>
      </c>
      <c r="W206" s="446" t="str">
        <f t="shared" si="35"/>
        <v>1Q 18</v>
      </c>
      <c r="X206" s="378" t="str">
        <f t="shared" si="35"/>
        <v>2Q 18</v>
      </c>
      <c r="Y206" s="378" t="str">
        <f t="shared" si="35"/>
        <v>3Q 18</v>
      </c>
      <c r="Z206" s="447" t="str">
        <f t="shared" si="35"/>
        <v>4Q 18</v>
      </c>
      <c r="AA206" s="446" t="str">
        <f t="shared" si="35"/>
        <v>1Q 19</v>
      </c>
      <c r="AB206" s="378" t="str">
        <f t="shared" si="35"/>
        <v>2Q 19</v>
      </c>
      <c r="AC206" s="378" t="s">
        <v>140</v>
      </c>
      <c r="AD206" s="447" t="s">
        <v>141</v>
      </c>
      <c r="AE206" s="446" t="s">
        <v>142</v>
      </c>
      <c r="AF206" s="378" t="s">
        <v>143</v>
      </c>
      <c r="AG206" s="1539" t="s">
        <v>621</v>
      </c>
      <c r="AH206" s="1540" t="s">
        <v>622</v>
      </c>
      <c r="AI206"/>
      <c r="AJ206"/>
      <c r="AK206"/>
    </row>
    <row r="207" spans="1:37" ht="13.2">
      <c r="A207" s="177"/>
      <c r="B207" s="167" t="s">
        <v>215</v>
      </c>
      <c r="C207" s="178">
        <f>FTTX!E10+FTTX!E12</f>
        <v>2021233</v>
      </c>
      <c r="D207" s="488">
        <f>FTTX!F10+FTTX!F12</f>
        <v>1985809</v>
      </c>
      <c r="E207" s="474">
        <f>FTTX!G10+FTTX!G12</f>
        <v>1575257.9</v>
      </c>
      <c r="F207" s="502">
        <f>FTTX!H10+FTTX!H12</f>
        <v>1475782.1099999999</v>
      </c>
      <c r="G207" s="178">
        <f>FTTX!I10+FTTX!I12</f>
        <v>0</v>
      </c>
      <c r="H207" s="488">
        <f>FTTX!J10+FTTX!J12</f>
        <v>0</v>
      </c>
      <c r="I207" s="729">
        <f>FTTX!K10+FTTX!K12</f>
        <v>0</v>
      </c>
      <c r="J207" s="732">
        <f>FTTX!L10+FTTX!L12</f>
        <v>0</v>
      </c>
      <c r="K207" s="178">
        <f>FTTX!M10+FTTX!M12</f>
        <v>0</v>
      </c>
      <c r="L207" s="488">
        <f>FTTX!N10+FTTX!N12</f>
        <v>0</v>
      </c>
      <c r="M207" s="729">
        <f>FTTX!O10+FTTX!O12</f>
        <v>0</v>
      </c>
      <c r="N207" s="732">
        <f>FTTX!P10+FTTX!P12</f>
        <v>0</v>
      </c>
      <c r="O207" s="178">
        <f>FTTX!Q10+FTTX!Q12</f>
        <v>0</v>
      </c>
      <c r="P207" s="488">
        <f>FTTX!R10+FTTX!R12</f>
        <v>0</v>
      </c>
      <c r="Q207" s="729">
        <f>FTTX!S10+FTTX!S12</f>
        <v>0</v>
      </c>
      <c r="R207" s="732">
        <f>FTTX!T10+FTTX!T12</f>
        <v>0</v>
      </c>
      <c r="S207" s="1269">
        <f>(FTTX!E50+FTTX!E52)/10^6</f>
        <v>42.358738866214217</v>
      </c>
      <c r="T207" s="642">
        <f>(FTTX!F50+FTTX!F52)/10^6</f>
        <v>40.05249577750309</v>
      </c>
      <c r="U207" s="643">
        <f>(FTTX!G50+FTTX!G52)/10^6</f>
        <v>23.797203172784918</v>
      </c>
      <c r="V207" s="644">
        <f>(FTTX!H50+FTTX!H52)/10^6</f>
        <v>22.386996712731104</v>
      </c>
      <c r="W207" s="641">
        <f>(FTTX!I50+FTTX!I52)/10^6</f>
        <v>0</v>
      </c>
      <c r="X207" s="642">
        <f>(FTTX!J50+FTTX!J52)/10^6</f>
        <v>0</v>
      </c>
      <c r="Y207" s="643">
        <f>(FTTX!K50+FTTX!K52)/10^6</f>
        <v>0</v>
      </c>
      <c r="Z207" s="644">
        <f>(FTTX!L50+FTTX!L52)/10^6</f>
        <v>0</v>
      </c>
      <c r="AA207" s="641">
        <f>(FTTX!M50+FTTX!M52)/10^6</f>
        <v>0</v>
      </c>
      <c r="AB207" s="642">
        <f>(FTTX!N50+FTTX!N52)/10^6</f>
        <v>0</v>
      </c>
      <c r="AC207" s="643">
        <f>(FTTX!O50+FTTX!O52)/10^6</f>
        <v>0</v>
      </c>
      <c r="AD207" s="644">
        <f>(FTTX!P50+FTTX!P52)/10^6</f>
        <v>0</v>
      </c>
      <c r="AE207" s="641">
        <f>(FTTX!Q50+FTTX!Q52)/10^6</f>
        <v>0</v>
      </c>
      <c r="AF207" s="642">
        <f>(FTTX!R50+FTTX!R52)/10^6</f>
        <v>0</v>
      </c>
      <c r="AG207" s="643">
        <f>(FTTX!S50+FTTX!S52)/10^6</f>
        <v>0</v>
      </c>
      <c r="AH207" s="644">
        <f>(FTTX!T50+FTTX!T52)/10^6</f>
        <v>0</v>
      </c>
      <c r="AI207"/>
      <c r="AJ207"/>
      <c r="AK207"/>
    </row>
    <row r="208" spans="1:37" ht="13.2">
      <c r="A208" s="177"/>
      <c r="B208" s="167" t="s">
        <v>216</v>
      </c>
      <c r="C208" s="178">
        <f>FTTX!E11+FTTX!E13</f>
        <v>398388</v>
      </c>
      <c r="D208" s="488">
        <f>FTTX!F11+FTTX!F13</f>
        <v>419798</v>
      </c>
      <c r="E208" s="474">
        <f>FTTX!G11+FTTX!G13</f>
        <v>232995</v>
      </c>
      <c r="F208" s="502">
        <f>FTTX!H11+FTTX!H13</f>
        <v>246250</v>
      </c>
      <c r="G208" s="178">
        <f>FTTX!I11+FTTX!I13</f>
        <v>0</v>
      </c>
      <c r="H208" s="488">
        <f>FTTX!J11+FTTX!J13</f>
        <v>0</v>
      </c>
      <c r="I208" s="474">
        <f>FTTX!K11+FTTX!K13</f>
        <v>0</v>
      </c>
      <c r="J208" s="502">
        <f>FTTX!L11+FTTX!L13</f>
        <v>0</v>
      </c>
      <c r="K208" s="178">
        <f>FTTX!M11+FTTX!M13</f>
        <v>0</v>
      </c>
      <c r="L208" s="488">
        <f>FTTX!N11+FTTX!N13</f>
        <v>0</v>
      </c>
      <c r="M208" s="474">
        <f>FTTX!O11+FTTX!O13</f>
        <v>0</v>
      </c>
      <c r="N208" s="502">
        <f>FTTX!P11+FTTX!P13</f>
        <v>0</v>
      </c>
      <c r="O208" s="178">
        <f>FTTX!Q11+FTTX!Q13</f>
        <v>0</v>
      </c>
      <c r="P208" s="488">
        <f>FTTX!R11+FTTX!R13</f>
        <v>0</v>
      </c>
      <c r="Q208" s="474">
        <f>FTTX!S11+FTTX!S13</f>
        <v>0</v>
      </c>
      <c r="R208" s="502">
        <f>FTTX!T11+FTTX!T13</f>
        <v>0</v>
      </c>
      <c r="S208" s="1270">
        <f>(FTTX!E51+FTTX!E53)/10^6</f>
        <v>4.3251624550898207</v>
      </c>
      <c r="T208" s="646">
        <f>(FTTX!F51+FTTX!F53)/10^6</f>
        <v>4.1171153772455078</v>
      </c>
      <c r="U208" s="647">
        <f>(FTTX!G51+FTTX!G53)/10^6</f>
        <v>2.2933569999999999</v>
      </c>
      <c r="V208" s="648">
        <f>(FTTX!H51+FTTX!H53)/10^6</f>
        <v>2.262705</v>
      </c>
      <c r="W208" s="645">
        <f>(FTTX!I51+FTTX!I53)/10^6</f>
        <v>0</v>
      </c>
      <c r="X208" s="646">
        <f>(FTTX!J51+FTTX!J53)/10^6</f>
        <v>0</v>
      </c>
      <c r="Y208" s="647">
        <f>(FTTX!K51+FTTX!K53)/10^6</f>
        <v>0</v>
      </c>
      <c r="Z208" s="648">
        <f>(FTTX!L51+FTTX!L53)/10^6</f>
        <v>0</v>
      </c>
      <c r="AA208" s="645">
        <f>(FTTX!M51+FTTX!M53)/10^6</f>
        <v>0</v>
      </c>
      <c r="AB208" s="646">
        <f>(FTTX!N51+FTTX!N53)/10^6</f>
        <v>0</v>
      </c>
      <c r="AC208" s="647">
        <f>(FTTX!O51+FTTX!O53)/10^6</f>
        <v>0</v>
      </c>
      <c r="AD208" s="648">
        <f>(FTTX!P51+FTTX!P53)/10^6</f>
        <v>0</v>
      </c>
      <c r="AE208" s="645">
        <f>(FTTX!Q51+FTTX!Q53)/10^6</f>
        <v>0</v>
      </c>
      <c r="AF208" s="646">
        <f>(FTTX!R51+FTTX!R53)/10^6</f>
        <v>0</v>
      </c>
      <c r="AG208" s="647">
        <f>(FTTX!S51+FTTX!S53)/10^6</f>
        <v>0</v>
      </c>
      <c r="AH208" s="648">
        <f>(FTTX!T51+FTTX!T53)/10^6</f>
        <v>0</v>
      </c>
      <c r="AI208"/>
      <c r="AJ208"/>
      <c r="AK208"/>
    </row>
    <row r="209" spans="1:37" ht="13.2">
      <c r="A209" s="177"/>
      <c r="B209" s="167" t="s">
        <v>543</v>
      </c>
      <c r="C209" s="178">
        <f>FTTX!E9</f>
        <v>4209281</v>
      </c>
      <c r="D209" s="488">
        <f>FTTX!F9</f>
        <v>4309273</v>
      </c>
      <c r="E209" s="474">
        <f>FTTX!G9</f>
        <v>4268857</v>
      </c>
      <c r="F209" s="502">
        <f>FTTX!H9</f>
        <v>4287498</v>
      </c>
      <c r="G209" s="178">
        <f>FTTX!I9</f>
        <v>0</v>
      </c>
      <c r="H209" s="488">
        <f>FTTX!J9</f>
        <v>0</v>
      </c>
      <c r="I209" s="474">
        <f>FTTX!K9</f>
        <v>0</v>
      </c>
      <c r="J209" s="502">
        <f>FTTX!L9</f>
        <v>0</v>
      </c>
      <c r="K209" s="178">
        <f>FTTX!M9</f>
        <v>0</v>
      </c>
      <c r="L209" s="488">
        <f>FTTX!N9</f>
        <v>0</v>
      </c>
      <c r="M209" s="474">
        <f>FTTX!O9</f>
        <v>0</v>
      </c>
      <c r="N209" s="502">
        <f>FTTX!P9</f>
        <v>0</v>
      </c>
      <c r="O209" s="178">
        <f>FTTX!Q9</f>
        <v>0</v>
      </c>
      <c r="P209" s="488">
        <f>FTTX!R9+FTTX!R15</f>
        <v>0</v>
      </c>
      <c r="Q209" s="474">
        <f>FTTX!S9+FTTX!S15</f>
        <v>0</v>
      </c>
      <c r="R209" s="502">
        <f>FTTX!T9+FTTX!T15</f>
        <v>0</v>
      </c>
      <c r="S209" s="1270">
        <f>FTTX!E49/10^6</f>
        <v>41.710343829459205</v>
      </c>
      <c r="T209" s="646">
        <f>FTTX!F49/10^6</f>
        <v>37.707258920689007</v>
      </c>
      <c r="U209" s="647">
        <f>FTTX!G49/10^6</f>
        <v>27.961599199999998</v>
      </c>
      <c r="V209" s="648">
        <f>FTTX!H49/10^6</f>
        <v>28.627988800000001</v>
      </c>
      <c r="W209" s="645">
        <f>FTTX!I49/10^6</f>
        <v>0</v>
      </c>
      <c r="X209" s="646">
        <f>FTTX!J49/10^6</f>
        <v>0</v>
      </c>
      <c r="Y209" s="647">
        <f>FTTX!K49/10^6</f>
        <v>0</v>
      </c>
      <c r="Z209" s="648">
        <f>FTTX!L49/10^6</f>
        <v>0</v>
      </c>
      <c r="AA209" s="645">
        <f>FTTX!M49/10^6</f>
        <v>0</v>
      </c>
      <c r="AB209" s="646">
        <f>FTTX!N49/10^6</f>
        <v>0</v>
      </c>
      <c r="AC209" s="647">
        <f>FTTX!O49/10^6</f>
        <v>0</v>
      </c>
      <c r="AD209" s="648">
        <f>FTTX!P49/10^6</f>
        <v>0</v>
      </c>
      <c r="AE209" s="645">
        <f>(FTTX!Q49+FTTX!Q55)/10^6</f>
        <v>0</v>
      </c>
      <c r="AF209" s="646">
        <f>(FTTX!R49+FTTX!R55)/10^6</f>
        <v>0</v>
      </c>
      <c r="AG209" s="647">
        <f>(FTTX!S49+FTTX!S55)/10^6</f>
        <v>0</v>
      </c>
      <c r="AH209" s="648">
        <f>(FTTX!T49+FTTX!T55)/10^6</f>
        <v>0</v>
      </c>
      <c r="AI209"/>
      <c r="AJ209"/>
      <c r="AK209"/>
    </row>
    <row r="210" spans="1:37" ht="13.2">
      <c r="A210" s="177"/>
      <c r="B210" s="167" t="s">
        <v>619</v>
      </c>
      <c r="C210" s="178">
        <f>FTTX!E14+FTTX!E17</f>
        <v>178232</v>
      </c>
      <c r="D210" s="488">
        <f>FTTX!F14+FTTX!F17</f>
        <v>210416</v>
      </c>
      <c r="E210" s="474">
        <f>FTTX!G14+FTTX!G17</f>
        <v>266949</v>
      </c>
      <c r="F210" s="502">
        <f>FTTX!H14+FTTX!H17</f>
        <v>324868</v>
      </c>
      <c r="G210" s="178">
        <f>FTTX!I14+FTTX!I17</f>
        <v>0</v>
      </c>
      <c r="H210" s="488">
        <f>FTTX!J14+FTTX!J17</f>
        <v>0</v>
      </c>
      <c r="I210" s="474">
        <f>FTTX!K14+FTTX!K17</f>
        <v>0</v>
      </c>
      <c r="J210" s="502">
        <f>FTTX!L14+FTTX!L17</f>
        <v>0</v>
      </c>
      <c r="K210" s="178">
        <f>FTTX!M14+FTTX!M17</f>
        <v>0</v>
      </c>
      <c r="L210" s="488">
        <f>FTTX!N14+FTTX!N17</f>
        <v>0</v>
      </c>
      <c r="M210" s="474">
        <f>FTTX!O14+FTTX!O17</f>
        <v>0</v>
      </c>
      <c r="N210" s="502">
        <f>FTTX!P14+FTTX!P17</f>
        <v>0</v>
      </c>
      <c r="O210" s="178">
        <f>FTTX!Q14+FTTX!Q17</f>
        <v>0</v>
      </c>
      <c r="P210" s="488">
        <f>FTTX!R14+FTTX!R17+FTTX!R16</f>
        <v>0</v>
      </c>
      <c r="Q210" s="474">
        <f>FTTX!S14+FTTX!S17+FTTX!S16</f>
        <v>0</v>
      </c>
      <c r="R210" s="502">
        <f>FTTX!T14+FTTX!T17+FTTX!T16</f>
        <v>0</v>
      </c>
      <c r="S210" s="1270">
        <f>(FTTX!E54+FTTX!E57)/1000000</f>
        <v>49.133252173356389</v>
      </c>
      <c r="T210" s="646">
        <f>(FTTX!F54+FTTX!F57)/1000000</f>
        <v>47.183203027214283</v>
      </c>
      <c r="U210" s="647">
        <f>(FTTX!G54+FTTX!G57)/1000000</f>
        <v>45.997064740121814</v>
      </c>
      <c r="V210" s="648">
        <f>(FTTX!H54+FTTX!H57)/1000000</f>
        <v>53.393212550242957</v>
      </c>
      <c r="W210" s="645">
        <f>(FTTX!I54+FTTX!I57)/1000000</f>
        <v>0</v>
      </c>
      <c r="X210" s="646">
        <f>(FTTX!J54+FTTX!J57)/1000000</f>
        <v>0</v>
      </c>
      <c r="Y210" s="647">
        <f>(FTTX!K54+FTTX!K57)/1000000</f>
        <v>0</v>
      </c>
      <c r="Z210" s="648">
        <f>(FTTX!L54+FTTX!L57)/1000000</f>
        <v>0</v>
      </c>
      <c r="AA210" s="645">
        <f>(FTTX!M54+FTTX!M57)/1000000</f>
        <v>0</v>
      </c>
      <c r="AB210" s="646">
        <f>(FTTX!N54+FTTX!N57)/1000000</f>
        <v>0</v>
      </c>
      <c r="AC210" s="647">
        <f>(FTTX!O54+FTTX!O57)/1000000</f>
        <v>0</v>
      </c>
      <c r="AD210" s="648">
        <f>(FTTX!P54+FTTX!P57)/1000000</f>
        <v>0</v>
      </c>
      <c r="AE210" s="645">
        <f>(FTTX!Q54+FTTX!Q57+FTTX!Q56)/1000000</f>
        <v>0</v>
      </c>
      <c r="AF210" s="646">
        <f>(FTTX!R54+FTTX!R57+FTTX!R56)/1000000</f>
        <v>0</v>
      </c>
      <c r="AG210" s="647">
        <f>(FTTX!S54+FTTX!S57+FTTX!S56)/1000000</f>
        <v>0</v>
      </c>
      <c r="AH210" s="648">
        <f>(FTTX!T54+FTTX!T57+FTTX!T56)/1000000</f>
        <v>0</v>
      </c>
      <c r="AI210"/>
      <c r="AJ210"/>
      <c r="AK210"/>
    </row>
    <row r="211" spans="1:37" ht="13.2">
      <c r="A211" s="177"/>
      <c r="B211" s="167" t="s">
        <v>608</v>
      </c>
      <c r="C211" s="178"/>
      <c r="D211" s="488"/>
      <c r="E211" s="474"/>
      <c r="F211" s="502"/>
      <c r="G211" s="178"/>
      <c r="H211" s="488"/>
      <c r="I211" s="474"/>
      <c r="J211" s="502"/>
      <c r="K211" s="178"/>
      <c r="L211" s="488"/>
      <c r="M211" s="474"/>
      <c r="N211" s="502"/>
      <c r="O211" s="178">
        <f>FTTX!Q18+FTTX!Q19</f>
        <v>0</v>
      </c>
      <c r="P211" s="488">
        <f>FTTX!R18+FTTX!R19</f>
        <v>0</v>
      </c>
      <c r="Q211" s="474">
        <f>FTTX!S18+FTTX!S19</f>
        <v>0</v>
      </c>
      <c r="R211" s="502">
        <f>FTTX!T18+FTTX!T19</f>
        <v>0</v>
      </c>
      <c r="S211" s="1271"/>
      <c r="T211" s="650"/>
      <c r="U211" s="651"/>
      <c r="V211" s="652"/>
      <c r="W211" s="649"/>
      <c r="X211" s="650"/>
      <c r="Y211" s="651"/>
      <c r="Z211" s="652"/>
      <c r="AA211" s="649"/>
      <c r="AB211" s="650"/>
      <c r="AC211" s="651"/>
      <c r="AD211" s="652"/>
      <c r="AE211" s="649">
        <f>(FTTX!Q58+FTTX!Q59)/10^6</f>
        <v>0</v>
      </c>
      <c r="AF211" s="650">
        <f>(FTTX!R58+FTTX!R59)/10^6</f>
        <v>0</v>
      </c>
      <c r="AG211" s="651">
        <f>(FTTX!S58+FTTX!S59)/10^6</f>
        <v>0</v>
      </c>
      <c r="AH211" s="652">
        <f>(FTTX!T58+FTTX!T59)/10^6</f>
        <v>0</v>
      </c>
      <c r="AI211"/>
      <c r="AJ211"/>
      <c r="AK211"/>
    </row>
    <row r="212" spans="1:37" s="72" customFormat="1" ht="13.2">
      <c r="A212" s="126"/>
      <c r="B212" s="157" t="s">
        <v>155</v>
      </c>
      <c r="C212" s="179">
        <f t="shared" ref="C212:J212" si="36">SUM(C207:C210)</f>
        <v>6807134</v>
      </c>
      <c r="D212" s="489">
        <f t="shared" si="36"/>
        <v>6925296</v>
      </c>
      <c r="E212" s="130">
        <f t="shared" si="36"/>
        <v>6344058.9000000004</v>
      </c>
      <c r="F212" s="503">
        <f t="shared" si="36"/>
        <v>6334398.1099999994</v>
      </c>
      <c r="G212" s="179">
        <f t="shared" si="36"/>
        <v>0</v>
      </c>
      <c r="H212" s="489">
        <f t="shared" si="36"/>
        <v>0</v>
      </c>
      <c r="I212" s="130">
        <f t="shared" si="36"/>
        <v>0</v>
      </c>
      <c r="J212" s="503">
        <f t="shared" si="36"/>
        <v>0</v>
      </c>
      <c r="K212" s="179">
        <f>SUM(K207:K210)</f>
        <v>0</v>
      </c>
      <c r="L212" s="489">
        <f>SUM(L207:L210)</f>
        <v>0</v>
      </c>
      <c r="M212" s="130">
        <f>SUM(M207:M210)</f>
        <v>0</v>
      </c>
      <c r="N212" s="503">
        <f>SUM(N207:N210)</f>
        <v>0</v>
      </c>
      <c r="O212" s="179">
        <f>SUM(O207:O211)</f>
        <v>0</v>
      </c>
      <c r="P212" s="489">
        <f>SUM(P207:P211)</f>
        <v>0</v>
      </c>
      <c r="Q212" s="130">
        <f>SUM(Q207:Q211)</f>
        <v>0</v>
      </c>
      <c r="R212" s="503">
        <f>SUM(R207:R211)</f>
        <v>0</v>
      </c>
      <c r="S212" s="1272">
        <f t="shared" ref="S212:AD212" si="37">SUM(S207:S210)</f>
        <v>137.52749732411962</v>
      </c>
      <c r="T212" s="473">
        <f t="shared" si="37"/>
        <v>129.0600731026519</v>
      </c>
      <c r="U212" s="473">
        <f t="shared" si="37"/>
        <v>100.04922411290673</v>
      </c>
      <c r="V212" s="504">
        <f t="shared" si="37"/>
        <v>106.67090306297406</v>
      </c>
      <c r="W212" s="473">
        <f t="shared" si="37"/>
        <v>0</v>
      </c>
      <c r="X212" s="473">
        <f t="shared" si="37"/>
        <v>0</v>
      </c>
      <c r="Y212" s="473">
        <f t="shared" si="37"/>
        <v>0</v>
      </c>
      <c r="Z212" s="504">
        <f t="shared" si="37"/>
        <v>0</v>
      </c>
      <c r="AA212" s="473">
        <f t="shared" si="37"/>
        <v>0</v>
      </c>
      <c r="AB212" s="473">
        <f t="shared" si="37"/>
        <v>0</v>
      </c>
      <c r="AC212" s="473">
        <f t="shared" si="37"/>
        <v>0</v>
      </c>
      <c r="AD212" s="504">
        <f t="shared" si="37"/>
        <v>0</v>
      </c>
      <c r="AE212" s="473">
        <f>SUM(AE207:AE211)</f>
        <v>0</v>
      </c>
      <c r="AF212" s="473">
        <f>SUM(AF207:AF211)</f>
        <v>0</v>
      </c>
      <c r="AG212" s="473">
        <f>SUM(AG207:AG211)</f>
        <v>0</v>
      </c>
      <c r="AH212" s="504">
        <f>SUM(AH207:AH211)</f>
        <v>0</v>
      </c>
      <c r="AI212"/>
      <c r="AJ212"/>
      <c r="AK212"/>
    </row>
    <row r="213" spans="1:37" s="72" customFormat="1" ht="12" customHeight="1">
      <c r="A213" s="126"/>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c r="AK213"/>
    </row>
    <row r="214" spans="1:37" ht="13.2">
      <c r="C214" s="140"/>
      <c r="D214" s="140"/>
      <c r="E214" s="140"/>
      <c r="F214" s="140"/>
      <c r="AI214"/>
      <c r="AJ214"/>
      <c r="AK214"/>
    </row>
    <row r="215" spans="1:37" ht="13.2">
      <c r="C215" s="140"/>
      <c r="D215" s="140"/>
      <c r="E215" s="140"/>
      <c r="F215" s="140"/>
      <c r="AI215"/>
      <c r="AJ215"/>
      <c r="AK215"/>
    </row>
    <row r="216" spans="1:37">
      <c r="B216" s="136" t="s">
        <v>21</v>
      </c>
      <c r="C216" s="141"/>
      <c r="D216" s="141"/>
      <c r="E216" s="141"/>
      <c r="F216" s="141"/>
      <c r="AI216"/>
      <c r="AJ216"/>
      <c r="AK216"/>
    </row>
    <row r="217" spans="1:37" ht="13.2">
      <c r="C217" s="140"/>
      <c r="D217" s="140"/>
      <c r="E217" s="140"/>
      <c r="F217" s="140"/>
      <c r="AI217"/>
      <c r="AJ217"/>
      <c r="AK217"/>
    </row>
    <row r="218" spans="1:37" ht="13.2">
      <c r="C218" s="140"/>
      <c r="D218" s="140"/>
      <c r="E218" s="140"/>
      <c r="F218" s="140"/>
      <c r="AI218"/>
      <c r="AJ218"/>
      <c r="AK218"/>
    </row>
    <row r="219" spans="1:37" ht="13.2">
      <c r="C219" s="140"/>
      <c r="D219" s="140"/>
      <c r="E219" s="140"/>
      <c r="F219" s="140"/>
      <c r="AI219"/>
      <c r="AJ219"/>
      <c r="AK219"/>
    </row>
    <row r="220" spans="1:37" ht="13.2">
      <c r="C220" s="140"/>
      <c r="D220" s="140"/>
      <c r="E220" s="140"/>
      <c r="F220" s="140"/>
      <c r="AI220"/>
      <c r="AJ220"/>
      <c r="AK220"/>
    </row>
    <row r="221" spans="1:37" ht="13.2">
      <c r="C221" s="140"/>
      <c r="D221" s="140"/>
      <c r="E221" s="140"/>
      <c r="F221" s="140"/>
      <c r="AI221"/>
      <c r="AJ221"/>
      <c r="AK221"/>
    </row>
    <row r="222" spans="1:37" ht="13.2">
      <c r="C222" s="140"/>
      <c r="D222" s="140"/>
      <c r="E222" s="140"/>
      <c r="F222" s="140"/>
      <c r="AI222"/>
      <c r="AJ222"/>
      <c r="AK222"/>
    </row>
    <row r="223" spans="1:37" ht="13.2">
      <c r="C223" s="140"/>
      <c r="D223" s="140"/>
      <c r="E223" s="140"/>
      <c r="F223" s="140"/>
      <c r="AI223"/>
      <c r="AJ223"/>
      <c r="AK223"/>
    </row>
    <row r="224" spans="1:37" ht="13.2">
      <c r="C224" s="140"/>
      <c r="D224" s="140"/>
      <c r="E224" s="140"/>
      <c r="F224" s="140"/>
      <c r="AI224"/>
      <c r="AJ224"/>
      <c r="AK224"/>
    </row>
    <row r="225" spans="3:37" ht="13.2">
      <c r="C225" s="140"/>
      <c r="D225" s="140"/>
      <c r="E225" s="140"/>
      <c r="F225" s="140"/>
      <c r="AI225"/>
      <c r="AJ225"/>
      <c r="AK225"/>
    </row>
    <row r="226" spans="3:37" ht="13.2">
      <c r="C226" s="140"/>
      <c r="D226" s="140"/>
      <c r="E226" s="140"/>
      <c r="F226" s="140"/>
      <c r="AI226"/>
      <c r="AJ226"/>
      <c r="AK226"/>
    </row>
    <row r="227" spans="3:37" ht="13.2">
      <c r="C227" s="140"/>
      <c r="D227" s="140"/>
      <c r="E227" s="140"/>
      <c r="F227" s="140"/>
      <c r="AI227"/>
      <c r="AJ227"/>
      <c r="AK227"/>
    </row>
    <row r="228" spans="3:37" ht="13.2">
      <c r="C228" s="140"/>
      <c r="D228" s="140"/>
      <c r="E228" s="140"/>
      <c r="F228" s="140"/>
      <c r="AI228"/>
      <c r="AJ228"/>
      <c r="AK228"/>
    </row>
    <row r="229" spans="3:37" ht="13.2">
      <c r="C229" s="140"/>
      <c r="D229" s="140"/>
      <c r="E229" s="140"/>
      <c r="F229" s="140"/>
      <c r="AI229"/>
      <c r="AJ229"/>
      <c r="AK229"/>
    </row>
    <row r="230" spans="3:37" ht="13.2">
      <c r="C230" s="140"/>
      <c r="D230" s="140"/>
      <c r="E230" s="140"/>
      <c r="F230" s="140"/>
      <c r="AI230"/>
      <c r="AJ230"/>
      <c r="AK230"/>
    </row>
    <row r="231" spans="3:37" ht="13.2">
      <c r="C231" s="140"/>
      <c r="D231" s="140"/>
      <c r="E231" s="140"/>
      <c r="F231" s="140"/>
      <c r="AI231"/>
      <c r="AJ231"/>
      <c r="AK231"/>
    </row>
    <row r="232" spans="3:37" ht="13.2">
      <c r="C232" s="140"/>
      <c r="D232" s="140"/>
      <c r="E232" s="140"/>
      <c r="F232" s="140"/>
      <c r="AI232"/>
      <c r="AJ232"/>
      <c r="AK232"/>
    </row>
    <row r="233" spans="3:37" ht="13.2">
      <c r="C233" s="140"/>
      <c r="D233" s="140"/>
      <c r="E233" s="140"/>
      <c r="F233" s="140"/>
      <c r="AI233"/>
      <c r="AJ233"/>
      <c r="AK233"/>
    </row>
    <row r="234" spans="3:37" ht="13.2">
      <c r="C234" s="140"/>
      <c r="D234" s="140"/>
      <c r="E234" s="140"/>
      <c r="F234" s="140"/>
      <c r="AI234"/>
      <c r="AJ234"/>
      <c r="AK234"/>
    </row>
    <row r="235" spans="3:37" ht="13.2">
      <c r="C235" s="140"/>
      <c r="D235" s="140"/>
      <c r="E235" s="140"/>
      <c r="F235" s="140"/>
      <c r="AI235"/>
      <c r="AJ235"/>
      <c r="AK235"/>
    </row>
    <row r="236" spans="3:37" ht="13.2">
      <c r="C236" s="140"/>
      <c r="D236" s="140"/>
      <c r="E236" s="140"/>
      <c r="F236" s="140"/>
      <c r="AI236"/>
      <c r="AJ236"/>
      <c r="AK236"/>
    </row>
    <row r="237" spans="3:37" ht="13.2">
      <c r="C237" s="140"/>
      <c r="D237" s="140"/>
      <c r="E237" s="140"/>
      <c r="F237" s="140"/>
      <c r="AI237"/>
      <c r="AJ237"/>
      <c r="AK237"/>
    </row>
    <row r="238" spans="3:37" ht="13.2">
      <c r="C238" s="140"/>
      <c r="D238" s="140"/>
      <c r="E238" s="140"/>
      <c r="F238" s="140"/>
      <c r="AI238"/>
      <c r="AJ238"/>
      <c r="AK238"/>
    </row>
    <row r="239" spans="3:37" ht="13.2">
      <c r="C239" s="140"/>
      <c r="D239" s="140"/>
      <c r="E239" s="140"/>
      <c r="F239" s="140"/>
      <c r="AI239"/>
      <c r="AJ239"/>
      <c r="AK239"/>
    </row>
    <row r="240" spans="3:37" ht="13.2">
      <c r="C240" s="140"/>
      <c r="D240" s="140"/>
      <c r="E240" s="140"/>
      <c r="F240" s="140"/>
      <c r="AI240"/>
      <c r="AJ240"/>
      <c r="AK240"/>
    </row>
    <row r="241" spans="2:37" ht="15" thickBot="1">
      <c r="B241" s="795" t="s">
        <v>465</v>
      </c>
      <c r="C241" s="140"/>
      <c r="D241" s="140"/>
      <c r="E241" s="140"/>
      <c r="F241" s="140"/>
      <c r="Q241" s="60"/>
      <c r="R241" s="14"/>
      <c r="S241" s="795" t="str">
        <f>B241</f>
        <v>Optical Interconnects (AOCs &amp; EOMs)</v>
      </c>
      <c r="AG241" s="60"/>
      <c r="AH241" s="14"/>
      <c r="AI241"/>
      <c r="AJ241"/>
      <c r="AK241"/>
    </row>
    <row r="242" spans="2:37" ht="13.8" thickBot="1">
      <c r="B242" s="1858"/>
      <c r="C242" s="632"/>
      <c r="D242" s="632"/>
      <c r="E242" s="632"/>
      <c r="F242" s="632"/>
      <c r="G242" s="613" t="s">
        <v>209</v>
      </c>
      <c r="H242" s="632"/>
      <c r="I242" s="632"/>
      <c r="J242" s="632"/>
      <c r="K242" s="632"/>
      <c r="L242" s="632"/>
      <c r="M242" s="632"/>
      <c r="N242" s="632"/>
      <c r="O242" s="632"/>
      <c r="P242" s="632"/>
      <c r="Q242" s="1855" t="s">
        <v>500</v>
      </c>
      <c r="R242" s="1856"/>
      <c r="S242" s="612"/>
      <c r="T242" s="632"/>
      <c r="U242" s="632"/>
      <c r="V242" s="632"/>
      <c r="W242" s="632" t="s">
        <v>371</v>
      </c>
      <c r="X242" s="632"/>
      <c r="Y242" s="632"/>
      <c r="Z242" s="632"/>
      <c r="AA242" s="632"/>
      <c r="AB242" s="632"/>
      <c r="AC242" s="632"/>
      <c r="AD242" s="632"/>
      <c r="AE242" s="632"/>
      <c r="AF242" s="632"/>
      <c r="AG242" s="1855" t="s">
        <v>500</v>
      </c>
      <c r="AH242" s="1856"/>
      <c r="AI242"/>
      <c r="AJ242"/>
      <c r="AK242"/>
    </row>
    <row r="243" spans="2:37" ht="13.8" thickBot="1">
      <c r="B243" s="1859"/>
      <c r="C243" s="446" t="str">
        <f t="shared" ref="C243:I243" si="38">C68</f>
        <v>1Q 17</v>
      </c>
      <c r="D243" s="378" t="str">
        <f t="shared" si="38"/>
        <v>2Q 17</v>
      </c>
      <c r="E243" s="378" t="str">
        <f t="shared" si="38"/>
        <v>3Q 17</v>
      </c>
      <c r="F243" s="447" t="str">
        <f t="shared" si="38"/>
        <v>4Q 17</v>
      </c>
      <c r="G243" s="446" t="str">
        <f t="shared" si="38"/>
        <v>1Q 18</v>
      </c>
      <c r="H243" s="378" t="str">
        <f t="shared" si="38"/>
        <v>2Q 18</v>
      </c>
      <c r="I243" s="378" t="str">
        <f t="shared" si="38"/>
        <v>3Q 18</v>
      </c>
      <c r="J243" s="447" t="str">
        <f>J$68</f>
        <v>4Q 18</v>
      </c>
      <c r="K243" s="446" t="str">
        <f t="shared" ref="K243:AB243" si="39">K$68</f>
        <v>1Q 19</v>
      </c>
      <c r="L243" s="378" t="str">
        <f t="shared" si="39"/>
        <v>2Q 19</v>
      </c>
      <c r="M243" s="378" t="s">
        <v>140</v>
      </c>
      <c r="N243" s="447" t="s">
        <v>141</v>
      </c>
      <c r="O243" s="446" t="s">
        <v>142</v>
      </c>
      <c r="P243" s="378" t="s">
        <v>143</v>
      </c>
      <c r="Q243" s="774" t="s">
        <v>621</v>
      </c>
      <c r="R243" s="774" t="s">
        <v>622</v>
      </c>
      <c r="S243" s="446" t="str">
        <f t="shared" si="39"/>
        <v>1Q 17</v>
      </c>
      <c r="T243" s="378" t="str">
        <f t="shared" si="39"/>
        <v>2Q 17</v>
      </c>
      <c r="U243" s="378" t="str">
        <f t="shared" si="39"/>
        <v>3Q 17</v>
      </c>
      <c r="V243" s="447" t="str">
        <f t="shared" si="39"/>
        <v>4Q 17</v>
      </c>
      <c r="W243" s="446" t="str">
        <f t="shared" si="39"/>
        <v>1Q 18</v>
      </c>
      <c r="X243" s="378" t="str">
        <f t="shared" si="39"/>
        <v>2Q 18</v>
      </c>
      <c r="Y243" s="378" t="str">
        <f t="shared" si="39"/>
        <v>3Q 18</v>
      </c>
      <c r="Z243" s="447" t="str">
        <f t="shared" si="39"/>
        <v>4Q 18</v>
      </c>
      <c r="AA243" s="446" t="str">
        <f t="shared" si="39"/>
        <v>1Q 19</v>
      </c>
      <c r="AB243" s="378" t="str">
        <f t="shared" si="39"/>
        <v>2Q 19</v>
      </c>
      <c r="AC243" s="378" t="s">
        <v>140</v>
      </c>
      <c r="AD243" s="447" t="s">
        <v>141</v>
      </c>
      <c r="AE243" s="446" t="s">
        <v>142</v>
      </c>
      <c r="AF243" s="378" t="s">
        <v>143</v>
      </c>
      <c r="AG243" s="1539" t="s">
        <v>621</v>
      </c>
      <c r="AH243" s="1540" t="s">
        <v>622</v>
      </c>
      <c r="AI243"/>
      <c r="AJ243"/>
      <c r="AK243"/>
    </row>
    <row r="244" spans="2:37" s="72" customFormat="1" ht="39.6">
      <c r="B244" s="180" t="s">
        <v>218</v>
      </c>
      <c r="C244" s="510">
        <f>'Optical Interconnects'!C9</f>
        <v>47963</v>
      </c>
      <c r="D244" s="372">
        <f>'Optical Interconnects'!D9</f>
        <v>47387</v>
      </c>
      <c r="E244" s="372">
        <f>'Optical Interconnects'!E9</f>
        <v>39043</v>
      </c>
      <c r="F244" s="507">
        <f>'Optical Interconnects'!F9</f>
        <v>26100</v>
      </c>
      <c r="G244" s="510">
        <f>'Optical Interconnects'!G9</f>
        <v>0</v>
      </c>
      <c r="H244" s="372">
        <f>'Optical Interconnects'!H9</f>
        <v>0</v>
      </c>
      <c r="I244" s="372">
        <f>'Optical Interconnects'!I9</f>
        <v>0</v>
      </c>
      <c r="J244" s="507">
        <f>'Optical Interconnects'!J9</f>
        <v>0</v>
      </c>
      <c r="K244" s="510">
        <f>'Optical Interconnects'!K9</f>
        <v>0</v>
      </c>
      <c r="L244" s="372">
        <f>'Optical Interconnects'!L9</f>
        <v>0</v>
      </c>
      <c r="M244" s="372">
        <f>'Optical Interconnects'!M9</f>
        <v>0</v>
      </c>
      <c r="N244" s="507">
        <f>'Optical Interconnects'!N9</f>
        <v>0</v>
      </c>
      <c r="O244" s="1853">
        <f>'Optical Interconnects'!O9</f>
        <v>0</v>
      </c>
      <c r="P244" s="1854"/>
      <c r="Q244" s="372">
        <f>'Optical Interconnects'!Q9</f>
        <v>0</v>
      </c>
      <c r="R244" s="507">
        <f>'Optical Interconnects'!R9</f>
        <v>0</v>
      </c>
      <c r="S244" s="1072">
        <f>'Optical Interconnects'!C41/10^6</f>
        <v>10.239974999999999</v>
      </c>
      <c r="T244" s="636">
        <f>'Optical Interconnects'!D41/10^6</f>
        <v>8.542484</v>
      </c>
      <c r="U244" s="637">
        <f>'Optical Interconnects'!E41/10^6</f>
        <v>6.7925099999999974</v>
      </c>
      <c r="V244" s="638">
        <f>'Optical Interconnects'!F41/10^6</f>
        <v>4.2766999999999999</v>
      </c>
      <c r="W244" s="635">
        <f>'Optical Interconnects'!G41/10^6</f>
        <v>0</v>
      </c>
      <c r="X244" s="636">
        <f>'Optical Interconnects'!H41/10^6</f>
        <v>0</v>
      </c>
      <c r="Y244" s="637">
        <f>'Optical Interconnects'!I41/10^6</f>
        <v>0</v>
      </c>
      <c r="Z244" s="638">
        <f>'Optical Interconnects'!J41/10^6</f>
        <v>0</v>
      </c>
      <c r="AA244" s="635">
        <f>'Optical Interconnects'!K41/10^6</f>
        <v>0</v>
      </c>
      <c r="AB244" s="636">
        <f>'Optical Interconnects'!L41/10^6</f>
        <v>0</v>
      </c>
      <c r="AC244" s="637">
        <f>'Optical Interconnects'!M41/10^6</f>
        <v>0</v>
      </c>
      <c r="AD244" s="638">
        <f>'Optical Interconnects'!N41/10^6</f>
        <v>0</v>
      </c>
      <c r="AE244" s="1853"/>
      <c r="AF244" s="1854"/>
      <c r="AG244" s="637"/>
      <c r="AH244" s="638"/>
      <c r="AI244"/>
      <c r="AJ244"/>
      <c r="AK244"/>
    </row>
    <row r="245" spans="2:37" s="72" customFormat="1" ht="13.2">
      <c r="B245" s="182" t="s">
        <v>493</v>
      </c>
      <c r="C245" s="1503">
        <f>'Optical Interconnects'!C10</f>
        <v>11244</v>
      </c>
      <c r="D245" s="183">
        <f>'Optical Interconnects'!D10</f>
        <v>10866</v>
      </c>
      <c r="E245" s="483">
        <f>'Optical Interconnects'!E10</f>
        <v>13416</v>
      </c>
      <c r="F245" s="508">
        <f>'Optical Interconnects'!F10</f>
        <v>20365</v>
      </c>
      <c r="G245" s="511">
        <f>'Optical Interconnects'!G10</f>
        <v>0</v>
      </c>
      <c r="H245" s="183">
        <f>'Optical Interconnects'!H10</f>
        <v>0</v>
      </c>
      <c r="I245" s="483">
        <f>'Optical Interconnects'!I10</f>
        <v>0</v>
      </c>
      <c r="J245" s="508">
        <f>'Optical Interconnects'!J10</f>
        <v>0</v>
      </c>
      <c r="K245" s="511">
        <f>'Optical Interconnects'!K10</f>
        <v>0</v>
      </c>
      <c r="L245" s="183">
        <f>'Optical Interconnects'!L10</f>
        <v>0</v>
      </c>
      <c r="M245" s="483">
        <f>'Optical Interconnects'!M10</f>
        <v>0</v>
      </c>
      <c r="N245" s="508">
        <f>'Optical Interconnects'!N10</f>
        <v>0</v>
      </c>
      <c r="O245" s="511">
        <f>'Optical Interconnects'!O10</f>
        <v>0</v>
      </c>
      <c r="P245" s="183">
        <f>'Optical Interconnects'!P10</f>
        <v>0</v>
      </c>
      <c r="Q245" s="483">
        <f>'Optical Interconnects'!Q10</f>
        <v>0</v>
      </c>
      <c r="R245" s="508">
        <f>'Optical Interconnects'!R10</f>
        <v>0</v>
      </c>
      <c r="S245" s="1071">
        <f>'Optical Interconnects'!C42/10^6</f>
        <v>2.7431640000000002</v>
      </c>
      <c r="T245" s="187">
        <f>'Optical Interconnects'!D42/10^6</f>
        <v>4.1788509999999999</v>
      </c>
      <c r="U245" s="181">
        <f>'Optical Interconnects'!E42/10^6</f>
        <v>2.5470879999999996</v>
      </c>
      <c r="V245" s="505">
        <f>'Optical Interconnects'!F42/10^6</f>
        <v>2.9999470000000001</v>
      </c>
      <c r="W245" s="639">
        <f>'Optical Interconnects'!G42/10^6</f>
        <v>0</v>
      </c>
      <c r="X245" s="187">
        <f>'Optical Interconnects'!H42/10^6</f>
        <v>0</v>
      </c>
      <c r="Y245" s="181">
        <f>'Optical Interconnects'!I42/10^6</f>
        <v>0</v>
      </c>
      <c r="Z245" s="505">
        <f>'Optical Interconnects'!J42/10^6</f>
        <v>0</v>
      </c>
      <c r="AA245" s="639">
        <f>'Optical Interconnects'!K42/10^6</f>
        <v>0</v>
      </c>
      <c r="AB245" s="187">
        <f>'Optical Interconnects'!L42/10^6</f>
        <v>0</v>
      </c>
      <c r="AC245" s="181">
        <f>'Optical Interconnects'!M42/10^6</f>
        <v>0</v>
      </c>
      <c r="AD245" s="505">
        <f>'Optical Interconnects'!N42/10^6</f>
        <v>0</v>
      </c>
      <c r="AE245" s="639">
        <f>'Optical Interconnects'!O42/10^6</f>
        <v>0</v>
      </c>
      <c r="AF245" s="187">
        <f>'Optical Interconnects'!P42/10^6</f>
        <v>0</v>
      </c>
      <c r="AG245" s="181">
        <f>'Optical Interconnects'!Q43/10^6</f>
        <v>0</v>
      </c>
      <c r="AH245" s="505">
        <f>'Optical Interconnects'!R43/10^6</f>
        <v>0</v>
      </c>
      <c r="AI245"/>
      <c r="AJ245"/>
      <c r="AK245"/>
    </row>
    <row r="246" spans="2:37" ht="13.2">
      <c r="B246" s="184" t="s">
        <v>219</v>
      </c>
      <c r="C246" s="512">
        <f>'Optical Interconnects'!C20</f>
        <v>748938</v>
      </c>
      <c r="D246" s="484">
        <f>'Optical Interconnects'!D20</f>
        <v>978496</v>
      </c>
      <c r="E246" s="196">
        <f>'Optical Interconnects'!E20</f>
        <v>1104784</v>
      </c>
      <c r="F246" s="509">
        <f>'Optical Interconnects'!F20</f>
        <v>1108746</v>
      </c>
      <c r="G246" s="512">
        <f>'Optical Interconnects'!G20</f>
        <v>0</v>
      </c>
      <c r="H246" s="484">
        <f>'Optical Interconnects'!H20</f>
        <v>0</v>
      </c>
      <c r="I246" s="196">
        <f>'Optical Interconnects'!I20</f>
        <v>0</v>
      </c>
      <c r="J246" s="509">
        <f>'Optical Interconnects'!J20</f>
        <v>0</v>
      </c>
      <c r="K246" s="512">
        <f>'Optical Interconnects'!K20</f>
        <v>0</v>
      </c>
      <c r="L246" s="484">
        <f>'Optical Interconnects'!L20</f>
        <v>0</v>
      </c>
      <c r="M246" s="196">
        <f>'Optical Interconnects'!M20</f>
        <v>0</v>
      </c>
      <c r="N246" s="509">
        <f>'Optical Interconnects'!N20</f>
        <v>0</v>
      </c>
      <c r="O246" s="512">
        <f>'Optical Interconnects'!O20</f>
        <v>0</v>
      </c>
      <c r="P246" s="484">
        <f>'Optical Interconnects'!P20</f>
        <v>0</v>
      </c>
      <c r="Q246" s="196">
        <f>'Optical Interconnects'!Q20</f>
        <v>0</v>
      </c>
      <c r="R246" s="509">
        <f>'Optical Interconnects'!R20</f>
        <v>0</v>
      </c>
      <c r="S246" s="1070">
        <f>'Optical Interconnects'!C52/10^6</f>
        <v>50.974854999999998</v>
      </c>
      <c r="T246" s="485">
        <f>'Optical Interconnects'!D52/10^6</f>
        <v>50.024223999999997</v>
      </c>
      <c r="U246" s="191">
        <f>'Optical Interconnects'!E52/10^6</f>
        <v>54.798230949999983</v>
      </c>
      <c r="V246" s="506">
        <f>'Optical Interconnects'!F52/10^6</f>
        <v>54.782512623799995</v>
      </c>
      <c r="W246" s="640">
        <f>'Optical Interconnects'!G52/10^6</f>
        <v>0</v>
      </c>
      <c r="X246" s="485">
        <f>'Optical Interconnects'!H52/10^6</f>
        <v>0</v>
      </c>
      <c r="Y246" s="191">
        <f>'Optical Interconnects'!I52/10^6</f>
        <v>0</v>
      </c>
      <c r="Z246" s="506">
        <f>'Optical Interconnects'!J52/10^6</f>
        <v>0</v>
      </c>
      <c r="AA246" s="640">
        <f>'Optical Interconnects'!K52/10^6</f>
        <v>0</v>
      </c>
      <c r="AB246" s="485">
        <f>'Optical Interconnects'!L52/10^6</f>
        <v>0</v>
      </c>
      <c r="AC246" s="191">
        <f>'Optical Interconnects'!M52/10^6</f>
        <v>0</v>
      </c>
      <c r="AD246" s="506">
        <f>'Optical Interconnects'!N52/10^6</f>
        <v>0</v>
      </c>
      <c r="AE246" s="640">
        <f>'Optical Interconnects'!O52/10^6</f>
        <v>0</v>
      </c>
      <c r="AF246" s="485">
        <f>'Optical Interconnects'!P52/10^6</f>
        <v>0</v>
      </c>
      <c r="AG246" s="191">
        <f>'Optical Interconnects'!Q52/10^6</f>
        <v>0</v>
      </c>
      <c r="AH246" s="506">
        <f>'Optical Interconnects'!R52/10^6</f>
        <v>0</v>
      </c>
      <c r="AI246"/>
      <c r="AJ246"/>
      <c r="AK246"/>
    </row>
    <row r="247" spans="2:37" ht="13.2">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I247"/>
      <c r="AJ247"/>
      <c r="AK247"/>
    </row>
    <row r="248" spans="2:37" ht="13.2">
      <c r="C248" s="140"/>
      <c r="D248" s="140"/>
      <c r="E248" s="140"/>
      <c r="F248" s="140"/>
      <c r="H248" s="133"/>
      <c r="S248" s="718"/>
      <c r="T248" s="718"/>
      <c r="U248" s="718"/>
      <c r="V248" s="718"/>
      <c r="W248" s="718"/>
      <c r="X248" s="718"/>
      <c r="AI248"/>
      <c r="AJ248"/>
      <c r="AK248"/>
    </row>
    <row r="249" spans="2:37">
      <c r="B249" s="136" t="s">
        <v>220</v>
      </c>
      <c r="C249" s="140"/>
      <c r="D249" s="140"/>
      <c r="E249" s="140"/>
      <c r="F249" s="140"/>
      <c r="G249" s="140"/>
      <c r="H249" s="140"/>
      <c r="I249" s="140"/>
      <c r="AI249"/>
      <c r="AJ249"/>
      <c r="AK249"/>
    </row>
    <row r="250" spans="2:37" ht="13.2">
      <c r="B250" s="124" t="s">
        <v>462</v>
      </c>
      <c r="C250" s="140"/>
      <c r="D250" s="140"/>
      <c r="E250" s="140"/>
      <c r="F250" s="140"/>
      <c r="AI250"/>
      <c r="AJ250"/>
      <c r="AK250"/>
    </row>
    <row r="251" spans="2:37" ht="13.2">
      <c r="C251" s="140"/>
      <c r="D251" s="140"/>
      <c r="E251" s="140"/>
      <c r="F251" s="140"/>
      <c r="AI251"/>
      <c r="AJ251"/>
      <c r="AK251"/>
    </row>
    <row r="252" spans="2:37" ht="13.2">
      <c r="C252" s="140"/>
      <c r="D252" s="140"/>
      <c r="E252" s="140"/>
      <c r="F252" s="140"/>
      <c r="AI252"/>
      <c r="AJ252"/>
      <c r="AK252"/>
    </row>
    <row r="253" spans="2:37" ht="13.2">
      <c r="C253" s="140"/>
      <c r="D253" s="140"/>
      <c r="E253" s="140"/>
      <c r="F253" s="140"/>
      <c r="AI253"/>
      <c r="AJ253"/>
      <c r="AK253"/>
    </row>
    <row r="254" spans="2:37" ht="13.2">
      <c r="C254" s="140"/>
      <c r="D254" s="140"/>
      <c r="E254" s="140"/>
      <c r="F254" s="140"/>
      <c r="AI254"/>
      <c r="AJ254"/>
      <c r="AK254"/>
    </row>
    <row r="255" spans="2:37" ht="13.2">
      <c r="C255" s="140"/>
      <c r="D255" s="140"/>
      <c r="E255" s="140"/>
      <c r="F255" s="140"/>
      <c r="AI255"/>
      <c r="AJ255"/>
      <c r="AK255"/>
    </row>
    <row r="256" spans="2:37" ht="13.2">
      <c r="C256" s="140"/>
      <c r="D256" s="140"/>
      <c r="E256" s="140"/>
      <c r="F256" s="140"/>
      <c r="AI256"/>
      <c r="AJ256"/>
      <c r="AK256"/>
    </row>
    <row r="257" spans="3:37" ht="13.2">
      <c r="C257" s="140"/>
      <c r="D257" s="140"/>
      <c r="E257" s="140"/>
      <c r="F257" s="140"/>
      <c r="AI257"/>
      <c r="AJ257"/>
      <c r="AK257"/>
    </row>
    <row r="258" spans="3:37" ht="13.2">
      <c r="C258" s="140"/>
      <c r="D258" s="140"/>
      <c r="E258" s="140"/>
      <c r="F258" s="140"/>
      <c r="AI258"/>
      <c r="AJ258"/>
      <c r="AK258"/>
    </row>
    <row r="259" spans="3:37" ht="13.2">
      <c r="C259" s="140"/>
      <c r="D259" s="140"/>
      <c r="E259" s="140"/>
      <c r="F259" s="140"/>
      <c r="AI259"/>
      <c r="AJ259"/>
      <c r="AK259"/>
    </row>
    <row r="260" spans="3:37" ht="13.2">
      <c r="C260" s="140"/>
      <c r="D260" s="140"/>
      <c r="E260" s="140"/>
      <c r="F260" s="140"/>
      <c r="AI260"/>
      <c r="AJ260"/>
      <c r="AK260"/>
    </row>
    <row r="261" spans="3:37" ht="13.2">
      <c r="C261" s="140"/>
      <c r="D261" s="140"/>
      <c r="E261" s="140"/>
      <c r="F261" s="140"/>
      <c r="AI261"/>
      <c r="AJ261"/>
      <c r="AK261"/>
    </row>
    <row r="262" spans="3:37" ht="13.2">
      <c r="C262" s="140"/>
      <c r="D262" s="140"/>
      <c r="E262" s="140"/>
      <c r="F262" s="140"/>
      <c r="AI262"/>
      <c r="AJ262"/>
      <c r="AK262"/>
    </row>
    <row r="263" spans="3:37" ht="13.2">
      <c r="C263" s="140"/>
      <c r="D263" s="140"/>
      <c r="E263" s="140"/>
      <c r="F263" s="140"/>
      <c r="AI263"/>
      <c r="AJ263"/>
      <c r="AK263"/>
    </row>
    <row r="264" spans="3:37" ht="13.2">
      <c r="C264" s="140"/>
      <c r="D264" s="140"/>
      <c r="E264" s="140"/>
      <c r="F264" s="140"/>
      <c r="AI264"/>
      <c r="AJ264"/>
      <c r="AK264"/>
    </row>
    <row r="265" spans="3:37" ht="13.2">
      <c r="C265" s="140"/>
      <c r="D265" s="140"/>
      <c r="E265" s="140"/>
      <c r="F265" s="140"/>
      <c r="AI265"/>
      <c r="AJ265"/>
      <c r="AK265"/>
    </row>
    <row r="266" spans="3:37" ht="13.2">
      <c r="C266" s="140"/>
      <c r="D266" s="140"/>
      <c r="E266" s="140"/>
      <c r="F266" s="140"/>
      <c r="AI266"/>
      <c r="AJ266"/>
      <c r="AK266"/>
    </row>
    <row r="267" spans="3:37" ht="13.2">
      <c r="C267" s="140"/>
      <c r="D267" s="140"/>
      <c r="E267" s="140"/>
      <c r="F267" s="140"/>
      <c r="AI267"/>
      <c r="AJ267"/>
      <c r="AK267"/>
    </row>
    <row r="268" spans="3:37" ht="13.2">
      <c r="C268" s="140"/>
      <c r="D268" s="140"/>
      <c r="E268" s="140"/>
      <c r="F268" s="140"/>
      <c r="AI268"/>
      <c r="AJ268"/>
      <c r="AK268"/>
    </row>
    <row r="269" spans="3:37" ht="13.2">
      <c r="C269" s="140"/>
      <c r="D269" s="140"/>
      <c r="E269" s="140"/>
      <c r="F269" s="140"/>
      <c r="AI269"/>
      <c r="AJ269"/>
      <c r="AK269"/>
    </row>
    <row r="270" spans="3:37" ht="13.2">
      <c r="C270" s="140"/>
      <c r="D270" s="140"/>
      <c r="E270" s="140"/>
      <c r="F270" s="140"/>
      <c r="AI270"/>
      <c r="AJ270"/>
      <c r="AK270"/>
    </row>
    <row r="271" spans="3:37" ht="13.2">
      <c r="C271" s="140"/>
      <c r="D271" s="140"/>
      <c r="E271" s="140"/>
      <c r="F271" s="140"/>
      <c r="AI271"/>
      <c r="AJ271"/>
      <c r="AK271"/>
    </row>
    <row r="272" spans="3:37" ht="13.2">
      <c r="C272" s="140"/>
      <c r="D272" s="140"/>
      <c r="E272" s="140"/>
      <c r="F272" s="140"/>
      <c r="AI272"/>
      <c r="AJ272"/>
      <c r="AK272"/>
    </row>
    <row r="273" spans="2:37" ht="13.2">
      <c r="C273" s="140"/>
      <c r="D273" s="140"/>
      <c r="E273" s="140"/>
      <c r="F273" s="140"/>
      <c r="AI273"/>
      <c r="AJ273"/>
      <c r="AK273"/>
    </row>
    <row r="274" spans="2:37" ht="13.2">
      <c r="C274" s="140"/>
      <c r="D274" s="140"/>
      <c r="E274" s="140"/>
      <c r="F274" s="140"/>
      <c r="AI274"/>
      <c r="AJ274"/>
      <c r="AK274"/>
    </row>
    <row r="275" spans="2:37" ht="15" thickBot="1">
      <c r="B275" s="795" t="s">
        <v>463</v>
      </c>
      <c r="C275" s="140"/>
      <c r="D275" s="140"/>
      <c r="E275" s="140"/>
      <c r="F275" s="140"/>
      <c r="Q275" s="60"/>
      <c r="R275" s="14"/>
      <c r="S275" s="38" t="str">
        <f>$B$275</f>
        <v>Wireless Fronthaul</v>
      </c>
      <c r="AG275" s="60"/>
      <c r="AH275" s="14"/>
      <c r="AI275"/>
      <c r="AJ275"/>
      <c r="AK275"/>
    </row>
    <row r="276" spans="2:37" ht="13.5" customHeight="1" thickBot="1">
      <c r="B276" s="1857" t="s">
        <v>464</v>
      </c>
      <c r="C276" s="613"/>
      <c r="D276" s="632"/>
      <c r="E276" s="632"/>
      <c r="F276" s="633"/>
      <c r="G276" s="613" t="s">
        <v>209</v>
      </c>
      <c r="H276" s="632"/>
      <c r="I276" s="632"/>
      <c r="J276" s="632"/>
      <c r="K276" s="632"/>
      <c r="L276" s="632"/>
      <c r="M276" s="632"/>
      <c r="N276" s="632"/>
      <c r="O276" s="632"/>
      <c r="P276" s="632"/>
      <c r="Q276" s="1855" t="s">
        <v>500</v>
      </c>
      <c r="R276" s="1856"/>
      <c r="S276" s="612"/>
      <c r="T276" s="632"/>
      <c r="U276" s="632"/>
      <c r="V276" s="632"/>
      <c r="W276" s="632" t="s">
        <v>371</v>
      </c>
      <c r="X276" s="632"/>
      <c r="Y276" s="632"/>
      <c r="Z276" s="632"/>
      <c r="AA276" s="632"/>
      <c r="AB276" s="632"/>
      <c r="AC276" s="632"/>
      <c r="AD276" s="632"/>
      <c r="AE276" s="632"/>
      <c r="AF276" s="632"/>
      <c r="AG276" s="1855" t="s">
        <v>500</v>
      </c>
      <c r="AH276" s="1856"/>
      <c r="AI276"/>
      <c r="AJ276"/>
      <c r="AK276"/>
    </row>
    <row r="277" spans="2:37" ht="13.8" thickBot="1">
      <c r="B277" s="1857"/>
      <c r="C277" s="446" t="str">
        <f t="shared" ref="C277:I277" si="40">C68</f>
        <v>1Q 17</v>
      </c>
      <c r="D277" s="378" t="str">
        <f t="shared" si="40"/>
        <v>2Q 17</v>
      </c>
      <c r="E277" s="378" t="str">
        <f t="shared" si="40"/>
        <v>3Q 17</v>
      </c>
      <c r="F277" s="447" t="str">
        <f t="shared" si="40"/>
        <v>4Q 17</v>
      </c>
      <c r="G277" s="379" t="str">
        <f t="shared" si="40"/>
        <v>1Q 18</v>
      </c>
      <c r="H277" s="378" t="str">
        <f t="shared" si="40"/>
        <v>2Q 18</v>
      </c>
      <c r="I277" s="378" t="str">
        <f t="shared" si="40"/>
        <v>3Q 18</v>
      </c>
      <c r="J277" s="447" t="str">
        <f>J$68</f>
        <v>4Q 18</v>
      </c>
      <c r="K277" s="446" t="str">
        <f t="shared" ref="K277:AB277" si="41">K$68</f>
        <v>1Q 19</v>
      </c>
      <c r="L277" s="378" t="str">
        <f t="shared" si="41"/>
        <v>2Q 19</v>
      </c>
      <c r="M277" s="378" t="s">
        <v>140</v>
      </c>
      <c r="N277" s="447" t="s">
        <v>141</v>
      </c>
      <c r="O277" s="446" t="s">
        <v>142</v>
      </c>
      <c r="P277" s="378" t="s">
        <v>143</v>
      </c>
      <c r="Q277" s="774" t="s">
        <v>621</v>
      </c>
      <c r="R277" s="774" t="s">
        <v>622</v>
      </c>
      <c r="S277" s="446" t="str">
        <f t="shared" si="41"/>
        <v>1Q 17</v>
      </c>
      <c r="T277" s="378" t="str">
        <f t="shared" si="41"/>
        <v>2Q 17</v>
      </c>
      <c r="U277" s="378" t="str">
        <f t="shared" si="41"/>
        <v>3Q 17</v>
      </c>
      <c r="V277" s="447" t="str">
        <f t="shared" si="41"/>
        <v>4Q 17</v>
      </c>
      <c r="W277" s="446" t="str">
        <f t="shared" si="41"/>
        <v>1Q 18</v>
      </c>
      <c r="X277" s="378" t="str">
        <f t="shared" si="41"/>
        <v>2Q 18</v>
      </c>
      <c r="Y277" s="378" t="str">
        <f t="shared" si="41"/>
        <v>3Q 18</v>
      </c>
      <c r="Z277" s="447" t="str">
        <f t="shared" si="41"/>
        <v>4Q 18</v>
      </c>
      <c r="AA277" s="446" t="str">
        <f t="shared" si="41"/>
        <v>1Q 19</v>
      </c>
      <c r="AB277" s="378" t="str">
        <f t="shared" si="41"/>
        <v>2Q 19</v>
      </c>
      <c r="AC277" s="378" t="s">
        <v>140</v>
      </c>
      <c r="AD277" s="447" t="s">
        <v>141</v>
      </c>
      <c r="AE277" s="446" t="s">
        <v>142</v>
      </c>
      <c r="AF277" s="378" t="s">
        <v>143</v>
      </c>
      <c r="AG277" s="774" t="s">
        <v>621</v>
      </c>
      <c r="AH277" s="774" t="s">
        <v>622</v>
      </c>
      <c r="AI277"/>
      <c r="AJ277"/>
      <c r="AK277"/>
    </row>
    <row r="278" spans="2:37" ht="13.2">
      <c r="B278" s="568" t="s">
        <v>528</v>
      </c>
      <c r="C278" s="186">
        <f>Wireless!D10+Wireless!D11</f>
        <v>56500</v>
      </c>
      <c r="D278" s="186">
        <f>Wireless!E10+Wireless!E11</f>
        <v>44700</v>
      </c>
      <c r="E278" s="483">
        <f>Wireless!F10+Wireless!F11</f>
        <v>0</v>
      </c>
      <c r="F278" s="508">
        <f>Wireless!G10+Wireless!G11</f>
        <v>0</v>
      </c>
      <c r="G278" s="186">
        <f>Wireless!H10+Wireless!H11</f>
        <v>0</v>
      </c>
      <c r="H278" s="186">
        <f>Wireless!I10+Wireless!I11</f>
        <v>0</v>
      </c>
      <c r="I278" s="483">
        <f>Wireless!J10+Wireless!J11</f>
        <v>0</v>
      </c>
      <c r="J278" s="508">
        <f>Wireless!K10+Wireless!K11</f>
        <v>0</v>
      </c>
      <c r="K278" s="186">
        <f>Wireless!L10+Wireless!L11</f>
        <v>0</v>
      </c>
      <c r="L278" s="186">
        <f>Wireless!M10+Wireless!M11</f>
        <v>0</v>
      </c>
      <c r="M278" s="483">
        <f>Wireless!N10+Wireless!N11</f>
        <v>0</v>
      </c>
      <c r="N278" s="508">
        <f>Wireless!O10+Wireless!O11</f>
        <v>0</v>
      </c>
      <c r="O278" s="186">
        <f>Wireless!P10+Wireless!P11</f>
        <v>0</v>
      </c>
      <c r="P278" s="186">
        <f>Wireless!Q10+Wireless!Q11</f>
        <v>0</v>
      </c>
      <c r="Q278" s="483">
        <f>Wireless!R10+Wireless!R11</f>
        <v>0</v>
      </c>
      <c r="R278" s="508">
        <f>Wireless!S10+Wireless!S11</f>
        <v>0</v>
      </c>
      <c r="S278" s="1066">
        <f>(Wireless!D69+Wireless!D70+Wireless!D71)/10^6</f>
        <v>0.45850000000000002</v>
      </c>
      <c r="T278" s="187">
        <f>(Wireless!E69+Wireless!E70+Wireless!E71)/10^6</f>
        <v>0.36230000000000001</v>
      </c>
      <c r="U278" s="187">
        <f>(Wireless!F69+Wireless!F70+Wireless!F71)/10^6</f>
        <v>0</v>
      </c>
      <c r="V278" s="505">
        <f>(Wireless!G69+Wireless!G70+Wireless!G71)/10^6</f>
        <v>0</v>
      </c>
      <c r="W278" s="799">
        <f>(Wireless!H69+Wireless!H70+Wireless!H71)/10^6</f>
        <v>0</v>
      </c>
      <c r="X278" s="187">
        <f>(Wireless!I69+Wireless!I70+Wireless!I71)/10^6</f>
        <v>0</v>
      </c>
      <c r="Y278" s="733">
        <f>(Wireless!J69+Wireless!J70+Wireless!J71)/10^6</f>
        <v>0</v>
      </c>
      <c r="Z278" s="734">
        <f>(Wireless!K69+Wireless!K70+Wireless!K71)/10^6</f>
        <v>0</v>
      </c>
      <c r="AA278" s="799">
        <f>(Wireless!L69+Wireless!L70+Wireless!L71)/10^6</f>
        <v>0</v>
      </c>
      <c r="AB278" s="187">
        <f>(Wireless!M69+Wireless!M70+Wireless!M71)/10^6</f>
        <v>0</v>
      </c>
      <c r="AC278" s="733">
        <f>(Wireless!N69+Wireless!N70+Wireless!N71)/10^6</f>
        <v>0</v>
      </c>
      <c r="AD278" s="734">
        <f>(Wireless!O69+Wireless!O70+Wireless!O71)/10^6</f>
        <v>0</v>
      </c>
      <c r="AE278" s="799">
        <f>(Wireless!P69+Wireless!P70+Wireless!P71)/10^6</f>
        <v>0</v>
      </c>
      <c r="AF278" s="187">
        <f>(Wireless!Q69+Wireless!Q70+Wireless!Q71)/10^6</f>
        <v>0</v>
      </c>
      <c r="AG278" s="733">
        <f>(Wireless!R69+Wireless!R70+Wireless!R71)/10^6</f>
        <v>0</v>
      </c>
      <c r="AH278" s="734">
        <f>(Wireless!S69+Wireless!S70+Wireless!S71)/10^6</f>
        <v>0</v>
      </c>
      <c r="AI278"/>
      <c r="AJ278"/>
      <c r="AK278"/>
    </row>
    <row r="279" spans="2:37" ht="13.2">
      <c r="B279" s="157" t="s">
        <v>529</v>
      </c>
      <c r="C279" s="186">
        <f>SUM(Wireless!D12:D14)</f>
        <v>167222</v>
      </c>
      <c r="D279" s="186">
        <f>SUM(Wireless!E12:E14)</f>
        <v>118422</v>
      </c>
      <c r="E279" s="483">
        <f>SUM(Wireless!F12:F14)</f>
        <v>13000</v>
      </c>
      <c r="F279" s="508">
        <f>SUM(Wireless!G12:G14)</f>
        <v>16000</v>
      </c>
      <c r="G279" s="186">
        <f>SUM(Wireless!H12:H14)</f>
        <v>0</v>
      </c>
      <c r="H279" s="186">
        <f>SUM(Wireless!I12:I14)</f>
        <v>0</v>
      </c>
      <c r="I279" s="483">
        <f>SUM(Wireless!J12:J14)</f>
        <v>0</v>
      </c>
      <c r="J279" s="508">
        <f>SUM(Wireless!K12:K14)</f>
        <v>0</v>
      </c>
      <c r="K279" s="186">
        <f>SUM(Wireless!L12:L14)</f>
        <v>0</v>
      </c>
      <c r="L279" s="186">
        <f>SUM(Wireless!M12:M14)</f>
        <v>0</v>
      </c>
      <c r="M279" s="483">
        <f>SUM(Wireless!N12:N14)</f>
        <v>0</v>
      </c>
      <c r="N279" s="508">
        <f>SUM(Wireless!O12:O14)</f>
        <v>0</v>
      </c>
      <c r="O279" s="186">
        <f>SUM(Wireless!P12:P14)</f>
        <v>0</v>
      </c>
      <c r="P279" s="186">
        <f>SUM(Wireless!Q12:Q14)</f>
        <v>0</v>
      </c>
      <c r="Q279" s="483">
        <f>SUM(Wireless!R12:R14)</f>
        <v>0</v>
      </c>
      <c r="R279" s="508">
        <f>SUM(Wireless!S12:S14)</f>
        <v>0</v>
      </c>
      <c r="S279" s="1066">
        <f>SUM(Wireless!D72:D74)/10^6</f>
        <v>3.1088279999999999</v>
      </c>
      <c r="T279" s="187">
        <f>SUM(Wireless!E72:E74)/10^6</f>
        <v>1.921306</v>
      </c>
      <c r="U279" s="187">
        <f>SUM(Wireless!F72:F74)/10^6</f>
        <v>0.38200000000000001</v>
      </c>
      <c r="V279" s="505">
        <f>SUM(Wireless!G72:G74)/10^6</f>
        <v>0.44800000000000001</v>
      </c>
      <c r="W279" s="799">
        <f>SUM(Wireless!H72:H74)/10^6</f>
        <v>0</v>
      </c>
      <c r="X279" s="187">
        <f>SUM(Wireless!I72:I74)/10^6</f>
        <v>0</v>
      </c>
      <c r="Y279" s="187">
        <f>SUM(Wireless!J72:J74)/10^6</f>
        <v>0</v>
      </c>
      <c r="Z279" s="505">
        <f>SUM(Wireless!K72:K74)/10^6</f>
        <v>0</v>
      </c>
      <c r="AA279" s="799">
        <f>SUM(Wireless!L72:L74)/10^6</f>
        <v>0</v>
      </c>
      <c r="AB279" s="187">
        <f>SUM(Wireless!M72:M74)/10^6</f>
        <v>0</v>
      </c>
      <c r="AC279" s="187">
        <f>SUM(Wireless!N72:N74)/10^6</f>
        <v>0</v>
      </c>
      <c r="AD279" s="505">
        <f>SUM(Wireless!O72:O74)/10^6</f>
        <v>0</v>
      </c>
      <c r="AE279" s="799">
        <f>SUM(Wireless!P72:P74)/10^6</f>
        <v>0</v>
      </c>
      <c r="AF279" s="187">
        <f>SUM(Wireless!Q72:Q74)/10^6</f>
        <v>0</v>
      </c>
      <c r="AG279" s="187">
        <f>SUM(Wireless!R72:R74)/10^6</f>
        <v>0</v>
      </c>
      <c r="AH279" s="505">
        <f>SUM(Wireless!S72:S74)/10^6</f>
        <v>0</v>
      </c>
      <c r="AI279"/>
      <c r="AJ279"/>
      <c r="AK279"/>
    </row>
    <row r="280" spans="2:37" ht="13.2">
      <c r="B280" s="184" t="s">
        <v>530</v>
      </c>
      <c r="C280" s="185">
        <f>SUM(Wireless!D15:D17)</f>
        <v>1613335</v>
      </c>
      <c r="D280" s="484">
        <f>SUM(Wireless!E15:E17)</f>
        <v>1562745</v>
      </c>
      <c r="E280" s="196">
        <f>SUM(Wireless!F15:F17)</f>
        <v>996455</v>
      </c>
      <c r="F280" s="509">
        <f>SUM(Wireless!G15:G17)</f>
        <v>914653</v>
      </c>
      <c r="G280" s="185">
        <f>SUM(Wireless!H15:H17)</f>
        <v>0</v>
      </c>
      <c r="H280" s="484">
        <f>SUM(Wireless!I15:I17)</f>
        <v>0</v>
      </c>
      <c r="I280" s="196">
        <f>SUM(Wireless!J15:J17)</f>
        <v>0</v>
      </c>
      <c r="J280" s="509">
        <f>SUM(Wireless!K15:K17)</f>
        <v>0</v>
      </c>
      <c r="K280" s="185">
        <f>SUM(Wireless!L15:L17)</f>
        <v>0</v>
      </c>
      <c r="L280" s="484">
        <f>SUM(Wireless!M15:M17)</f>
        <v>0</v>
      </c>
      <c r="M280" s="196">
        <f>SUM(Wireless!N15:N17)</f>
        <v>0</v>
      </c>
      <c r="N280" s="509">
        <f>SUM(Wireless!O15:O17)</f>
        <v>0</v>
      </c>
      <c r="O280" s="185">
        <f>SUM(Wireless!P15:P17)</f>
        <v>0</v>
      </c>
      <c r="P280" s="484">
        <f>SUM(Wireless!Q15:Q17)</f>
        <v>0</v>
      </c>
      <c r="Q280" s="196">
        <f>SUM(Wireless!R15:R17)</f>
        <v>0</v>
      </c>
      <c r="R280" s="509">
        <f>SUM(Wireless!S15:S17)</f>
        <v>0</v>
      </c>
      <c r="S280" s="1067">
        <f>SUM(Wireless!D75:D77)/10^6</f>
        <v>26.299306999999999</v>
      </c>
      <c r="T280" s="485">
        <f>SUM(Wireless!E75:E77)/10^6</f>
        <v>24.424315</v>
      </c>
      <c r="U280" s="485">
        <f>SUM(Wireless!F75:F77)/10^6</f>
        <v>15.23078900000001</v>
      </c>
      <c r="V280" s="506">
        <f>SUM(Wireless!G75:G77)/10^6</f>
        <v>14.707728000000014</v>
      </c>
      <c r="W280" s="800">
        <f>SUM(Wireless!H75:H77)/10^6</f>
        <v>0</v>
      </c>
      <c r="X280" s="485">
        <f>SUM(Wireless!I75:I77)/10^6</f>
        <v>0</v>
      </c>
      <c r="Y280" s="485">
        <f>SUM(Wireless!J75:J77)/10^6</f>
        <v>0</v>
      </c>
      <c r="Z280" s="506">
        <f>SUM(Wireless!K75:K77)/10^6</f>
        <v>0</v>
      </c>
      <c r="AA280" s="800">
        <f>SUM(Wireless!L75:L77)/10^6</f>
        <v>0</v>
      </c>
      <c r="AB280" s="485">
        <f>SUM(Wireless!M75:M77)/10^6</f>
        <v>0</v>
      </c>
      <c r="AC280" s="485">
        <f>SUM(Wireless!N75:N77)/10^6</f>
        <v>0</v>
      </c>
      <c r="AD280" s="506">
        <f>SUM(Wireless!O75:O77)/10^6</f>
        <v>0</v>
      </c>
      <c r="AE280" s="800">
        <f>SUM(Wireless!P75:P77)/10^6</f>
        <v>0</v>
      </c>
      <c r="AF280" s="485">
        <f>SUM(Wireless!Q75:Q77)/10^6</f>
        <v>0</v>
      </c>
      <c r="AG280" s="485">
        <f>SUM(Wireless!R75:R77)/10^6</f>
        <v>0</v>
      </c>
      <c r="AH280" s="506">
        <f>SUM(Wireless!S75:S77)/10^6</f>
        <v>0</v>
      </c>
      <c r="AI280"/>
      <c r="AJ280"/>
      <c r="AK280"/>
    </row>
    <row r="281" spans="2:37" ht="13.2">
      <c r="B281" s="188" t="s">
        <v>531</v>
      </c>
      <c r="C281" s="185">
        <f>SUM(Wireless!D18:D20)</f>
        <v>833082</v>
      </c>
      <c r="D281" s="484">
        <f>SUM(Wireless!E18:E20)</f>
        <v>1110866</v>
      </c>
      <c r="E281" s="196">
        <f>SUM(Wireless!F18:F20)</f>
        <v>707777</v>
      </c>
      <c r="F281" s="509">
        <f>SUM(Wireless!G18:G20)</f>
        <v>780516</v>
      </c>
      <c r="G281" s="185">
        <f>SUM(Wireless!H18:H20)</f>
        <v>0</v>
      </c>
      <c r="H281" s="484">
        <f>SUM(Wireless!I18:I20)</f>
        <v>0</v>
      </c>
      <c r="I281" s="196">
        <f>SUM(Wireless!J18:J20)</f>
        <v>0</v>
      </c>
      <c r="J281" s="509">
        <f>SUM(Wireless!K18:K20)</f>
        <v>0</v>
      </c>
      <c r="K281" s="185">
        <f>SUM(Wireless!L18:L20)</f>
        <v>0</v>
      </c>
      <c r="L281" s="484">
        <f>SUM(Wireless!M18:M20)</f>
        <v>0</v>
      </c>
      <c r="M281" s="196">
        <f>SUM(Wireless!N18:N20)</f>
        <v>0</v>
      </c>
      <c r="N281" s="509">
        <f>SUM(Wireless!O18:O20)</f>
        <v>0</v>
      </c>
      <c r="O281" s="185">
        <f>SUM(Wireless!P18:P20)</f>
        <v>0</v>
      </c>
      <c r="P281" s="484">
        <f>SUM(Wireless!Q18:Q20)</f>
        <v>0</v>
      </c>
      <c r="Q281" s="196">
        <f>SUM(Wireless!R18:R20)</f>
        <v>0</v>
      </c>
      <c r="R281" s="509">
        <f>SUM(Wireless!S18:S20)</f>
        <v>0</v>
      </c>
      <c r="S281" s="1068">
        <f>SUM(Wireless!D78:D80)/10^6</f>
        <v>18.218484</v>
      </c>
      <c r="T281" s="486">
        <f>SUM(Wireless!E78:E80)/10^6</f>
        <v>22.168453</v>
      </c>
      <c r="U281" s="486">
        <f>SUM(Wireless!F78:F80)/10^6</f>
        <v>13.795248777510615</v>
      </c>
      <c r="V281" s="513">
        <f>SUM(Wireless!G78:G80)/10^6</f>
        <v>14.366928396244528</v>
      </c>
      <c r="W281" s="801">
        <f>SUM(Wireless!H78:H80)/10^6</f>
        <v>0</v>
      </c>
      <c r="X281" s="486">
        <f>SUM(Wireless!I78:I80)/10^6</f>
        <v>0</v>
      </c>
      <c r="Y281" s="486">
        <f>SUM(Wireless!J78:J80)/10^6</f>
        <v>0</v>
      </c>
      <c r="Z281" s="513">
        <f>SUM(Wireless!K78:K80)/10^6</f>
        <v>0</v>
      </c>
      <c r="AA281" s="801">
        <f>SUM(Wireless!L78:L80)/10^6</f>
        <v>0</v>
      </c>
      <c r="AB281" s="486">
        <f>SUM(Wireless!M78:M80)/10^6</f>
        <v>0</v>
      </c>
      <c r="AC281" s="486">
        <f>SUM(Wireless!N78:N80)/10^6</f>
        <v>0</v>
      </c>
      <c r="AD281" s="513">
        <f>SUM(Wireless!O78:O80)/10^6</f>
        <v>0</v>
      </c>
      <c r="AE281" s="801">
        <f>SUM(Wireless!P78:P80)/10^6</f>
        <v>0</v>
      </c>
      <c r="AF281" s="486">
        <f>SUM(Wireless!Q78:Q80)/10^6</f>
        <v>0</v>
      </c>
      <c r="AG281" s="486">
        <f>SUM(Wireless!R78:R80)/10^6</f>
        <v>0</v>
      </c>
      <c r="AH281" s="513">
        <f>SUM(Wireless!S78:S80)/10^6</f>
        <v>0</v>
      </c>
      <c r="AI281"/>
      <c r="AJ281"/>
      <c r="AK281"/>
    </row>
    <row r="282" spans="2:37">
      <c r="B282" s="188" t="s">
        <v>617</v>
      </c>
      <c r="C282" s="185">
        <f>SUM(Wireless!D21:D24)</f>
        <v>0</v>
      </c>
      <c r="D282" s="484">
        <f>SUM(Wireless!E21:E24)</f>
        <v>0</v>
      </c>
      <c r="E282" s="196">
        <f>SUM(Wireless!F21:F24)</f>
        <v>0</v>
      </c>
      <c r="F282" s="509">
        <f>SUM(Wireless!G21:G24)</f>
        <v>0</v>
      </c>
      <c r="G282" s="185">
        <f>SUM(Wireless!H21:H25)</f>
        <v>0</v>
      </c>
      <c r="H282" s="484">
        <f>SUM(Wireless!I21:I25)</f>
        <v>0</v>
      </c>
      <c r="I282" s="196">
        <f>SUM(Wireless!J21:J25)</f>
        <v>0</v>
      </c>
      <c r="J282" s="509">
        <f>SUM(Wireless!K21:K25)</f>
        <v>0</v>
      </c>
      <c r="K282" s="185">
        <f>SUM(Wireless!L21:L25)</f>
        <v>0</v>
      </c>
      <c r="L282" s="484">
        <f>SUM(Wireless!M21:M25)</f>
        <v>0</v>
      </c>
      <c r="M282" s="196">
        <f>SUM(Wireless!N21:N25)</f>
        <v>0</v>
      </c>
      <c r="N282" s="509">
        <f>SUM(Wireless!O21:O25)</f>
        <v>0</v>
      </c>
      <c r="O282" s="185">
        <f>SUM(Wireless!P21:P25)</f>
        <v>0</v>
      </c>
      <c r="P282" s="484">
        <f>SUM(Wireless!Q21:Q25)</f>
        <v>0</v>
      </c>
      <c r="Q282" s="196">
        <f>SUM(Wireless!R21:R25)</f>
        <v>0</v>
      </c>
      <c r="R282" s="509">
        <f>SUM(Wireless!S21:S25)</f>
        <v>0</v>
      </c>
      <c r="S282" s="1069">
        <f>SUM(Wireless!D81:D84)/10^6</f>
        <v>0</v>
      </c>
      <c r="T282" s="719">
        <f>SUM(Wireless!E81:E84)/10^6</f>
        <v>0</v>
      </c>
      <c r="U282" s="719">
        <f>SUM(Wireless!F81:F84)/10^6</f>
        <v>0</v>
      </c>
      <c r="V282" s="720">
        <f>SUM(Wireless!G81:G84)/10^6</f>
        <v>0</v>
      </c>
      <c r="W282" s="802">
        <f>SUM(Wireless!H81:H84)/10^6</f>
        <v>0</v>
      </c>
      <c r="X282" s="719">
        <f>SUM(Wireless!I81:I84)/10^6</f>
        <v>0</v>
      </c>
      <c r="Y282" s="719">
        <f>SUM(Wireless!J81:J84)/10^6</f>
        <v>0</v>
      </c>
      <c r="Z282" s="720">
        <f>SUM(Wireless!K81:K84)/10^6</f>
        <v>0</v>
      </c>
      <c r="AA282" s="802">
        <f>SUM(Wireless!L81:L85)/10^6</f>
        <v>0</v>
      </c>
      <c r="AB282" s="719">
        <f>SUM(Wireless!M81:M85)/10^6</f>
        <v>0</v>
      </c>
      <c r="AC282" s="719">
        <f>SUM(Wireless!N81:N85)/10^6</f>
        <v>0</v>
      </c>
      <c r="AD282" s="720">
        <f>SUM(Wireless!O81:O85)/10^6</f>
        <v>0</v>
      </c>
      <c r="AE282" s="802">
        <f>SUM(Wireless!P81:P85)/10^6</f>
        <v>0</v>
      </c>
      <c r="AF282" s="719">
        <f>SUM(Wireless!Q81:Q85)/10^6</f>
        <v>0</v>
      </c>
      <c r="AG282" s="719">
        <f>SUM(Wireless!R81:R85)/10^6</f>
        <v>0</v>
      </c>
      <c r="AH282" s="720">
        <f>SUM(Wireless!S81:S85)/10^6</f>
        <v>0</v>
      </c>
    </row>
    <row r="283" spans="2:37">
      <c r="B283" s="188" t="s">
        <v>576</v>
      </c>
      <c r="C283" s="185">
        <f>SUM(Wireless!D26:D28)</f>
        <v>0</v>
      </c>
      <c r="D283" s="484">
        <f>SUM(Wireless!E26:E28)</f>
        <v>0</v>
      </c>
      <c r="E283" s="196">
        <f>SUM(Wireless!F26:F28)</f>
        <v>0</v>
      </c>
      <c r="F283" s="509">
        <f>SUM(Wireless!G26:G28)</f>
        <v>0</v>
      </c>
      <c r="G283" s="185">
        <f>SUM(Wireless!H26:H28)</f>
        <v>0</v>
      </c>
      <c r="H283" s="484">
        <f>SUM(Wireless!I26:I28)</f>
        <v>0</v>
      </c>
      <c r="I283" s="196">
        <f>SUM(Wireless!J26:J28)</f>
        <v>0</v>
      </c>
      <c r="J283" s="509">
        <f>SUM(Wireless!K26:K28)</f>
        <v>0</v>
      </c>
      <c r="K283" s="185">
        <f>SUM(Wireless!L26:L28)</f>
        <v>0</v>
      </c>
      <c r="L283" s="484">
        <f>SUM(Wireless!M26:M28)</f>
        <v>0</v>
      </c>
      <c r="M283" s="196">
        <f>SUM(Wireless!N26:N28)</f>
        <v>0</v>
      </c>
      <c r="N283" s="509">
        <f>SUM(Wireless!O26:O28)</f>
        <v>0</v>
      </c>
      <c r="O283" s="185">
        <f>SUM(Wireless!P26:P28)</f>
        <v>0</v>
      </c>
      <c r="P283" s="484">
        <f>SUM(Wireless!Q26:Q28)</f>
        <v>0</v>
      </c>
      <c r="Q283" s="196">
        <f>SUM(Wireless!R26:R28)</f>
        <v>0</v>
      </c>
      <c r="R283" s="509">
        <f>SUM(Wireless!S26:S28)</f>
        <v>0</v>
      </c>
      <c r="S283" s="1069">
        <f>SUM(Wireless!D86:D88)/10^6</f>
        <v>0</v>
      </c>
      <c r="T283" s="719">
        <f>SUM(Wireless!E86:E88)/10^6</f>
        <v>0</v>
      </c>
      <c r="U283" s="719">
        <f>SUM(Wireless!F86:F88)/10^6</f>
        <v>0</v>
      </c>
      <c r="V283" s="720">
        <f>SUM(Wireless!G86:G88)/10^6</f>
        <v>0</v>
      </c>
      <c r="W283" s="802">
        <f>SUM(Wireless!H86:H88)/10^6</f>
        <v>0</v>
      </c>
      <c r="X283" s="719">
        <f>SUM(Wireless!I86:I88)/10^6</f>
        <v>0</v>
      </c>
      <c r="Y283" s="719">
        <f>SUM(Wireless!J86:J88)/10^6</f>
        <v>0</v>
      </c>
      <c r="Z283" s="720">
        <f>SUM(Wireless!K86:K88)/10^6</f>
        <v>0</v>
      </c>
      <c r="AA283" s="802">
        <f>SUM(Wireless!L86:L88)/10^6</f>
        <v>0</v>
      </c>
      <c r="AB283" s="719">
        <f>SUM(Wireless!M86:M88)/10^6</f>
        <v>0</v>
      </c>
      <c r="AC283" s="719">
        <f>SUM(Wireless!N86:N88)/10^6</f>
        <v>0</v>
      </c>
      <c r="AD283" s="720">
        <f>SUM(Wireless!O86:O88)/10^6</f>
        <v>0</v>
      </c>
      <c r="AE283" s="802">
        <f>SUM(Wireless!P86:P88)/10^6</f>
        <v>0</v>
      </c>
      <c r="AF283" s="719">
        <f>SUM(Wireless!Q86:Q88)/10^6</f>
        <v>0</v>
      </c>
      <c r="AG283" s="719">
        <f>SUM(Wireless!R86:R88)/10^6</f>
        <v>0</v>
      </c>
      <c r="AH283" s="720">
        <f>SUM(Wireless!S86:S88)/10^6</f>
        <v>0</v>
      </c>
    </row>
    <row r="284" spans="2:37">
      <c r="B284" s="188" t="s">
        <v>532</v>
      </c>
      <c r="C284" s="185">
        <f>Wireless!D29+Wireless!D32</f>
        <v>0</v>
      </c>
      <c r="D284" s="484">
        <f>Wireless!E29+Wireless!E32</f>
        <v>0</v>
      </c>
      <c r="E284" s="196">
        <f>Wireless!F29+Wireless!F32</f>
        <v>0</v>
      </c>
      <c r="F284" s="509">
        <f>Wireless!G29+Wireless!G32</f>
        <v>0</v>
      </c>
      <c r="G284" s="185">
        <f>Wireless!H29+Wireless!H32</f>
        <v>0</v>
      </c>
      <c r="H284" s="484">
        <f>Wireless!I29+Wireless!I32</f>
        <v>0</v>
      </c>
      <c r="I284" s="196">
        <f>Wireless!J29+Wireless!J32</f>
        <v>0</v>
      </c>
      <c r="J284" s="509">
        <f>Wireless!K29+Wireless!K32</f>
        <v>0</v>
      </c>
      <c r="K284" s="185">
        <f>SUM(Wireless!L29:L32)</f>
        <v>0</v>
      </c>
      <c r="L284" s="484">
        <f>SUM(Wireless!M29:M32)</f>
        <v>0</v>
      </c>
      <c r="M284" s="196">
        <f>SUM(Wireless!N29:N32)</f>
        <v>0</v>
      </c>
      <c r="N284" s="509">
        <f>SUM(Wireless!O29:O32)</f>
        <v>0</v>
      </c>
      <c r="O284" s="185">
        <f>SUM(Wireless!P29:P32)</f>
        <v>0</v>
      </c>
      <c r="P284" s="484">
        <f>SUM(Wireless!Q29:Q32)</f>
        <v>0</v>
      </c>
      <c r="Q284" s="196">
        <f>SUM(Wireless!R29:R32)</f>
        <v>0</v>
      </c>
      <c r="R284" s="509">
        <f>SUM(Wireless!S29:S32)</f>
        <v>0</v>
      </c>
      <c r="S284" s="1069">
        <f>(Wireless!D89+Wireless!D92)/10^6</f>
        <v>0</v>
      </c>
      <c r="T284" s="719">
        <f>(Wireless!E89+Wireless!E92)/10^6</f>
        <v>0</v>
      </c>
      <c r="U284" s="719">
        <f>(Wireless!F89+Wireless!F92)/10^6</f>
        <v>0</v>
      </c>
      <c r="V284" s="720">
        <f>(Wireless!G89+Wireless!G92)/10^6</f>
        <v>0</v>
      </c>
      <c r="W284" s="802">
        <f>(Wireless!H89+Wireless!H92)/10^6</f>
        <v>0</v>
      </c>
      <c r="X284" s="719">
        <f>(Wireless!I89+Wireless!I92)/10^6</f>
        <v>0</v>
      </c>
      <c r="Y284" s="719">
        <f>(Wireless!J89+Wireless!J92)/10^6</f>
        <v>0</v>
      </c>
      <c r="Z284" s="720">
        <f>(Wireless!K89+Wireless!K92)/10^6</f>
        <v>0</v>
      </c>
      <c r="AA284" s="802">
        <f>(SUM(Wireless!L89:L92))/10^6</f>
        <v>0</v>
      </c>
      <c r="AB284" s="719">
        <f>(SUM(Wireless!M89:M92))/10^6</f>
        <v>0</v>
      </c>
      <c r="AC284" s="719">
        <f>(SUM(Wireless!N89:N92))/10^6</f>
        <v>0</v>
      </c>
      <c r="AD284" s="720">
        <f>(SUM(Wireless!O89:O92))/10^6</f>
        <v>0</v>
      </c>
      <c r="AE284" s="802">
        <f>(SUM(Wireless!P89:P92))/10^6</f>
        <v>0</v>
      </c>
      <c r="AF284" s="719">
        <f>(SUM(Wireless!Q89:Q92))/10^6</f>
        <v>0</v>
      </c>
      <c r="AG284" s="719">
        <f>(SUM(Wireless!R89:R92))/10^6</f>
        <v>0</v>
      </c>
      <c r="AH284" s="720">
        <f>(SUM(Wireless!S89:S92))/10^6</f>
        <v>0</v>
      </c>
    </row>
    <row r="285" spans="2:37">
      <c r="B285" s="188" t="s">
        <v>19</v>
      </c>
      <c r="C285" s="189">
        <f t="shared" ref="C285:J285" si="42">SUM(C278:C284)</f>
        <v>2670139</v>
      </c>
      <c r="D285" s="487">
        <f t="shared" si="42"/>
        <v>2836733</v>
      </c>
      <c r="E285" s="196">
        <f t="shared" si="42"/>
        <v>1717232</v>
      </c>
      <c r="F285" s="509">
        <f t="shared" si="42"/>
        <v>1711169</v>
      </c>
      <c r="G285" s="189">
        <f t="shared" si="42"/>
        <v>0</v>
      </c>
      <c r="H285" s="487">
        <f t="shared" si="42"/>
        <v>0</v>
      </c>
      <c r="I285" s="196">
        <f t="shared" si="42"/>
        <v>0</v>
      </c>
      <c r="J285" s="509">
        <f t="shared" si="42"/>
        <v>0</v>
      </c>
      <c r="K285" s="189">
        <f t="shared" ref="K285:AB285" si="43">SUM(K278:K284)</f>
        <v>0</v>
      </c>
      <c r="L285" s="487">
        <f t="shared" si="43"/>
        <v>0</v>
      </c>
      <c r="M285" s="196">
        <f t="shared" ref="M285:P285" si="44">SUM(M278:M284)</f>
        <v>0</v>
      </c>
      <c r="N285" s="509">
        <f t="shared" si="44"/>
        <v>0</v>
      </c>
      <c r="O285" s="189">
        <f t="shared" si="44"/>
        <v>0</v>
      </c>
      <c r="P285" s="487">
        <f t="shared" si="44"/>
        <v>0</v>
      </c>
      <c r="Q285" s="196">
        <f t="shared" ref="Q285:R285" si="45">SUM(Q278:Q284)</f>
        <v>0</v>
      </c>
      <c r="R285" s="509">
        <f t="shared" si="45"/>
        <v>0</v>
      </c>
      <c r="S285" s="1070">
        <f t="shared" si="43"/>
        <v>48.085118999999999</v>
      </c>
      <c r="T285" s="191">
        <f t="shared" si="43"/>
        <v>48.876373999999998</v>
      </c>
      <c r="U285" s="191">
        <f t="shared" si="43"/>
        <v>29.408037777510625</v>
      </c>
      <c r="V285" s="514">
        <f t="shared" si="43"/>
        <v>29.522656396244543</v>
      </c>
      <c r="W285" s="640">
        <f t="shared" si="43"/>
        <v>0</v>
      </c>
      <c r="X285" s="191">
        <f t="shared" si="43"/>
        <v>0</v>
      </c>
      <c r="Y285" s="191">
        <f t="shared" si="43"/>
        <v>0</v>
      </c>
      <c r="Z285" s="514">
        <f t="shared" si="43"/>
        <v>0</v>
      </c>
      <c r="AA285" s="640">
        <f t="shared" si="43"/>
        <v>0</v>
      </c>
      <c r="AB285" s="191">
        <f t="shared" si="43"/>
        <v>0</v>
      </c>
      <c r="AC285" s="191">
        <f t="shared" ref="AC285:AF285" si="46">SUM(AC278:AC284)</f>
        <v>0</v>
      </c>
      <c r="AD285" s="514">
        <f t="shared" si="46"/>
        <v>0</v>
      </c>
      <c r="AE285" s="640">
        <f t="shared" si="46"/>
        <v>0</v>
      </c>
      <c r="AF285" s="191">
        <f t="shared" si="46"/>
        <v>0</v>
      </c>
      <c r="AG285" s="191">
        <f t="shared" ref="AG285:AH285" si="47">SUM(AG278:AG284)</f>
        <v>0</v>
      </c>
      <c r="AH285" s="514">
        <f t="shared" si="47"/>
        <v>0</v>
      </c>
    </row>
    <row r="286" spans="2:37">
      <c r="B286" s="190"/>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c r="AG286" s="190"/>
      <c r="AH286" s="190"/>
      <c r="AI286" s="190"/>
    </row>
    <row r="287" spans="2:37">
      <c r="C287" s="140"/>
      <c r="D287" s="140"/>
      <c r="E287" s="140"/>
      <c r="F287" s="140"/>
    </row>
    <row r="288" spans="2:37">
      <c r="C288" s="140"/>
      <c r="D288" s="140"/>
      <c r="E288" s="140"/>
      <c r="F288" s="140"/>
    </row>
    <row r="289" spans="2:34">
      <c r="B289" s="1718" t="s">
        <v>653</v>
      </c>
      <c r="C289" s="1719"/>
      <c r="D289" s="1719"/>
      <c r="E289" s="1719"/>
      <c r="F289" s="1719"/>
      <c r="G289" s="1720"/>
      <c r="H289" s="1720"/>
      <c r="I289" s="1719"/>
      <c r="J289" s="1719"/>
      <c r="K289" s="1719"/>
      <c r="L289" s="1719"/>
      <c r="M289" s="1719"/>
      <c r="N289" s="1719"/>
      <c r="O289" s="1719"/>
      <c r="P289" s="1719"/>
      <c r="Q289" s="1718" t="s">
        <v>653</v>
      </c>
      <c r="R289" s="1719"/>
      <c r="S289" s="1720"/>
      <c r="T289" s="1720"/>
      <c r="U289" s="1720"/>
      <c r="V289" s="1720"/>
      <c r="W289" s="1720"/>
      <c r="X289" s="1720"/>
      <c r="Y289" s="1721"/>
      <c r="Z289" s="1720"/>
      <c r="AA289" s="1720"/>
      <c r="AB289" s="1722"/>
      <c r="AC289" s="1722"/>
      <c r="AD289" s="1722"/>
      <c r="AE289" s="1720"/>
      <c r="AF289" s="1720"/>
      <c r="AG289" s="1718" t="s">
        <v>653</v>
      </c>
      <c r="AH289" s="1720"/>
    </row>
    <row r="290" spans="2:34">
      <c r="C290" s="140"/>
      <c r="D290" s="140"/>
      <c r="E290" s="140"/>
      <c r="F290" s="140"/>
      <c r="I290" s="97"/>
      <c r="J290" s="14"/>
      <c r="K290" s="14"/>
      <c r="L290" s="14"/>
      <c r="M290" s="14"/>
      <c r="N290" s="14"/>
      <c r="O290" s="14"/>
      <c r="P290" s="14"/>
      <c r="Q290" s="14"/>
      <c r="R290" s="14"/>
    </row>
    <row r="291" spans="2:34">
      <c r="C291" s="140"/>
      <c r="D291" s="140"/>
      <c r="E291" s="140"/>
      <c r="F291" s="140"/>
    </row>
    <row r="292" spans="2:34">
      <c r="C292" s="140"/>
      <c r="D292" s="140"/>
      <c r="E292" s="140"/>
      <c r="F292" s="140"/>
    </row>
    <row r="293" spans="2:34">
      <c r="C293" s="140"/>
      <c r="D293" s="140"/>
      <c r="E293" s="140"/>
      <c r="F293" s="140"/>
    </row>
    <row r="294" spans="2:34">
      <c r="C294" s="140"/>
      <c r="D294" s="140"/>
      <c r="E294" s="140"/>
      <c r="F294" s="140"/>
    </row>
    <row r="295" spans="2:34">
      <c r="C295" s="140"/>
      <c r="D295" s="140"/>
      <c r="E295" s="140"/>
      <c r="F295" s="140"/>
    </row>
    <row r="296" spans="2:34">
      <c r="C296" s="140"/>
      <c r="D296" s="140"/>
      <c r="E296" s="140"/>
      <c r="F296" s="140"/>
    </row>
    <row r="297" spans="2:34">
      <c r="C297" s="140"/>
      <c r="D297" s="140"/>
      <c r="E297" s="140"/>
      <c r="F297" s="140"/>
    </row>
    <row r="298" spans="2:34">
      <c r="C298" s="140"/>
      <c r="D298" s="140"/>
      <c r="E298" s="140"/>
      <c r="F298" s="140"/>
    </row>
    <row r="299" spans="2:34">
      <c r="C299" s="140"/>
      <c r="D299" s="140"/>
      <c r="E299" s="140"/>
      <c r="F299" s="140"/>
    </row>
    <row r="300" spans="2:34">
      <c r="C300" s="140"/>
      <c r="D300" s="140"/>
      <c r="E300" s="140"/>
      <c r="F300" s="140"/>
    </row>
    <row r="301" spans="2:34">
      <c r="C301" s="140"/>
      <c r="D301" s="140"/>
      <c r="E301" s="140"/>
      <c r="F301" s="140"/>
    </row>
    <row r="302" spans="2:34">
      <c r="C302" s="140"/>
      <c r="D302" s="140"/>
      <c r="E302" s="140"/>
      <c r="F302" s="140"/>
    </row>
    <row r="303" spans="2:34">
      <c r="C303" s="140"/>
      <c r="D303" s="140"/>
      <c r="E303" s="140"/>
      <c r="F303" s="140"/>
    </row>
    <row r="304" spans="2:34">
      <c r="C304" s="140"/>
      <c r="D304" s="140"/>
      <c r="E304" s="140"/>
      <c r="F304" s="140"/>
    </row>
    <row r="305" spans="3:6">
      <c r="C305" s="140"/>
      <c r="D305" s="140"/>
      <c r="E305" s="140"/>
      <c r="F305" s="140"/>
    </row>
    <row r="306" spans="3:6">
      <c r="C306" s="140"/>
      <c r="D306" s="140"/>
      <c r="E306" s="140"/>
      <c r="F306" s="140"/>
    </row>
    <row r="307" spans="3:6">
      <c r="C307" s="140"/>
      <c r="D307" s="140"/>
      <c r="E307" s="140"/>
      <c r="F307" s="140"/>
    </row>
    <row r="308" spans="3:6">
      <c r="C308" s="140"/>
      <c r="D308" s="140"/>
      <c r="E308" s="140"/>
      <c r="F308" s="140"/>
    </row>
    <row r="309" spans="3:6">
      <c r="C309" s="140"/>
      <c r="D309" s="140"/>
      <c r="E309" s="140"/>
      <c r="F309" s="140"/>
    </row>
    <row r="310" spans="3:6">
      <c r="C310" s="140"/>
      <c r="D310" s="140"/>
      <c r="E310" s="140"/>
      <c r="F310" s="140"/>
    </row>
    <row r="311" spans="3:6">
      <c r="C311" s="140"/>
      <c r="D311" s="140"/>
      <c r="E311" s="140"/>
      <c r="F311" s="140"/>
    </row>
    <row r="312" spans="3:6">
      <c r="C312" s="140"/>
      <c r="D312" s="140"/>
      <c r="E312" s="140"/>
      <c r="F312" s="140"/>
    </row>
    <row r="313" spans="3:6">
      <c r="C313" s="140"/>
      <c r="D313" s="140"/>
      <c r="E313" s="140"/>
      <c r="F313" s="140"/>
    </row>
    <row r="314" spans="3:6">
      <c r="C314" s="140"/>
      <c r="D314" s="140"/>
      <c r="E314" s="140"/>
      <c r="F314" s="140"/>
    </row>
    <row r="315" spans="3:6">
      <c r="C315" s="140"/>
      <c r="D315" s="140"/>
      <c r="E315" s="140"/>
      <c r="F315" s="140"/>
    </row>
    <row r="316" spans="3:6">
      <c r="C316" s="140"/>
      <c r="D316" s="140"/>
      <c r="E316" s="140"/>
      <c r="F316" s="140"/>
    </row>
    <row r="317" spans="3:6">
      <c r="C317" s="140"/>
      <c r="D317" s="140"/>
      <c r="E317" s="140"/>
      <c r="F317" s="140"/>
    </row>
    <row r="318" spans="3:6">
      <c r="C318" s="140"/>
      <c r="D318" s="140"/>
      <c r="E318" s="140"/>
      <c r="F318" s="140"/>
    </row>
    <row r="319" spans="3:6">
      <c r="C319" s="140"/>
      <c r="D319" s="140"/>
      <c r="E319" s="140"/>
      <c r="F319" s="140"/>
    </row>
    <row r="320" spans="3:6">
      <c r="C320" s="140"/>
      <c r="D320" s="140"/>
      <c r="E320" s="140"/>
      <c r="F320" s="140"/>
    </row>
    <row r="321" spans="3:6">
      <c r="C321" s="140"/>
      <c r="D321" s="140"/>
      <c r="E321" s="140"/>
      <c r="F321" s="140"/>
    </row>
    <row r="322" spans="3:6">
      <c r="C322" s="140"/>
      <c r="D322" s="140"/>
      <c r="E322" s="140"/>
      <c r="F322" s="140"/>
    </row>
    <row r="323" spans="3:6">
      <c r="C323" s="140"/>
      <c r="D323" s="140"/>
      <c r="E323" s="140"/>
      <c r="F323" s="140"/>
    </row>
    <row r="324" spans="3:6">
      <c r="C324" s="140"/>
      <c r="D324" s="140"/>
      <c r="E324" s="140"/>
      <c r="F324" s="140"/>
    </row>
    <row r="325" spans="3:6">
      <c r="C325" s="140"/>
      <c r="D325" s="140"/>
      <c r="E325" s="140"/>
      <c r="F325" s="140"/>
    </row>
    <row r="326" spans="3:6">
      <c r="C326" s="140"/>
      <c r="D326" s="140"/>
      <c r="E326" s="140"/>
      <c r="F326" s="140"/>
    </row>
    <row r="327" spans="3:6">
      <c r="C327" s="140"/>
      <c r="D327" s="140"/>
      <c r="E327" s="140"/>
      <c r="F327" s="140"/>
    </row>
    <row r="328" spans="3:6">
      <c r="C328" s="140"/>
      <c r="D328" s="140"/>
      <c r="E328" s="140"/>
      <c r="F328" s="140"/>
    </row>
    <row r="329" spans="3:6">
      <c r="C329" s="140"/>
      <c r="D329" s="140"/>
      <c r="E329" s="140"/>
      <c r="F329" s="140"/>
    </row>
    <row r="330" spans="3:6">
      <c r="C330" s="140"/>
      <c r="D330" s="140"/>
      <c r="E330" s="140"/>
      <c r="F330" s="140"/>
    </row>
    <row r="331" spans="3:6">
      <c r="C331" s="140"/>
      <c r="D331" s="140"/>
      <c r="E331" s="140"/>
      <c r="F331" s="140"/>
    </row>
    <row r="332" spans="3:6">
      <c r="C332" s="140"/>
      <c r="D332" s="140"/>
      <c r="E332" s="140"/>
      <c r="F332" s="140"/>
    </row>
    <row r="333" spans="3:6">
      <c r="C333" s="140"/>
      <c r="D333" s="140"/>
      <c r="E333" s="140"/>
      <c r="F333" s="140"/>
    </row>
    <row r="334" spans="3:6">
      <c r="C334" s="140"/>
      <c r="D334" s="140"/>
      <c r="E334" s="140"/>
      <c r="F334" s="140"/>
    </row>
    <row r="335" spans="3:6">
      <c r="C335" s="140"/>
      <c r="D335" s="140"/>
      <c r="E335" s="140"/>
      <c r="F335" s="140"/>
    </row>
    <row r="336" spans="3:6">
      <c r="C336" s="140"/>
      <c r="D336" s="140"/>
      <c r="E336" s="140"/>
      <c r="F336" s="140"/>
    </row>
    <row r="337" spans="3:6">
      <c r="C337" s="140"/>
      <c r="D337" s="140"/>
      <c r="E337" s="140"/>
      <c r="F337" s="140"/>
    </row>
    <row r="338" spans="3:6">
      <c r="C338" s="140"/>
      <c r="D338" s="140"/>
      <c r="E338" s="140"/>
      <c r="F338" s="140"/>
    </row>
    <row r="339" spans="3:6">
      <c r="C339" s="140"/>
      <c r="D339" s="140"/>
      <c r="E339" s="140"/>
      <c r="F339" s="140"/>
    </row>
    <row r="340" spans="3:6">
      <c r="C340" s="140"/>
      <c r="D340" s="140"/>
      <c r="E340" s="140"/>
      <c r="F340" s="140"/>
    </row>
    <row r="341" spans="3:6">
      <c r="C341" s="140"/>
      <c r="D341" s="140"/>
      <c r="E341" s="140"/>
      <c r="F341" s="140"/>
    </row>
    <row r="342" spans="3:6">
      <c r="C342" s="140"/>
      <c r="D342" s="140"/>
      <c r="E342" s="140"/>
      <c r="F342" s="140"/>
    </row>
    <row r="343" spans="3:6">
      <c r="C343" s="140"/>
      <c r="D343" s="140"/>
      <c r="E343" s="140"/>
      <c r="F343" s="140"/>
    </row>
    <row r="344" spans="3:6">
      <c r="C344" s="140"/>
      <c r="D344" s="140"/>
      <c r="E344" s="140"/>
      <c r="F344" s="140"/>
    </row>
    <row r="345" spans="3:6">
      <c r="C345" s="140"/>
      <c r="D345" s="140"/>
      <c r="E345" s="140"/>
      <c r="F345" s="140"/>
    </row>
    <row r="346" spans="3:6">
      <c r="C346" s="140"/>
      <c r="D346" s="140"/>
      <c r="E346" s="140"/>
      <c r="F346" s="140"/>
    </row>
    <row r="347" spans="3:6">
      <c r="C347" s="140"/>
      <c r="D347" s="140"/>
      <c r="E347" s="140"/>
      <c r="F347" s="140"/>
    </row>
    <row r="348" spans="3:6">
      <c r="C348" s="140"/>
      <c r="D348" s="140"/>
      <c r="E348" s="140"/>
      <c r="F348" s="140"/>
    </row>
    <row r="349" spans="3:6">
      <c r="C349" s="140"/>
      <c r="D349" s="140"/>
      <c r="E349" s="140"/>
      <c r="F349" s="140"/>
    </row>
    <row r="350" spans="3:6">
      <c r="C350" s="140"/>
      <c r="D350" s="140"/>
      <c r="E350" s="140"/>
      <c r="F350" s="140"/>
    </row>
    <row r="351" spans="3:6">
      <c r="C351" s="140"/>
      <c r="D351" s="140"/>
      <c r="E351" s="140"/>
      <c r="F351" s="140"/>
    </row>
    <row r="352" spans="3:6">
      <c r="C352" s="140"/>
      <c r="D352" s="140"/>
      <c r="E352" s="140"/>
      <c r="F352" s="140"/>
    </row>
    <row r="353" spans="3:6">
      <c r="C353" s="140"/>
      <c r="D353" s="140"/>
      <c r="E353" s="140"/>
      <c r="F353" s="140"/>
    </row>
    <row r="354" spans="3:6">
      <c r="C354" s="140"/>
      <c r="D354" s="140"/>
      <c r="E354" s="140"/>
      <c r="F354" s="140"/>
    </row>
    <row r="355" spans="3:6">
      <c r="C355" s="140"/>
      <c r="D355" s="140"/>
      <c r="E355" s="140"/>
      <c r="F355" s="140"/>
    </row>
    <row r="356" spans="3:6">
      <c r="C356" s="140"/>
      <c r="D356" s="140"/>
      <c r="E356" s="140"/>
      <c r="F356" s="140"/>
    </row>
    <row r="357" spans="3:6">
      <c r="C357" s="140"/>
      <c r="D357" s="140"/>
      <c r="E357" s="140"/>
      <c r="F357" s="140"/>
    </row>
    <row r="358" spans="3:6">
      <c r="C358" s="140"/>
      <c r="D358" s="140"/>
      <c r="E358" s="140"/>
      <c r="F358" s="140"/>
    </row>
    <row r="359" spans="3:6">
      <c r="C359" s="140"/>
      <c r="D359" s="140"/>
      <c r="E359" s="140"/>
      <c r="F359" s="140"/>
    </row>
    <row r="360" spans="3:6">
      <c r="C360" s="140"/>
      <c r="D360" s="140"/>
      <c r="E360" s="140"/>
      <c r="F360" s="140"/>
    </row>
    <row r="361" spans="3:6">
      <c r="C361" s="140"/>
      <c r="D361" s="140"/>
      <c r="E361" s="140"/>
      <c r="F361" s="140"/>
    </row>
    <row r="362" spans="3:6">
      <c r="C362" s="140"/>
      <c r="D362" s="140"/>
      <c r="E362" s="140"/>
      <c r="F362" s="140"/>
    </row>
    <row r="363" spans="3:6">
      <c r="C363" s="140"/>
      <c r="D363" s="140"/>
      <c r="E363" s="140"/>
      <c r="F363" s="140"/>
    </row>
    <row r="364" spans="3:6">
      <c r="C364" s="140"/>
      <c r="D364" s="140"/>
      <c r="E364" s="140"/>
      <c r="F364" s="140"/>
    </row>
    <row r="365" spans="3:6">
      <c r="C365" s="140"/>
      <c r="D365" s="140"/>
      <c r="E365" s="140"/>
      <c r="F365" s="140"/>
    </row>
    <row r="366" spans="3:6">
      <c r="C366" s="140"/>
      <c r="D366" s="140"/>
      <c r="E366" s="140"/>
      <c r="F366" s="140"/>
    </row>
    <row r="367" spans="3:6">
      <c r="C367" s="140"/>
      <c r="D367" s="140"/>
      <c r="E367" s="140"/>
      <c r="F367" s="140"/>
    </row>
    <row r="368" spans="3:6">
      <c r="C368" s="140"/>
      <c r="D368" s="140"/>
      <c r="E368" s="140"/>
      <c r="F368" s="140"/>
    </row>
    <row r="369" spans="3:6">
      <c r="C369" s="140"/>
      <c r="D369" s="140"/>
      <c r="E369" s="140"/>
      <c r="F369" s="140"/>
    </row>
    <row r="370" spans="3:6">
      <c r="C370" s="140"/>
      <c r="D370" s="140"/>
      <c r="E370" s="140"/>
      <c r="F370" s="140"/>
    </row>
    <row r="371" spans="3:6">
      <c r="C371" s="140"/>
      <c r="D371" s="140"/>
      <c r="E371" s="140"/>
      <c r="F371" s="140"/>
    </row>
    <row r="372" spans="3:6">
      <c r="C372" s="140"/>
      <c r="D372" s="140"/>
      <c r="E372" s="140"/>
      <c r="F372" s="140"/>
    </row>
    <row r="373" spans="3:6">
      <c r="C373" s="140"/>
      <c r="D373" s="140"/>
      <c r="E373" s="140"/>
      <c r="F373" s="140"/>
    </row>
    <row r="374" spans="3:6">
      <c r="C374" s="140"/>
      <c r="D374" s="140"/>
      <c r="E374" s="140"/>
      <c r="F374" s="140"/>
    </row>
    <row r="375" spans="3:6">
      <c r="C375" s="140"/>
      <c r="D375" s="140"/>
      <c r="E375" s="140"/>
      <c r="F375" s="140"/>
    </row>
    <row r="376" spans="3:6">
      <c r="C376" s="140"/>
      <c r="D376" s="140"/>
      <c r="E376" s="140"/>
      <c r="F376" s="140"/>
    </row>
    <row r="377" spans="3:6">
      <c r="C377" s="140"/>
      <c r="D377" s="140"/>
      <c r="E377" s="140"/>
      <c r="F377" s="140"/>
    </row>
    <row r="378" spans="3:6">
      <c r="C378" s="140"/>
      <c r="D378" s="140"/>
      <c r="E378" s="140"/>
      <c r="F378" s="140"/>
    </row>
    <row r="379" spans="3:6">
      <c r="C379" s="140"/>
      <c r="D379" s="140"/>
      <c r="E379" s="140"/>
      <c r="F379" s="140"/>
    </row>
    <row r="380" spans="3:6">
      <c r="C380" s="140"/>
      <c r="D380" s="140"/>
      <c r="E380" s="140"/>
      <c r="F380" s="140"/>
    </row>
    <row r="381" spans="3:6">
      <c r="C381" s="140"/>
      <c r="D381" s="140"/>
      <c r="E381" s="140"/>
      <c r="F381" s="140"/>
    </row>
    <row r="382" spans="3:6">
      <c r="C382" s="140"/>
      <c r="D382" s="140"/>
      <c r="E382" s="140"/>
      <c r="F382" s="140"/>
    </row>
    <row r="383" spans="3:6">
      <c r="C383" s="140"/>
      <c r="D383" s="140"/>
      <c r="E383" s="140"/>
      <c r="F383" s="140"/>
    </row>
    <row r="384" spans="3:6">
      <c r="C384" s="140"/>
      <c r="D384" s="140"/>
      <c r="E384" s="140"/>
      <c r="F384" s="140"/>
    </row>
    <row r="385" spans="3:6">
      <c r="C385" s="140"/>
      <c r="D385" s="140"/>
      <c r="E385" s="140"/>
      <c r="F385" s="140"/>
    </row>
    <row r="386" spans="3:6">
      <c r="C386" s="140"/>
      <c r="D386" s="140"/>
      <c r="E386" s="140"/>
      <c r="F386" s="140"/>
    </row>
    <row r="387" spans="3:6">
      <c r="C387" s="140"/>
      <c r="D387" s="140"/>
      <c r="E387" s="140"/>
      <c r="F387" s="140"/>
    </row>
    <row r="388" spans="3:6">
      <c r="C388" s="140"/>
      <c r="D388" s="140"/>
      <c r="E388" s="140"/>
      <c r="F388" s="140"/>
    </row>
    <row r="389" spans="3:6">
      <c r="C389" s="140"/>
      <c r="D389" s="140"/>
      <c r="E389" s="140"/>
      <c r="F389" s="140"/>
    </row>
    <row r="390" spans="3:6">
      <c r="C390" s="140"/>
      <c r="D390" s="140"/>
      <c r="E390" s="140"/>
      <c r="F390" s="140"/>
    </row>
    <row r="391" spans="3:6">
      <c r="C391" s="140"/>
      <c r="D391" s="140"/>
      <c r="E391" s="140"/>
      <c r="F391" s="140"/>
    </row>
    <row r="392" spans="3:6">
      <c r="C392" s="140"/>
      <c r="D392" s="140"/>
      <c r="E392" s="140"/>
      <c r="F392" s="140"/>
    </row>
    <row r="393" spans="3:6">
      <c r="C393" s="140"/>
      <c r="D393" s="140"/>
      <c r="E393" s="140"/>
      <c r="F393" s="140"/>
    </row>
    <row r="394" spans="3:6">
      <c r="C394" s="140"/>
      <c r="D394" s="140"/>
      <c r="E394" s="140"/>
      <c r="F394" s="140"/>
    </row>
    <row r="395" spans="3:6">
      <c r="C395" s="140"/>
      <c r="D395" s="140"/>
      <c r="E395" s="140"/>
      <c r="F395" s="140"/>
    </row>
    <row r="396" spans="3:6">
      <c r="C396" s="140"/>
      <c r="D396" s="140"/>
      <c r="E396" s="140"/>
      <c r="F396" s="140"/>
    </row>
    <row r="397" spans="3:6">
      <c r="C397" s="140"/>
      <c r="D397" s="140"/>
      <c r="E397" s="140"/>
      <c r="F397" s="140"/>
    </row>
    <row r="398" spans="3:6">
      <c r="C398" s="140"/>
      <c r="D398" s="140"/>
      <c r="E398" s="140"/>
      <c r="F398" s="140"/>
    </row>
    <row r="399" spans="3:6">
      <c r="C399" s="140"/>
      <c r="D399" s="140"/>
      <c r="E399" s="140"/>
      <c r="F399" s="140"/>
    </row>
    <row r="400" spans="3:6">
      <c r="C400" s="140"/>
      <c r="D400" s="140"/>
      <c r="E400" s="140"/>
      <c r="F400" s="140"/>
    </row>
    <row r="401" spans="3:6">
      <c r="C401" s="140"/>
      <c r="D401" s="140"/>
      <c r="E401" s="140"/>
      <c r="F401" s="140"/>
    </row>
    <row r="402" spans="3:6">
      <c r="C402" s="140"/>
      <c r="D402" s="140"/>
      <c r="E402" s="140"/>
      <c r="F402" s="140"/>
    </row>
    <row r="403" spans="3:6">
      <c r="C403" s="140"/>
      <c r="D403" s="140"/>
      <c r="E403" s="140"/>
      <c r="F403" s="140"/>
    </row>
    <row r="404" spans="3:6">
      <c r="C404" s="140"/>
      <c r="D404" s="140"/>
      <c r="E404" s="140"/>
      <c r="F404" s="140"/>
    </row>
    <row r="405" spans="3:6">
      <c r="C405" s="140"/>
      <c r="D405" s="140"/>
      <c r="E405" s="140"/>
      <c r="F405" s="140"/>
    </row>
    <row r="406" spans="3:6">
      <c r="C406" s="140"/>
      <c r="D406" s="140"/>
      <c r="E406" s="140"/>
      <c r="F406" s="140"/>
    </row>
    <row r="407" spans="3:6">
      <c r="C407" s="140"/>
      <c r="D407" s="140"/>
      <c r="E407" s="140"/>
      <c r="F407" s="140"/>
    </row>
    <row r="408" spans="3:6">
      <c r="C408" s="140"/>
      <c r="D408" s="140"/>
      <c r="E408" s="140"/>
      <c r="F408" s="140"/>
    </row>
    <row r="409" spans="3:6">
      <c r="C409" s="140"/>
      <c r="D409" s="140"/>
      <c r="E409" s="140"/>
      <c r="F409" s="140"/>
    </row>
    <row r="410" spans="3:6">
      <c r="C410" s="140"/>
      <c r="D410" s="140"/>
      <c r="E410" s="140"/>
      <c r="F410" s="140"/>
    </row>
    <row r="411" spans="3:6">
      <c r="C411" s="140"/>
      <c r="D411" s="140"/>
      <c r="E411" s="140"/>
      <c r="F411" s="140"/>
    </row>
    <row r="412" spans="3:6">
      <c r="C412" s="140"/>
      <c r="D412" s="140"/>
      <c r="E412" s="140"/>
      <c r="F412" s="140"/>
    </row>
    <row r="413" spans="3:6">
      <c r="C413" s="140"/>
      <c r="D413" s="140"/>
      <c r="E413" s="140"/>
      <c r="F413" s="140"/>
    </row>
    <row r="414" spans="3:6">
      <c r="C414" s="140"/>
      <c r="D414" s="140"/>
      <c r="E414" s="140"/>
      <c r="F414" s="140"/>
    </row>
    <row r="415" spans="3:6">
      <c r="C415" s="140"/>
      <c r="D415" s="140"/>
      <c r="E415" s="140"/>
      <c r="F415" s="140"/>
    </row>
    <row r="416" spans="3:6">
      <c r="C416" s="140"/>
      <c r="D416" s="140"/>
      <c r="E416" s="140"/>
      <c r="F416" s="140"/>
    </row>
    <row r="417" spans="3:6">
      <c r="C417" s="140"/>
      <c r="D417" s="140"/>
      <c r="E417" s="140"/>
      <c r="F417" s="140"/>
    </row>
    <row r="418" spans="3:6">
      <c r="C418" s="140"/>
      <c r="D418" s="140"/>
      <c r="E418" s="140"/>
      <c r="F418" s="140"/>
    </row>
    <row r="419" spans="3:6">
      <c r="C419" s="140"/>
      <c r="D419" s="140"/>
      <c r="E419" s="140"/>
      <c r="F419" s="140"/>
    </row>
    <row r="420" spans="3:6">
      <c r="C420" s="140"/>
      <c r="D420" s="140"/>
      <c r="E420" s="140"/>
      <c r="F420" s="140"/>
    </row>
    <row r="421" spans="3:6">
      <c r="C421" s="140"/>
      <c r="D421" s="140"/>
      <c r="E421" s="140"/>
      <c r="F421" s="140"/>
    </row>
    <row r="422" spans="3:6">
      <c r="C422" s="140"/>
      <c r="D422" s="140"/>
      <c r="E422" s="140"/>
      <c r="F422" s="140"/>
    </row>
    <row r="423" spans="3:6">
      <c r="C423" s="140"/>
      <c r="D423" s="140"/>
      <c r="E423" s="140"/>
      <c r="F423" s="140"/>
    </row>
    <row r="424" spans="3:6">
      <c r="C424" s="140"/>
      <c r="D424" s="140"/>
      <c r="E424" s="140"/>
      <c r="F424" s="140"/>
    </row>
    <row r="425" spans="3:6">
      <c r="C425" s="140"/>
      <c r="D425" s="140"/>
      <c r="E425" s="140"/>
      <c r="F425" s="140"/>
    </row>
    <row r="426" spans="3:6">
      <c r="C426" s="140"/>
      <c r="D426" s="140"/>
      <c r="E426" s="140"/>
      <c r="F426" s="140"/>
    </row>
  </sheetData>
  <mergeCells count="24">
    <mergeCell ref="B276:B277"/>
    <mergeCell ref="O244:P244"/>
    <mergeCell ref="B101:B102"/>
    <mergeCell ref="B135:B136"/>
    <mergeCell ref="B170:B171"/>
    <mergeCell ref="B205:B206"/>
    <mergeCell ref="B242:B243"/>
    <mergeCell ref="AG276:AH276"/>
    <mergeCell ref="Q276:R276"/>
    <mergeCell ref="Q67:R67"/>
    <mergeCell ref="AG135:AH135"/>
    <mergeCell ref="AG170:AH170"/>
    <mergeCell ref="AG205:AH205"/>
    <mergeCell ref="AG242:AH242"/>
    <mergeCell ref="Q242:R242"/>
    <mergeCell ref="Q205:R205"/>
    <mergeCell ref="Q101:R101"/>
    <mergeCell ref="Q170:R170"/>
    <mergeCell ref="Q135:R135"/>
    <mergeCell ref="AE244:AF244"/>
    <mergeCell ref="Q36:R36"/>
    <mergeCell ref="AG36:AH36"/>
    <mergeCell ref="AG67:AH67"/>
    <mergeCell ref="AG101:AH101"/>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CB74"/>
  <sheetViews>
    <sheetView showGridLines="0" zoomScale="70" zoomScaleNormal="70" zoomScalePageLayoutView="80" workbookViewId="0">
      <pane xSplit="4" ySplit="8" topLeftCell="E9" activePane="bottomRight" state="frozen"/>
      <selection activeCell="B6" sqref="B6"/>
      <selection pane="topRight" activeCell="B6" sqref="B6"/>
      <selection pane="bottomLeft" activeCell="B6" sqref="B6"/>
      <selection pane="bottomRight" activeCell="A4" sqref="A4"/>
    </sheetView>
  </sheetViews>
  <sheetFormatPr defaultColWidth="8.6640625" defaultRowHeight="13.2"/>
  <cols>
    <col min="1" max="1" width="13.44140625" style="45" customWidth="1"/>
    <col min="2" max="2" width="23.77734375" style="45" customWidth="1"/>
    <col min="3" max="3" width="14.44140625" style="45" customWidth="1"/>
    <col min="4" max="4" width="16.44140625" style="45" customWidth="1"/>
    <col min="5" max="14" width="13.33203125" style="45" customWidth="1"/>
    <col min="15" max="20" width="13.6640625" style="45" customWidth="1"/>
    <col min="21" max="21" width="11.6640625" style="72" customWidth="1"/>
    <col min="22" max="24" width="11.6640625" style="45" customWidth="1"/>
    <col min="25" max="36" width="13.77734375" style="45" customWidth="1"/>
    <col min="37" max="37" width="8.6640625" style="45"/>
    <col min="38" max="38" width="13.6640625" style="45" customWidth="1"/>
    <col min="39" max="16384" width="8.6640625" style="45"/>
  </cols>
  <sheetData>
    <row r="1" spans="1:80" ht="24.45" customHeight="1">
      <c r="A1" s="136" t="str">
        <f>Introduction!$B$1</f>
        <v xml:space="preserve">Vendor Survey Results through Q4 2021 </v>
      </c>
    </row>
    <row r="2" spans="1:80" ht="17.55" customHeight="1">
      <c r="A2" s="388" t="str">
        <f>Introduction!$B$2</f>
        <v>Sample template as of March 2022</v>
      </c>
    </row>
    <row r="3" spans="1:80" ht="25.05" customHeight="1">
      <c r="A3" s="825" t="s">
        <v>389</v>
      </c>
    </row>
    <row r="5" spans="1:80" ht="15.6">
      <c r="O5" s="1115"/>
    </row>
    <row r="6" spans="1:80" ht="16.95" customHeight="1" thickBot="1">
      <c r="J6" s="14"/>
      <c r="K6" s="14"/>
      <c r="L6" s="14"/>
      <c r="M6" s="14"/>
      <c r="N6" s="14"/>
      <c r="O6" s="1115"/>
      <c r="P6" s="14"/>
      <c r="Q6" s="1115"/>
      <c r="R6" s="14"/>
      <c r="S6" s="14"/>
      <c r="T6" s="14"/>
    </row>
    <row r="7" spans="1:80" s="72" customFormat="1" ht="16.2" thickBot="1">
      <c r="A7" s="840" t="str">
        <f>A3</f>
        <v>CWDM and DWDM Transceivers</v>
      </c>
      <c r="F7" s="769"/>
      <c r="G7" s="769"/>
      <c r="H7" s="773" t="s">
        <v>209</v>
      </c>
      <c r="I7" s="769"/>
      <c r="J7" s="769"/>
      <c r="K7" s="769"/>
      <c r="L7" s="769"/>
      <c r="M7" s="769"/>
      <c r="N7" s="769"/>
      <c r="O7" s="1235" t="str">
        <f>H7</f>
        <v>Shipments: Actual Data</v>
      </c>
      <c r="Q7"/>
      <c r="R7"/>
      <c r="S7" s="1862" t="s">
        <v>352</v>
      </c>
      <c r="T7" s="1863"/>
      <c r="U7" s="1273"/>
    </row>
    <row r="8" spans="1:80" s="72" customFormat="1" ht="13.8" thickBot="1">
      <c r="A8" s="1102" t="s">
        <v>266</v>
      </c>
      <c r="B8" s="1103" t="s">
        <v>211</v>
      </c>
      <c r="C8" s="1104" t="s">
        <v>224</v>
      </c>
      <c r="D8" s="1105" t="s">
        <v>225</v>
      </c>
      <c r="E8" s="798" t="s">
        <v>130</v>
      </c>
      <c r="F8" s="771" t="s">
        <v>131</v>
      </c>
      <c r="G8" s="771" t="s">
        <v>132</v>
      </c>
      <c r="H8" s="772" t="s">
        <v>133</v>
      </c>
      <c r="I8" s="770" t="s">
        <v>134</v>
      </c>
      <c r="J8" s="771" t="s">
        <v>135</v>
      </c>
      <c r="K8" s="771" t="s">
        <v>136</v>
      </c>
      <c r="L8" s="772" t="s">
        <v>137</v>
      </c>
      <c r="M8" s="771" t="s">
        <v>138</v>
      </c>
      <c r="N8" s="771" t="s">
        <v>139</v>
      </c>
      <c r="O8" s="771" t="s">
        <v>140</v>
      </c>
      <c r="P8" s="772" t="s">
        <v>141</v>
      </c>
      <c r="Q8" s="771" t="s">
        <v>142</v>
      </c>
      <c r="R8" s="771" t="s">
        <v>143</v>
      </c>
      <c r="S8" s="774" t="s">
        <v>621</v>
      </c>
      <c r="T8" s="774" t="s">
        <v>622</v>
      </c>
      <c r="U8" s="1274"/>
    </row>
    <row r="9" spans="1:80" s="72" customFormat="1" ht="12.45" customHeight="1">
      <c r="A9" s="1100" t="s">
        <v>276</v>
      </c>
      <c r="B9" s="1101" t="s">
        <v>277</v>
      </c>
      <c r="C9" s="756" t="s">
        <v>238</v>
      </c>
      <c r="D9" s="1083" t="s">
        <v>227</v>
      </c>
      <c r="E9" s="1092">
        <v>17022</v>
      </c>
      <c r="F9" s="269">
        <v>16815</v>
      </c>
      <c r="G9" s="241">
        <v>12878</v>
      </c>
      <c r="H9" s="450">
        <v>8844</v>
      </c>
      <c r="I9" s="268"/>
      <c r="J9" s="269"/>
      <c r="K9" s="696"/>
      <c r="L9" s="767"/>
      <c r="M9" s="696"/>
      <c r="N9" s="696"/>
      <c r="O9" s="696"/>
      <c r="P9" s="767"/>
      <c r="Q9" s="1647"/>
      <c r="R9" s="1541"/>
      <c r="S9" s="1552"/>
      <c r="T9" s="1554"/>
      <c r="U9" s="111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row>
    <row r="10" spans="1:80" s="72" customFormat="1" ht="12.45" customHeight="1">
      <c r="A10" s="434" t="s">
        <v>276</v>
      </c>
      <c r="B10" s="745" t="s">
        <v>277</v>
      </c>
      <c r="C10" s="210" t="s">
        <v>278</v>
      </c>
      <c r="D10" s="1081" t="s">
        <v>227</v>
      </c>
      <c r="E10" s="1093">
        <v>14351</v>
      </c>
      <c r="F10" s="219">
        <v>19287</v>
      </c>
      <c r="G10" s="241">
        <v>11186</v>
      </c>
      <c r="H10" s="451">
        <v>11061</v>
      </c>
      <c r="I10" s="272"/>
      <c r="J10" s="219"/>
      <c r="K10" s="696"/>
      <c r="L10" s="768"/>
      <c r="M10" s="696"/>
      <c r="N10" s="696"/>
      <c r="O10" s="696"/>
      <c r="P10" s="768"/>
      <c r="Q10" s="1647"/>
      <c r="R10" s="1647"/>
      <c r="S10" s="1546"/>
      <c r="T10" s="1554"/>
      <c r="U10" s="111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row>
    <row r="11" spans="1:80" s="72" customFormat="1">
      <c r="A11" s="434" t="s">
        <v>276</v>
      </c>
      <c r="B11" s="745" t="s">
        <v>274</v>
      </c>
      <c r="C11" s="210" t="s">
        <v>238</v>
      </c>
      <c r="D11" s="1081" t="s">
        <v>227</v>
      </c>
      <c r="E11" s="1093">
        <v>8787</v>
      </c>
      <c r="F11" s="219">
        <v>8311</v>
      </c>
      <c r="G11" s="241">
        <v>8323</v>
      </c>
      <c r="H11" s="451">
        <v>16656</v>
      </c>
      <c r="I11" s="272"/>
      <c r="J11" s="219"/>
      <c r="K11" s="696"/>
      <c r="L11" s="768"/>
      <c r="M11" s="696"/>
      <c r="N11" s="696"/>
      <c r="O11" s="696"/>
      <c r="P11" s="768"/>
      <c r="Q11" s="1647"/>
      <c r="R11" s="1647"/>
      <c r="S11" s="1546"/>
      <c r="T11" s="1554"/>
      <c r="U11" s="111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row>
    <row r="12" spans="1:80" s="72" customFormat="1">
      <c r="A12" s="434" t="s">
        <v>276</v>
      </c>
      <c r="B12" s="747" t="s">
        <v>274</v>
      </c>
      <c r="C12" s="210" t="s">
        <v>278</v>
      </c>
      <c r="D12" s="1081" t="s">
        <v>227</v>
      </c>
      <c r="E12" s="1093">
        <v>18358</v>
      </c>
      <c r="F12" s="219">
        <v>15500</v>
      </c>
      <c r="G12" s="241">
        <v>5230</v>
      </c>
      <c r="H12" s="451">
        <v>9230</v>
      </c>
      <c r="I12" s="272"/>
      <c r="J12" s="219"/>
      <c r="K12" s="696"/>
      <c r="L12" s="768"/>
      <c r="M12" s="696"/>
      <c r="N12" s="696"/>
      <c r="O12" s="696"/>
      <c r="P12" s="768"/>
      <c r="Q12" s="1647"/>
      <c r="R12" s="1647"/>
      <c r="S12" s="1546"/>
      <c r="T12" s="1554"/>
      <c r="U12" s="111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row>
    <row r="13" spans="1:80" s="72" customFormat="1" ht="13.8" thickBot="1">
      <c r="A13" s="1275" t="s">
        <v>276</v>
      </c>
      <c r="B13" s="1276" t="s">
        <v>223</v>
      </c>
      <c r="C13" s="1277" t="s">
        <v>235</v>
      </c>
      <c r="D13" s="1082" t="s">
        <v>279</v>
      </c>
      <c r="E13" s="1094">
        <v>22295</v>
      </c>
      <c r="F13" s="1278">
        <v>21486</v>
      </c>
      <c r="G13" s="1278">
        <v>16679</v>
      </c>
      <c r="H13" s="1279">
        <v>14275</v>
      </c>
      <c r="I13" s="1280"/>
      <c r="J13" s="1278"/>
      <c r="K13" s="1281"/>
      <c r="L13" s="1282"/>
      <c r="M13" s="1281"/>
      <c r="N13" s="1281"/>
      <c r="O13" s="1281"/>
      <c r="P13" s="1282"/>
      <c r="Q13" s="1281"/>
      <c r="R13" s="1281"/>
      <c r="S13" s="831"/>
      <c r="T13" s="1734"/>
      <c r="U13" s="111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row>
    <row r="14" spans="1:80" s="72" customFormat="1" ht="15" customHeight="1">
      <c r="A14" s="775" t="s">
        <v>280</v>
      </c>
      <c r="B14" s="755" t="s">
        <v>274</v>
      </c>
      <c r="C14" s="756" t="s">
        <v>235</v>
      </c>
      <c r="D14" s="1083" t="s">
        <v>227</v>
      </c>
      <c r="E14" s="1092">
        <v>24286</v>
      </c>
      <c r="F14" s="241">
        <v>17356</v>
      </c>
      <c r="G14" s="241">
        <v>5994</v>
      </c>
      <c r="H14" s="451">
        <v>7562</v>
      </c>
      <c r="I14" s="404"/>
      <c r="J14" s="241"/>
      <c r="K14" s="696"/>
      <c r="L14" s="768"/>
      <c r="M14" s="696"/>
      <c r="N14" s="696"/>
      <c r="O14" s="696"/>
      <c r="P14" s="768"/>
      <c r="Q14" s="1647"/>
      <c r="R14" s="696"/>
      <c r="S14" s="203"/>
      <c r="T14" s="1733"/>
      <c r="U14" s="111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row>
    <row r="15" spans="1:80" s="72" customFormat="1" ht="12.45" customHeight="1">
      <c r="A15" s="776" t="s">
        <v>280</v>
      </c>
      <c r="B15" s="748" t="s">
        <v>281</v>
      </c>
      <c r="C15" s="210" t="s">
        <v>235</v>
      </c>
      <c r="D15" s="1081" t="s">
        <v>228</v>
      </c>
      <c r="E15" s="1093">
        <v>25906</v>
      </c>
      <c r="F15" s="219">
        <v>23514</v>
      </c>
      <c r="G15" s="219">
        <v>18692</v>
      </c>
      <c r="H15" s="451">
        <v>18397</v>
      </c>
      <c r="I15" s="218"/>
      <c r="J15" s="219"/>
      <c r="K15" s="698"/>
      <c r="L15" s="768"/>
      <c r="M15" s="698"/>
      <c r="N15" s="698"/>
      <c r="O15" s="698"/>
      <c r="P15" s="768"/>
      <c r="Q15" s="698"/>
      <c r="R15" s="698"/>
      <c r="S15" s="195"/>
      <c r="T15" s="1733"/>
      <c r="U15" s="111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row>
    <row r="16" spans="1:80" s="72" customFormat="1" ht="14.25" customHeight="1">
      <c r="A16" s="776" t="s">
        <v>280</v>
      </c>
      <c r="B16" s="748" t="s">
        <v>281</v>
      </c>
      <c r="C16" s="210" t="s">
        <v>235</v>
      </c>
      <c r="D16" s="1081" t="s">
        <v>229</v>
      </c>
      <c r="E16" s="1093">
        <v>22023</v>
      </c>
      <c r="F16" s="219">
        <v>34807</v>
      </c>
      <c r="G16" s="219">
        <v>27703</v>
      </c>
      <c r="H16" s="451">
        <v>21809</v>
      </c>
      <c r="I16" s="218"/>
      <c r="J16" s="219"/>
      <c r="K16" s="698"/>
      <c r="L16" s="768"/>
      <c r="M16" s="698"/>
      <c r="N16" s="698"/>
      <c r="O16" s="698"/>
      <c r="P16" s="768"/>
      <c r="Q16" s="698"/>
      <c r="R16" s="698"/>
      <c r="S16" s="195"/>
      <c r="T16" s="1733"/>
      <c r="U16" s="111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row>
    <row r="17" spans="1:80" s="126" customFormat="1" ht="12" customHeight="1">
      <c r="A17" s="776" t="s">
        <v>280</v>
      </c>
      <c r="B17" s="749" t="s">
        <v>436</v>
      </c>
      <c r="C17" s="210" t="s">
        <v>235</v>
      </c>
      <c r="D17" s="1084" t="s">
        <v>228</v>
      </c>
      <c r="E17" s="1095">
        <v>55181</v>
      </c>
      <c r="F17" s="760">
        <v>41863</v>
      </c>
      <c r="G17" s="219">
        <v>44373</v>
      </c>
      <c r="H17" s="451">
        <v>41696</v>
      </c>
      <c r="I17" s="765"/>
      <c r="J17" s="760"/>
      <c r="K17" s="698"/>
      <c r="L17" s="768"/>
      <c r="M17" s="698"/>
      <c r="N17" s="698"/>
      <c r="O17" s="698"/>
      <c r="P17" s="768"/>
      <c r="Q17" s="698"/>
      <c r="R17" s="698"/>
      <c r="S17" s="195"/>
      <c r="T17" s="1733"/>
      <c r="U17" s="1111"/>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row>
    <row r="18" spans="1:80" s="126" customFormat="1" ht="13.5" customHeight="1">
      <c r="A18" s="776" t="s">
        <v>280</v>
      </c>
      <c r="B18" s="749" t="s">
        <v>436</v>
      </c>
      <c r="C18" s="210" t="s">
        <v>235</v>
      </c>
      <c r="D18" s="1084" t="s">
        <v>229</v>
      </c>
      <c r="E18" s="1093">
        <v>13874</v>
      </c>
      <c r="F18" s="219">
        <v>20254</v>
      </c>
      <c r="G18" s="219">
        <v>19749</v>
      </c>
      <c r="H18" s="451">
        <v>20940</v>
      </c>
      <c r="I18" s="218"/>
      <c r="J18" s="219"/>
      <c r="K18" s="698"/>
      <c r="L18" s="768"/>
      <c r="M18" s="698"/>
      <c r="N18" s="698"/>
      <c r="O18" s="698"/>
      <c r="P18" s="768"/>
      <c r="Q18" s="698"/>
      <c r="R18" s="698"/>
      <c r="S18" s="195"/>
      <c r="T18" s="1733"/>
      <c r="U18" s="1111"/>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row>
    <row r="19" spans="1:80" s="126" customFormat="1" ht="13.5" customHeight="1">
      <c r="A19" s="776" t="s">
        <v>280</v>
      </c>
      <c r="B19" s="751" t="s">
        <v>282</v>
      </c>
      <c r="C19" s="739" t="s">
        <v>235</v>
      </c>
      <c r="D19" s="1085" t="s">
        <v>235</v>
      </c>
      <c r="E19" s="1093">
        <v>232</v>
      </c>
      <c r="F19" s="219">
        <v>52</v>
      </c>
      <c r="G19" s="219">
        <v>50</v>
      </c>
      <c r="H19" s="451">
        <v>0</v>
      </c>
      <c r="I19" s="218"/>
      <c r="J19" s="219"/>
      <c r="K19" s="698"/>
      <c r="L19" s="768"/>
      <c r="M19" s="698"/>
      <c r="N19" s="698"/>
      <c r="O19" s="698"/>
      <c r="P19" s="768"/>
      <c r="Q19" s="698"/>
      <c r="R19" s="698"/>
      <c r="S19" s="195"/>
      <c r="T19" s="1733"/>
      <c r="U19" s="1111"/>
      <c r="AK19" s="135"/>
      <c r="AL19" s="135" t="s">
        <v>316</v>
      </c>
      <c r="AM19" s="135" t="s">
        <v>317</v>
      </c>
      <c r="AN19" s="135" t="s">
        <v>318</v>
      </c>
      <c r="AO19" s="135" t="s">
        <v>319</v>
      </c>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row>
    <row r="20" spans="1:80" s="126" customFormat="1" ht="12" customHeight="1">
      <c r="A20" s="776" t="s">
        <v>280</v>
      </c>
      <c r="B20" s="979" t="s">
        <v>479</v>
      </c>
      <c r="C20" s="739" t="s">
        <v>235</v>
      </c>
      <c r="D20" s="435" t="s">
        <v>379</v>
      </c>
      <c r="E20" s="1096">
        <v>3550</v>
      </c>
      <c r="F20" s="280">
        <v>3100</v>
      </c>
      <c r="G20" s="219">
        <v>2900</v>
      </c>
      <c r="H20" s="451">
        <v>3700</v>
      </c>
      <c r="I20" s="766"/>
      <c r="J20" s="280"/>
      <c r="K20" s="698"/>
      <c r="L20" s="768"/>
      <c r="M20" s="698"/>
      <c r="N20" s="698"/>
      <c r="O20" s="698"/>
      <c r="P20" s="768"/>
      <c r="Q20" s="698"/>
      <c r="R20" s="698"/>
      <c r="S20" s="195"/>
      <c r="T20" s="1733"/>
      <c r="U20" s="1111"/>
      <c r="AK20" s="135"/>
      <c r="AL20" s="721">
        <f>SUM(E64:F64)/10^6</f>
        <v>79.099999999999994</v>
      </c>
      <c r="AM20" s="721">
        <f>SUM(G64:H64)/10^6</f>
        <v>74.45</v>
      </c>
      <c r="AN20" s="721">
        <f>SUM(I64:J64)/10^6</f>
        <v>0</v>
      </c>
      <c r="AO20" s="721">
        <f>SUM(K64:L64)/10^6</f>
        <v>0</v>
      </c>
      <c r="AQ20" s="1283">
        <f>AO20/AM20-1</f>
        <v>-1</v>
      </c>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row>
    <row r="21" spans="1:80" s="126" customFormat="1" ht="12" customHeight="1">
      <c r="A21" s="776" t="s">
        <v>280</v>
      </c>
      <c r="B21" s="753" t="s">
        <v>283</v>
      </c>
      <c r="C21" s="739" t="s">
        <v>235</v>
      </c>
      <c r="D21" s="435" t="s">
        <v>284</v>
      </c>
      <c r="E21" s="1096">
        <v>3370</v>
      </c>
      <c r="F21" s="280">
        <v>7281</v>
      </c>
      <c r="G21" s="219">
        <v>10582</v>
      </c>
      <c r="H21" s="451">
        <v>10636</v>
      </c>
      <c r="I21" s="766"/>
      <c r="J21" s="280"/>
      <c r="K21" s="698"/>
      <c r="L21" s="768"/>
      <c r="M21" s="698"/>
      <c r="N21" s="698"/>
      <c r="O21" s="698"/>
      <c r="P21" s="768"/>
      <c r="Q21" s="698"/>
      <c r="R21" s="698"/>
      <c r="S21" s="195"/>
      <c r="T21" s="1733"/>
      <c r="U21" s="1111"/>
      <c r="AK21" s="135"/>
      <c r="AL21" s="721">
        <f>SUM(E65:F65)/10^6</f>
        <v>37.492109999999997</v>
      </c>
      <c r="AM21" s="721">
        <f>SUM(G65:H65)/10^6</f>
        <v>61.11412</v>
      </c>
      <c r="AN21" s="721">
        <f>SUM(I65:J65)/10^6</f>
        <v>0</v>
      </c>
      <c r="AO21" s="721">
        <f>SUM(K65:L65)/10^6</f>
        <v>0</v>
      </c>
      <c r="AP21" s="135"/>
      <c r="AQ21" s="1283">
        <f t="shared" ref="AQ21:AQ23" si="0">AO21/AM21-1</f>
        <v>-1</v>
      </c>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row>
    <row r="22" spans="1:80" s="126" customFormat="1" ht="12" customHeight="1">
      <c r="A22" s="776" t="s">
        <v>280</v>
      </c>
      <c r="B22" s="979" t="s">
        <v>479</v>
      </c>
      <c r="C22" s="739" t="s">
        <v>235</v>
      </c>
      <c r="D22" s="435" t="s">
        <v>506</v>
      </c>
      <c r="E22" s="1097">
        <v>8500</v>
      </c>
      <c r="F22" s="280">
        <v>5550</v>
      </c>
      <c r="G22" s="452">
        <v>7500</v>
      </c>
      <c r="H22" s="451">
        <v>5650</v>
      </c>
      <c r="I22" s="743"/>
      <c r="J22" s="280"/>
      <c r="K22" s="761"/>
      <c r="L22" s="768"/>
      <c r="M22" s="761"/>
      <c r="N22" s="761"/>
      <c r="O22" s="761"/>
      <c r="P22" s="768"/>
      <c r="Q22" s="761"/>
      <c r="R22" s="761"/>
      <c r="S22" s="1735"/>
      <c r="T22" s="1733"/>
      <c r="U22" s="1111"/>
      <c r="AK22" s="135"/>
      <c r="AL22" s="721">
        <f>SUM(E66:F66)/10^6</f>
        <v>100.75</v>
      </c>
      <c r="AM22" s="721">
        <f>SUM(G66:H66)/10^6</f>
        <v>88.4</v>
      </c>
      <c r="AN22" s="721">
        <f>SUM(I66:J66)/10^6</f>
        <v>0</v>
      </c>
      <c r="AO22" s="721">
        <f>SUM(K66:L66)/10^6</f>
        <v>0</v>
      </c>
      <c r="AP22" s="135"/>
      <c r="AQ22" s="1283">
        <f t="shared" si="0"/>
        <v>-1</v>
      </c>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row>
    <row r="23" spans="1:80" s="126" customFormat="1" ht="13.05" customHeight="1">
      <c r="A23" s="776" t="s">
        <v>280</v>
      </c>
      <c r="B23" s="979" t="s">
        <v>479</v>
      </c>
      <c r="C23" s="739" t="s">
        <v>235</v>
      </c>
      <c r="D23" s="435" t="s">
        <v>306</v>
      </c>
      <c r="E23" s="1096">
        <v>8304</v>
      </c>
      <c r="F23" s="280">
        <v>10165</v>
      </c>
      <c r="G23" s="219">
        <v>8004</v>
      </c>
      <c r="H23" s="451">
        <v>6532</v>
      </c>
      <c r="I23" s="766"/>
      <c r="J23" s="280"/>
      <c r="K23" s="698"/>
      <c r="L23" s="768"/>
      <c r="M23" s="698"/>
      <c r="N23" s="698"/>
      <c r="O23" s="698"/>
      <c r="P23" s="768"/>
      <c r="Q23" s="698"/>
      <c r="R23" s="698"/>
      <c r="S23" s="195"/>
      <c r="T23" s="1733"/>
      <c r="U23" s="1111"/>
      <c r="AL23" s="721">
        <f>SUM(E67:F67)/10^6</f>
        <v>143.88005000000001</v>
      </c>
      <c r="AM23" s="721">
        <f>SUM(G67:H67)/10^6</f>
        <v>105.282679</v>
      </c>
      <c r="AN23" s="721">
        <f>SUM(I67:J67)/10^6</f>
        <v>0</v>
      </c>
      <c r="AO23" s="721">
        <f>SUM(K67:L67)/10^6</f>
        <v>0</v>
      </c>
      <c r="AP23" s="135"/>
      <c r="AQ23" s="1283">
        <f t="shared" si="0"/>
        <v>-1</v>
      </c>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row>
    <row r="24" spans="1:80" s="126" customFormat="1" ht="13.05" customHeight="1">
      <c r="A24" s="776" t="s">
        <v>280</v>
      </c>
      <c r="B24" s="979" t="s">
        <v>479</v>
      </c>
      <c r="C24" s="739" t="s">
        <v>235</v>
      </c>
      <c r="D24" s="428" t="s">
        <v>596</v>
      </c>
      <c r="E24" s="1284"/>
      <c r="F24" s="1285"/>
      <c r="G24" s="1286"/>
      <c r="H24" s="1287"/>
      <c r="I24" s="1288"/>
      <c r="J24" s="1285"/>
      <c r="K24" s="1181"/>
      <c r="L24" s="1289"/>
      <c r="M24" s="1181"/>
      <c r="N24" s="1181"/>
      <c r="O24" s="1181"/>
      <c r="P24" s="1289"/>
      <c r="Q24" s="1181"/>
      <c r="R24" s="1181"/>
      <c r="S24" s="1156"/>
      <c r="T24" s="1736"/>
      <c r="U24" s="1111"/>
      <c r="AL24" s="721"/>
      <c r="AM24" s="721"/>
      <c r="AN24" s="721"/>
      <c r="AO24" s="721"/>
      <c r="AP24" s="135"/>
      <c r="AQ24" s="1283"/>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row>
    <row r="25" spans="1:80" s="126" customFormat="1" ht="13.05" customHeight="1" thickBot="1">
      <c r="A25" s="1290" t="s">
        <v>280</v>
      </c>
      <c r="B25" s="1860" t="s">
        <v>265</v>
      </c>
      <c r="C25" s="1860"/>
      <c r="D25" s="1861"/>
      <c r="E25" s="1098">
        <v>5483</v>
      </c>
      <c r="F25" s="1291">
        <v>5215</v>
      </c>
      <c r="G25" s="1278">
        <v>1222</v>
      </c>
      <c r="H25" s="1279">
        <v>624</v>
      </c>
      <c r="I25" s="744"/>
      <c r="J25" s="1291"/>
      <c r="K25" s="1281"/>
      <c r="L25" s="1282"/>
      <c r="M25" s="1281"/>
      <c r="N25" s="1281"/>
      <c r="O25" s="1281"/>
      <c r="P25" s="1282"/>
      <c r="Q25" s="1281"/>
      <c r="R25" s="1281"/>
      <c r="S25" s="831"/>
      <c r="T25" s="1734"/>
      <c r="U25" s="1111"/>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row>
    <row r="26" spans="1:80" s="123" customFormat="1" ht="13.5" customHeight="1" thickBot="1">
      <c r="A26" s="1106" t="s">
        <v>461</v>
      </c>
      <c r="B26" s="535"/>
      <c r="C26" s="535"/>
      <c r="D26" s="1107"/>
      <c r="E26" s="1099">
        <f t="shared" ref="E26:T26" si="1">SUM(E9:E25)</f>
        <v>251522</v>
      </c>
      <c r="F26" s="757">
        <f t="shared" si="1"/>
        <v>250556</v>
      </c>
      <c r="G26" s="757">
        <f t="shared" si="1"/>
        <v>201065</v>
      </c>
      <c r="H26" s="758">
        <f t="shared" si="1"/>
        <v>197612</v>
      </c>
      <c r="I26" s="759">
        <f t="shared" si="1"/>
        <v>0</v>
      </c>
      <c r="J26" s="757">
        <f t="shared" si="1"/>
        <v>0</v>
      </c>
      <c r="K26" s="757">
        <f t="shared" si="1"/>
        <v>0</v>
      </c>
      <c r="L26" s="758">
        <f t="shared" si="1"/>
        <v>0</v>
      </c>
      <c r="M26" s="757">
        <f t="shared" si="1"/>
        <v>0</v>
      </c>
      <c r="N26" s="757">
        <f t="shared" si="1"/>
        <v>0</v>
      </c>
      <c r="O26" s="757">
        <f t="shared" si="1"/>
        <v>0</v>
      </c>
      <c r="P26" s="758">
        <f t="shared" si="1"/>
        <v>0</v>
      </c>
      <c r="Q26" s="757">
        <f t="shared" si="1"/>
        <v>0</v>
      </c>
      <c r="R26" s="757">
        <f t="shared" si="1"/>
        <v>0</v>
      </c>
      <c r="S26" s="757">
        <f t="shared" si="1"/>
        <v>0</v>
      </c>
      <c r="T26" s="758">
        <f t="shared" si="1"/>
        <v>0</v>
      </c>
      <c r="U26" s="1111"/>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row>
    <row r="27" spans="1:80" s="123" customFormat="1" ht="13.5" customHeight="1">
      <c r="A27" s="914"/>
      <c r="B27" s="913"/>
      <c r="C27" s="913"/>
      <c r="D27" s="913"/>
      <c r="E27" s="915"/>
      <c r="F27" s="915"/>
      <c r="G27" s="915"/>
      <c r="H27" s="916"/>
      <c r="I27" s="915"/>
      <c r="J27" s="915"/>
      <c r="K27" s="915"/>
      <c r="L27" s="916"/>
      <c r="M27" s="915"/>
      <c r="N27" s="916"/>
      <c r="O27" s="915"/>
      <c r="P27" s="916"/>
      <c r="Q27" s="915"/>
      <c r="R27" s="915"/>
      <c r="S27" s="915"/>
      <c r="T27" s="915"/>
      <c r="U27" s="126"/>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row>
    <row r="28" spans="1:80" s="123" customFormat="1" ht="16.2" thickBot="1">
      <c r="A28" s="45"/>
      <c r="B28" s="45"/>
      <c r="C28" s="45"/>
      <c r="D28" s="45"/>
      <c r="E28" s="283"/>
      <c r="F28" s="283"/>
      <c r="G28" s="283"/>
      <c r="H28" s="283"/>
      <c r="I28" s="283"/>
      <c r="J28" s="283"/>
      <c r="K28" s="283"/>
      <c r="L28" s="283"/>
      <c r="M28" s="283"/>
      <c r="N28" s="283"/>
      <c r="O28" s="283"/>
      <c r="P28" s="283"/>
      <c r="Q28" s="1115"/>
      <c r="R28" s="14"/>
      <c r="S28" s="14"/>
      <c r="T28" s="14"/>
      <c r="U28" s="135"/>
      <c r="V28" s="283"/>
      <c r="W28" s="283"/>
      <c r="X28" s="283"/>
      <c r="Y28" s="283"/>
      <c r="Z28" s="283"/>
      <c r="AA28" s="407"/>
      <c r="AB28" s="407"/>
      <c r="AC28" s="407"/>
      <c r="AD28" s="407"/>
      <c r="AE28" s="407"/>
      <c r="AF28" s="283"/>
      <c r="AG28" s="1292"/>
      <c r="AH28" s="1292"/>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row>
    <row r="29" spans="1:80" ht="16.2" thickBot="1">
      <c r="A29" s="840" t="str">
        <f>A7</f>
        <v>CWDM and DWDM Transceivers</v>
      </c>
      <c r="F29" s="769"/>
      <c r="G29" s="769"/>
      <c r="H29" s="773" t="s">
        <v>226</v>
      </c>
      <c r="I29" s="769"/>
      <c r="J29" s="769"/>
      <c r="K29" s="769"/>
      <c r="L29" s="769"/>
      <c r="M29" s="769"/>
      <c r="N29" s="769"/>
      <c r="O29" s="1235" t="str">
        <f>H29</f>
        <v>ASP: Actual Data</v>
      </c>
      <c r="P29" s="769"/>
      <c r="Q29"/>
      <c r="R29"/>
      <c r="S29" s="1862" t="s">
        <v>623</v>
      </c>
      <c r="T29" s="1863"/>
    </row>
    <row r="30" spans="1:80" ht="13.8" thickBot="1">
      <c r="A30" s="1102" t="s">
        <v>266</v>
      </c>
      <c r="B30" s="1103" t="s">
        <v>211</v>
      </c>
      <c r="C30" s="1104" t="s">
        <v>224</v>
      </c>
      <c r="D30" s="1105" t="s">
        <v>225</v>
      </c>
      <c r="E30" s="798" t="s">
        <v>130</v>
      </c>
      <c r="F30" s="771" t="s">
        <v>131</v>
      </c>
      <c r="G30" s="771" t="s">
        <v>132</v>
      </c>
      <c r="H30" s="772" t="s">
        <v>133</v>
      </c>
      <c r="I30" s="770" t="str">
        <f t="shared" ref="I30:N30" si="2">I8</f>
        <v>1Q 18</v>
      </c>
      <c r="J30" s="771" t="str">
        <f t="shared" si="2"/>
        <v>2Q 18</v>
      </c>
      <c r="K30" s="771" t="str">
        <f t="shared" si="2"/>
        <v>3Q 18</v>
      </c>
      <c r="L30" s="1514" t="str">
        <f t="shared" si="2"/>
        <v>4Q 18</v>
      </c>
      <c r="M30" s="1515" t="str">
        <f t="shared" si="2"/>
        <v>1Q 19</v>
      </c>
      <c r="N30" s="1212" t="str">
        <f t="shared" si="2"/>
        <v>2Q 19</v>
      </c>
      <c r="O30" s="1218" t="s">
        <v>140</v>
      </c>
      <c r="P30" s="772" t="s">
        <v>141</v>
      </c>
      <c r="Q30" s="771" t="s">
        <v>142</v>
      </c>
      <c r="R30" s="771" t="s">
        <v>143</v>
      </c>
      <c r="S30" s="774" t="s">
        <v>621</v>
      </c>
      <c r="T30" s="774" t="s">
        <v>622</v>
      </c>
    </row>
    <row r="31" spans="1:80">
      <c r="A31" s="434" t="str">
        <f t="shared" ref="A31:D46" si="3">A9</f>
        <v>CWDM</v>
      </c>
      <c r="B31" s="745" t="str">
        <f t="shared" si="3"/>
        <v xml:space="preserve">1 Gbps </v>
      </c>
      <c r="C31" s="210" t="str">
        <f t="shared" si="3"/>
        <v>40 km</v>
      </c>
      <c r="D31" s="746" t="str">
        <f t="shared" si="3"/>
        <v>SFP</v>
      </c>
      <c r="E31" s="1086">
        <v>80.738749853131239</v>
      </c>
      <c r="F31" s="243">
        <v>79.572702943800181</v>
      </c>
      <c r="G31" s="243">
        <v>76.831029662991142</v>
      </c>
      <c r="H31" s="448">
        <v>73.310040705563097</v>
      </c>
      <c r="I31" s="243"/>
      <c r="J31" s="243"/>
      <c r="K31" s="710"/>
      <c r="L31" s="1516"/>
      <c r="M31" s="1517"/>
      <c r="N31" s="1213"/>
      <c r="O31" s="1214"/>
      <c r="P31" s="1516"/>
      <c r="Q31" s="1647"/>
      <c r="R31" s="1551"/>
      <c r="S31" s="1552"/>
      <c r="T31" s="1554"/>
    </row>
    <row r="32" spans="1:80">
      <c r="A32" s="434" t="str">
        <f t="shared" si="3"/>
        <v>CWDM</v>
      </c>
      <c r="B32" s="745" t="str">
        <f t="shared" si="3"/>
        <v xml:space="preserve">1 Gbps </v>
      </c>
      <c r="C32" s="210" t="str">
        <f t="shared" si="3"/>
        <v>80km</v>
      </c>
      <c r="D32" s="746" t="str">
        <f t="shared" si="3"/>
        <v>SFP</v>
      </c>
      <c r="E32" s="1086">
        <v>78.510153396468979</v>
      </c>
      <c r="F32" s="243">
        <v>82.876145530735201</v>
      </c>
      <c r="G32" s="243">
        <v>80.120507777579121</v>
      </c>
      <c r="H32" s="448">
        <v>81.701564053883018</v>
      </c>
      <c r="I32" s="243"/>
      <c r="J32" s="243"/>
      <c r="K32" s="710"/>
      <c r="L32" s="1518"/>
      <c r="M32" s="1517"/>
      <c r="N32" s="1209"/>
      <c r="O32" s="705"/>
      <c r="P32" s="1518"/>
      <c r="Q32" s="1647"/>
      <c r="R32" s="1553"/>
      <c r="S32" s="1546"/>
      <c r="T32" s="1554"/>
    </row>
    <row r="33" spans="1:20">
      <c r="A33" s="434" t="str">
        <f t="shared" si="3"/>
        <v>CWDM</v>
      </c>
      <c r="B33" s="745" t="str">
        <f t="shared" si="3"/>
        <v>2.5 Gbps</v>
      </c>
      <c r="C33" s="210" t="str">
        <f t="shared" si="3"/>
        <v>40 km</v>
      </c>
      <c r="D33" s="746" t="str">
        <f t="shared" si="3"/>
        <v>SFP</v>
      </c>
      <c r="E33" s="1087">
        <v>79.395015363605324</v>
      </c>
      <c r="F33" s="274">
        <v>67.951871014318371</v>
      </c>
      <c r="G33" s="274">
        <v>81.163642917217345</v>
      </c>
      <c r="H33" s="449">
        <v>88.344800672430353</v>
      </c>
      <c r="I33" s="274"/>
      <c r="J33" s="274"/>
      <c r="K33" s="980"/>
      <c r="L33" s="1518"/>
      <c r="M33" s="1517"/>
      <c r="N33" s="980"/>
      <c r="O33" s="705"/>
      <c r="P33" s="1518"/>
      <c r="Q33" s="1647"/>
      <c r="R33" s="1555"/>
      <c r="S33" s="1546"/>
      <c r="T33" s="1554"/>
    </row>
    <row r="34" spans="1:20">
      <c r="A34" s="434" t="str">
        <f t="shared" si="3"/>
        <v>CWDM</v>
      </c>
      <c r="B34" s="747" t="str">
        <f t="shared" si="3"/>
        <v>2.5 Gbps</v>
      </c>
      <c r="C34" s="210" t="str">
        <f t="shared" si="3"/>
        <v>80km</v>
      </c>
      <c r="D34" s="746" t="str">
        <f t="shared" si="3"/>
        <v>SFP</v>
      </c>
      <c r="E34" s="1086">
        <v>122.46579148055343</v>
      </c>
      <c r="F34" s="243">
        <v>125.04509677419355</v>
      </c>
      <c r="G34" s="243">
        <v>162.86959847036329</v>
      </c>
      <c r="H34" s="448">
        <v>143.01765980498374</v>
      </c>
      <c r="I34" s="243"/>
      <c r="J34" s="243"/>
      <c r="K34" s="710"/>
      <c r="L34" s="1518"/>
      <c r="M34" s="1517"/>
      <c r="N34" s="1209"/>
      <c r="O34" s="705"/>
      <c r="P34" s="1518"/>
      <c r="Q34" s="1647"/>
      <c r="R34" s="1553"/>
      <c r="S34" s="1546"/>
      <c r="T34" s="1554"/>
    </row>
    <row r="35" spans="1:20" ht="13.8" thickBot="1">
      <c r="A35" s="1275" t="str">
        <f t="shared" si="3"/>
        <v>CWDM</v>
      </c>
      <c r="B35" s="1276" t="str">
        <f t="shared" si="3"/>
        <v>10 Gbps</v>
      </c>
      <c r="C35" s="1277" t="str">
        <f t="shared" si="3"/>
        <v>all</v>
      </c>
      <c r="D35" s="1293" t="str">
        <f t="shared" si="3"/>
        <v>XFP/SFP+</v>
      </c>
      <c r="E35" s="1088">
        <v>382.89909570414483</v>
      </c>
      <c r="F35" s="1230">
        <v>370.94915552153077</v>
      </c>
      <c r="G35" s="1230">
        <v>363.15097559952784</v>
      </c>
      <c r="H35" s="1294">
        <v>359.56550323935386</v>
      </c>
      <c r="I35" s="1230"/>
      <c r="J35" s="1230"/>
      <c r="K35" s="1241"/>
      <c r="L35" s="1519"/>
      <c r="M35" s="1520"/>
      <c r="N35" s="1210"/>
      <c r="O35" s="1241"/>
      <c r="P35" s="1519"/>
      <c r="Q35" s="1520"/>
      <c r="R35" s="1210"/>
      <c r="S35" s="1741"/>
      <c r="T35" s="1742"/>
    </row>
    <row r="36" spans="1:20" ht="14.4">
      <c r="A36" s="775" t="str">
        <f t="shared" si="3"/>
        <v>DWDM</v>
      </c>
      <c r="B36" s="755" t="str">
        <f t="shared" si="3"/>
        <v>2.5 Gbps</v>
      </c>
      <c r="C36" s="756" t="str">
        <f t="shared" si="3"/>
        <v>all</v>
      </c>
      <c r="D36" s="740" t="str">
        <f t="shared" si="3"/>
        <v>SFP</v>
      </c>
      <c r="E36" s="1086">
        <v>277.15902165856875</v>
      </c>
      <c r="F36" s="243">
        <v>266.65596911730813</v>
      </c>
      <c r="G36" s="243">
        <v>241.14147480814157</v>
      </c>
      <c r="H36" s="449">
        <v>226.40875429780462</v>
      </c>
      <c r="I36" s="243"/>
      <c r="J36" s="243"/>
      <c r="K36" s="710"/>
      <c r="L36" s="1518"/>
      <c r="M36" s="1517"/>
      <c r="N36" s="1209"/>
      <c r="O36" s="710"/>
      <c r="P36" s="1518"/>
      <c r="Q36" s="1647"/>
      <c r="R36" s="1209"/>
      <c r="S36" s="1743"/>
      <c r="T36" s="1744"/>
    </row>
    <row r="37" spans="1:20" ht="14.4">
      <c r="A37" s="776" t="str">
        <f t="shared" si="3"/>
        <v>DWDM</v>
      </c>
      <c r="B37" s="748" t="str">
        <f t="shared" si="3"/>
        <v>10 Gbps fixed wavelength</v>
      </c>
      <c r="C37" s="210" t="str">
        <f t="shared" si="3"/>
        <v>all</v>
      </c>
      <c r="D37" s="746" t="str">
        <f t="shared" si="3"/>
        <v>XFP</v>
      </c>
      <c r="E37" s="1087">
        <v>390.26491845085377</v>
      </c>
      <c r="F37" s="222">
        <v>390.74141412470914</v>
      </c>
      <c r="G37" s="222">
        <v>372.09814680239975</v>
      </c>
      <c r="H37" s="449">
        <v>351.28012118418661</v>
      </c>
      <c r="I37" s="222"/>
      <c r="J37" s="222"/>
      <c r="K37" s="705"/>
      <c r="L37" s="1518"/>
      <c r="M37" s="1521"/>
      <c r="N37" s="980"/>
      <c r="O37" s="705"/>
      <c r="P37" s="1518"/>
      <c r="Q37" s="1521"/>
      <c r="R37" s="980"/>
      <c r="S37" s="223"/>
      <c r="T37" s="1744"/>
    </row>
    <row r="38" spans="1:20" ht="14.4">
      <c r="A38" s="776" t="str">
        <f t="shared" si="3"/>
        <v>DWDM</v>
      </c>
      <c r="B38" s="748" t="str">
        <f t="shared" si="3"/>
        <v>10 Gbps fixed wavelength</v>
      </c>
      <c r="C38" s="210" t="str">
        <f t="shared" si="3"/>
        <v>all</v>
      </c>
      <c r="D38" s="746" t="str">
        <f t="shared" si="3"/>
        <v>SFP+</v>
      </c>
      <c r="E38" s="1087">
        <v>405.88688660956859</v>
      </c>
      <c r="F38" s="222">
        <v>390.47813718458815</v>
      </c>
      <c r="G38" s="222">
        <v>392.41777320473653</v>
      </c>
      <c r="H38" s="449">
        <v>367.83366392531912</v>
      </c>
      <c r="I38" s="222"/>
      <c r="J38" s="222"/>
      <c r="K38" s="705"/>
      <c r="L38" s="1518"/>
      <c r="M38" s="1521"/>
      <c r="N38" s="980"/>
      <c r="O38" s="705"/>
      <c r="P38" s="1518"/>
      <c r="Q38" s="1521"/>
      <c r="R38" s="980"/>
      <c r="S38" s="223"/>
      <c r="T38" s="1744"/>
    </row>
    <row r="39" spans="1:20" ht="14.4">
      <c r="A39" s="776" t="str">
        <f t="shared" si="3"/>
        <v>DWDM</v>
      </c>
      <c r="B39" s="749" t="str">
        <f t="shared" si="3"/>
        <v>10 Gbps tunable wavelength</v>
      </c>
      <c r="C39" s="210" t="str">
        <f t="shared" si="3"/>
        <v>all</v>
      </c>
      <c r="D39" s="750" t="str">
        <f t="shared" si="3"/>
        <v>XFP</v>
      </c>
      <c r="E39" s="1089">
        <v>584.57035936282421</v>
      </c>
      <c r="F39" s="251">
        <v>570.7214963093902</v>
      </c>
      <c r="G39" s="251">
        <v>571.92450363960086</v>
      </c>
      <c r="H39" s="449">
        <v>554.11945990023037</v>
      </c>
      <c r="I39" s="251"/>
      <c r="J39" s="251"/>
      <c r="K39" s="981"/>
      <c r="L39" s="1518"/>
      <c r="M39" s="1521"/>
      <c r="N39" s="980"/>
      <c r="O39" s="981"/>
      <c r="P39" s="1518"/>
      <c r="Q39" s="1521"/>
      <c r="R39" s="980"/>
      <c r="S39" s="1745"/>
      <c r="T39" s="1744"/>
    </row>
    <row r="40" spans="1:20" ht="14.4">
      <c r="A40" s="776" t="str">
        <f t="shared" si="3"/>
        <v>DWDM</v>
      </c>
      <c r="B40" s="749" t="str">
        <f t="shared" si="3"/>
        <v>10 Gbps tunable wavelength</v>
      </c>
      <c r="C40" s="210" t="str">
        <f t="shared" si="3"/>
        <v>all</v>
      </c>
      <c r="D40" s="750" t="str">
        <f t="shared" si="3"/>
        <v>SFP+</v>
      </c>
      <c r="E40" s="1087">
        <v>762.37581086925184</v>
      </c>
      <c r="F40" s="222">
        <v>715.14915572232644</v>
      </c>
      <c r="G40" s="222">
        <v>697.0259759987847</v>
      </c>
      <c r="H40" s="449">
        <v>679.24890162368672</v>
      </c>
      <c r="I40" s="222"/>
      <c r="J40" s="222"/>
      <c r="K40" s="705"/>
      <c r="L40" s="1518"/>
      <c r="M40" s="1521"/>
      <c r="N40" s="980"/>
      <c r="O40" s="705"/>
      <c r="P40" s="1518"/>
      <c r="Q40" s="1521"/>
      <c r="R40" s="980"/>
      <c r="S40" s="223"/>
      <c r="T40" s="1744"/>
    </row>
    <row r="41" spans="1:20" ht="14.4">
      <c r="A41" s="776" t="str">
        <f t="shared" si="3"/>
        <v>DWDM</v>
      </c>
      <c r="B41" s="751" t="str">
        <f t="shared" si="3"/>
        <v>40 Gbps</v>
      </c>
      <c r="C41" s="739" t="str">
        <f t="shared" si="3"/>
        <v>all</v>
      </c>
      <c r="D41" s="752" t="str">
        <f t="shared" si="3"/>
        <v>all</v>
      </c>
      <c r="E41" s="1087">
        <v>8000</v>
      </c>
      <c r="F41" s="222">
        <v>7500</v>
      </c>
      <c r="G41" s="222">
        <v>0</v>
      </c>
      <c r="H41" s="449">
        <v>0</v>
      </c>
      <c r="I41" s="222"/>
      <c r="J41" s="222"/>
      <c r="K41" s="705"/>
      <c r="L41" s="1518"/>
      <c r="M41" s="1521"/>
      <c r="N41" s="980"/>
      <c r="O41" s="705"/>
      <c r="P41" s="1518"/>
      <c r="Q41" s="1521"/>
      <c r="R41" s="980"/>
      <c r="S41" s="223"/>
      <c r="T41" s="1744"/>
    </row>
    <row r="42" spans="1:20" ht="14.4">
      <c r="A42" s="776" t="str">
        <f t="shared" si="3"/>
        <v>DWDM</v>
      </c>
      <c r="B42" s="753" t="str">
        <f t="shared" si="3"/>
        <v>100 Gbps and above</v>
      </c>
      <c r="C42" s="739" t="str">
        <f t="shared" si="3"/>
        <v>all</v>
      </c>
      <c r="D42" s="754" t="str">
        <f t="shared" si="3"/>
        <v>On Board</v>
      </c>
      <c r="E42" s="1090">
        <v>12126.760563380281</v>
      </c>
      <c r="F42" s="281">
        <v>11629.032258064517</v>
      </c>
      <c r="G42" s="281">
        <v>11637.931034482759</v>
      </c>
      <c r="H42" s="449">
        <v>11000</v>
      </c>
      <c r="I42" s="281"/>
      <c r="J42" s="281"/>
      <c r="K42" s="711"/>
      <c r="L42" s="1518"/>
      <c r="M42" s="1521"/>
      <c r="N42" s="980"/>
      <c r="O42" s="711"/>
      <c r="P42" s="1518"/>
      <c r="Q42" s="1521"/>
      <c r="R42" s="980"/>
      <c r="S42" s="1746"/>
      <c r="T42" s="1744"/>
    </row>
    <row r="43" spans="1:20" ht="14.4">
      <c r="A43" s="776" t="str">
        <f t="shared" si="3"/>
        <v>DWDM</v>
      </c>
      <c r="B43" s="753" t="str">
        <f t="shared" si="3"/>
        <v>100 Gbps</v>
      </c>
      <c r="C43" s="739" t="str">
        <f t="shared" si="3"/>
        <v>all</v>
      </c>
      <c r="D43" s="754" t="str">
        <f t="shared" si="3"/>
        <v>Direct detect</v>
      </c>
      <c r="E43" s="1090">
        <v>4322.679525222552</v>
      </c>
      <c r="F43" s="281">
        <v>3148.5620107128143</v>
      </c>
      <c r="G43" s="281">
        <v>2910.5537705537704</v>
      </c>
      <c r="H43" s="449">
        <v>2850.1918014291086</v>
      </c>
      <c r="I43" s="281"/>
      <c r="J43" s="281"/>
      <c r="K43" s="711"/>
      <c r="L43" s="1518"/>
      <c r="M43" s="1521"/>
      <c r="N43" s="980"/>
      <c r="O43" s="711"/>
      <c r="P43" s="1518"/>
      <c r="Q43" s="1521"/>
      <c r="R43" s="980"/>
      <c r="S43" s="1746"/>
      <c r="T43" s="1744"/>
    </row>
    <row r="44" spans="1:20" ht="14.4">
      <c r="A44" s="776" t="str">
        <f t="shared" si="3"/>
        <v>DWDM</v>
      </c>
      <c r="B44" s="753" t="str">
        <f t="shared" si="3"/>
        <v>100 Gbps and above</v>
      </c>
      <c r="C44" s="739" t="str">
        <f t="shared" si="3"/>
        <v>all</v>
      </c>
      <c r="D44" s="754" t="str">
        <f t="shared" si="3"/>
        <v>CFP/CFP2 DCO</v>
      </c>
      <c r="E44" s="1090">
        <v>7270.588235294118</v>
      </c>
      <c r="F44" s="281">
        <v>7018.0180180180178</v>
      </c>
      <c r="G44" s="281">
        <v>6846.666666666667</v>
      </c>
      <c r="H44" s="449">
        <v>6557.5221238938057</v>
      </c>
      <c r="I44" s="281"/>
      <c r="J44" s="281"/>
      <c r="K44" s="711"/>
      <c r="L44" s="1518"/>
      <c r="M44" s="1522"/>
      <c r="N44" s="980"/>
      <c r="O44" s="711"/>
      <c r="P44" s="1518"/>
      <c r="Q44" s="1522"/>
      <c r="R44" s="980"/>
      <c r="S44" s="1746"/>
      <c r="T44" s="1744"/>
    </row>
    <row r="45" spans="1:20" ht="14.4">
      <c r="A45" s="776" t="str">
        <f t="shared" si="3"/>
        <v>DWDM</v>
      </c>
      <c r="B45" s="753" t="str">
        <f t="shared" si="3"/>
        <v>100 Gbps and above</v>
      </c>
      <c r="C45" s="739" t="str">
        <f t="shared" si="3"/>
        <v>all</v>
      </c>
      <c r="D45" s="754" t="str">
        <f t="shared" si="3"/>
        <v>CFP2 ACO</v>
      </c>
      <c r="E45" s="1090">
        <v>7882.1471579961462</v>
      </c>
      <c r="F45" s="281">
        <v>7715.3664535169701</v>
      </c>
      <c r="G45" s="281">
        <v>7350.9566466766619</v>
      </c>
      <c r="H45" s="449">
        <v>7110.4748928352728</v>
      </c>
      <c r="I45" s="281"/>
      <c r="J45" s="281"/>
      <c r="K45" s="711"/>
      <c r="L45" s="1518"/>
      <c r="M45" s="1521"/>
      <c r="N45" s="980"/>
      <c r="O45" s="711"/>
      <c r="P45" s="1518"/>
      <c r="Q45" s="1521"/>
      <c r="R45" s="980"/>
      <c r="S45" s="1746"/>
      <c r="T45" s="1744"/>
    </row>
    <row r="46" spans="1:20" ht="14.4">
      <c r="A46" s="776" t="str">
        <f t="shared" si="3"/>
        <v>DWDM</v>
      </c>
      <c r="B46" s="753" t="str">
        <f t="shared" si="3"/>
        <v>100 Gbps and above</v>
      </c>
      <c r="C46" s="739" t="str">
        <f t="shared" si="3"/>
        <v>all</v>
      </c>
      <c r="D46" s="754" t="str">
        <f t="shared" si="3"/>
        <v>ZR &amp; ZR+</v>
      </c>
      <c r="E46" s="1295"/>
      <c r="F46" s="1232"/>
      <c r="G46" s="1232"/>
      <c r="H46" s="1296"/>
      <c r="I46" s="1232"/>
      <c r="J46" s="1232"/>
      <c r="K46" s="1215"/>
      <c r="L46" s="1523"/>
      <c r="M46" s="1524"/>
      <c r="N46" s="1297"/>
      <c r="O46" s="1217"/>
      <c r="P46" s="1523"/>
      <c r="Q46" s="1524"/>
      <c r="R46" s="1297"/>
      <c r="S46" s="1747"/>
      <c r="T46" s="1748"/>
    </row>
    <row r="47" spans="1:20" ht="15" thickBot="1">
      <c r="A47" s="1290" t="str">
        <f>A25</f>
        <v>DWDM</v>
      </c>
      <c r="B47" s="1860" t="str">
        <f>B25</f>
        <v>Miscellaneous</v>
      </c>
      <c r="C47" s="1860"/>
      <c r="D47" s="1860"/>
      <c r="E47" s="1091">
        <v>160.48787160313697</v>
      </c>
      <c r="F47" s="762">
        <v>132.86251198465965</v>
      </c>
      <c r="G47" s="762">
        <v>601.71603927986916</v>
      </c>
      <c r="H47" s="763">
        <v>600.8782051282052</v>
      </c>
      <c r="I47" s="762"/>
      <c r="J47" s="762"/>
      <c r="K47" s="764"/>
      <c r="L47" s="1519"/>
      <c r="M47" s="1520"/>
      <c r="N47" s="1216"/>
      <c r="O47" s="1217"/>
      <c r="P47" s="1519"/>
      <c r="Q47" s="1520"/>
      <c r="R47" s="1216"/>
      <c r="S47" s="1747"/>
      <c r="T47" s="1742"/>
    </row>
    <row r="48" spans="1:20" ht="13.8" thickBot="1">
      <c r="A48" s="777" t="str">
        <f>A26</f>
        <v>Total CWDM/DWDM</v>
      </c>
      <c r="B48" s="535"/>
      <c r="C48" s="535"/>
      <c r="D48" s="778"/>
      <c r="E48" s="1298">
        <f t="shared" ref="E48:J48" si="4">E70/E26</f>
        <v>1074.2793410966315</v>
      </c>
      <c r="F48" s="1299">
        <f t="shared" si="4"/>
        <v>1024.2339353561649</v>
      </c>
      <c r="G48" s="1299">
        <f t="shared" si="4"/>
        <v>1210.3409457297182</v>
      </c>
      <c r="H48" s="1300">
        <f t="shared" si="4"/>
        <v>1102.5965595445346</v>
      </c>
      <c r="I48" s="1299" t="e">
        <f t="shared" si="4"/>
        <v>#DIV/0!</v>
      </c>
      <c r="J48" s="1299" t="e">
        <f t="shared" si="4"/>
        <v>#DIV/0!</v>
      </c>
      <c r="K48" s="1299">
        <v>945.87048655978322</v>
      </c>
      <c r="L48" s="1525">
        <v>815.12648697940722</v>
      </c>
      <c r="M48" s="1526"/>
      <c r="N48" s="1303"/>
      <c r="O48" s="1304"/>
      <c r="P48" s="1525"/>
      <c r="Q48" s="1526"/>
      <c r="R48" s="1303"/>
      <c r="S48" s="1749"/>
      <c r="T48" s="1750"/>
    </row>
    <row r="49" spans="1:21">
      <c r="A49" s="287"/>
      <c r="B49" s="913"/>
      <c r="C49" s="913"/>
      <c r="D49" s="913"/>
      <c r="E49" s="1305"/>
      <c r="F49" s="1305"/>
      <c r="G49" s="1305"/>
      <c r="H49" s="1305"/>
      <c r="I49" s="1305"/>
      <c r="J49" s="1305"/>
      <c r="K49" s="1305"/>
      <c r="L49" s="1305"/>
      <c r="M49" s="1305"/>
      <c r="N49" s="1305"/>
      <c r="O49" s="1305"/>
      <c r="P49" s="1305"/>
      <c r="Q49" s="1305"/>
      <c r="R49" s="1305"/>
      <c r="S49" s="1305"/>
      <c r="T49" s="1305"/>
    </row>
    <row r="50" spans="1:21" ht="16.2" thickBot="1">
      <c r="Q50" s="1115"/>
      <c r="R50" s="14"/>
      <c r="S50" s="1115"/>
      <c r="T50" s="14"/>
    </row>
    <row r="51" spans="1:21" ht="16.2" thickBot="1">
      <c r="A51" s="840" t="str">
        <f>A29</f>
        <v>CWDM and DWDM Transceivers</v>
      </c>
      <c r="F51" s="769"/>
      <c r="G51" s="769"/>
      <c r="H51" s="773" t="s">
        <v>210</v>
      </c>
      <c r="I51" s="769"/>
      <c r="J51" s="769"/>
      <c r="K51" s="769"/>
      <c r="L51" s="769"/>
      <c r="M51" s="769"/>
      <c r="N51" s="769"/>
      <c r="O51" s="1235" t="str">
        <f>H51</f>
        <v>Sales: Actual Data</v>
      </c>
      <c r="P51" s="769"/>
      <c r="Q51"/>
      <c r="R51"/>
      <c r="S51" s="1862" t="s">
        <v>624</v>
      </c>
      <c r="T51" s="1863"/>
      <c r="U51" s="1273"/>
    </row>
    <row r="52" spans="1:21" ht="13.8" thickBot="1">
      <c r="A52" s="1102" t="s">
        <v>266</v>
      </c>
      <c r="B52" s="1103" t="s">
        <v>211</v>
      </c>
      <c r="C52" s="1104" t="s">
        <v>224</v>
      </c>
      <c r="D52" s="1105" t="s">
        <v>225</v>
      </c>
      <c r="E52" s="798" t="s">
        <v>130</v>
      </c>
      <c r="F52" s="771" t="s">
        <v>131</v>
      </c>
      <c r="G52" s="771" t="s">
        <v>132</v>
      </c>
      <c r="H52" s="772" t="s">
        <v>133</v>
      </c>
      <c r="I52" s="770" t="str">
        <f t="shared" ref="I52:N52" si="5">I8</f>
        <v>1Q 18</v>
      </c>
      <c r="J52" s="771" t="str">
        <f t="shared" si="5"/>
        <v>2Q 18</v>
      </c>
      <c r="K52" s="771" t="str">
        <f t="shared" si="5"/>
        <v>3Q 18</v>
      </c>
      <c r="L52" s="772" t="str">
        <f t="shared" si="5"/>
        <v>4Q 18</v>
      </c>
      <c r="M52" s="1211" t="str">
        <f t="shared" si="5"/>
        <v>1Q 19</v>
      </c>
      <c r="N52" s="1211" t="str">
        <f t="shared" si="5"/>
        <v>2Q 19</v>
      </c>
      <c r="O52" s="1211" t="s">
        <v>140</v>
      </c>
      <c r="P52" s="1221" t="s">
        <v>141</v>
      </c>
      <c r="Q52" s="771" t="s">
        <v>142</v>
      </c>
      <c r="R52" s="771" t="s">
        <v>143</v>
      </c>
      <c r="S52" s="774" t="s">
        <v>621</v>
      </c>
      <c r="T52" s="774" t="s">
        <v>622</v>
      </c>
      <c r="U52" s="1274"/>
    </row>
    <row r="53" spans="1:21">
      <c r="A53" s="434" t="str">
        <f t="shared" ref="A53:D68" si="6">A9</f>
        <v>CWDM</v>
      </c>
      <c r="B53" s="745" t="str">
        <f t="shared" si="6"/>
        <v xml:space="preserve">1 Gbps </v>
      </c>
      <c r="C53" s="210" t="str">
        <f t="shared" si="6"/>
        <v>40 km</v>
      </c>
      <c r="D53" s="1081" t="str">
        <f t="shared" si="6"/>
        <v>SFP</v>
      </c>
      <c r="E53" s="1086">
        <f t="shared" ref="E53:T67" si="7">E9*E31</f>
        <v>1374335</v>
      </c>
      <c r="F53" s="243">
        <f t="shared" si="7"/>
        <v>1338015</v>
      </c>
      <c r="G53" s="243">
        <f t="shared" si="7"/>
        <v>989429.99999999988</v>
      </c>
      <c r="H53" s="448">
        <f t="shared" si="7"/>
        <v>648354</v>
      </c>
      <c r="I53" s="243">
        <f t="shared" si="7"/>
        <v>0</v>
      </c>
      <c r="J53" s="243">
        <f t="shared" si="7"/>
        <v>0</v>
      </c>
      <c r="K53" s="243">
        <f t="shared" si="7"/>
        <v>0</v>
      </c>
      <c r="L53" s="1219">
        <f t="shared" si="7"/>
        <v>0</v>
      </c>
      <c r="M53" s="1222">
        <f t="shared" si="7"/>
        <v>0</v>
      </c>
      <c r="N53" s="1223">
        <f t="shared" si="7"/>
        <v>0</v>
      </c>
      <c r="O53" s="1223">
        <f t="shared" si="7"/>
        <v>0</v>
      </c>
      <c r="P53" s="1529">
        <f t="shared" si="7"/>
        <v>0</v>
      </c>
      <c r="Q53" s="1737" t="s">
        <v>640</v>
      </c>
      <c r="R53" s="1223"/>
      <c r="S53" s="1223"/>
      <c r="T53" s="1224"/>
      <c r="U53" s="1111"/>
    </row>
    <row r="54" spans="1:21">
      <c r="A54" s="434" t="str">
        <f t="shared" si="6"/>
        <v>CWDM</v>
      </c>
      <c r="B54" s="745" t="str">
        <f t="shared" si="6"/>
        <v xml:space="preserve">1 Gbps </v>
      </c>
      <c r="C54" s="210" t="str">
        <f t="shared" si="6"/>
        <v>80km</v>
      </c>
      <c r="D54" s="1081" t="str">
        <f t="shared" si="6"/>
        <v>SFP</v>
      </c>
      <c r="E54" s="1086">
        <f t="shared" si="7"/>
        <v>1126699.2113927263</v>
      </c>
      <c r="F54" s="243">
        <f t="shared" si="7"/>
        <v>1598432.2188512897</v>
      </c>
      <c r="G54" s="243">
        <f t="shared" si="7"/>
        <v>896228</v>
      </c>
      <c r="H54" s="448">
        <f t="shared" si="7"/>
        <v>903701.00000000012</v>
      </c>
      <c r="I54" s="243">
        <f t="shared" si="7"/>
        <v>0</v>
      </c>
      <c r="J54" s="243">
        <f t="shared" si="7"/>
        <v>0</v>
      </c>
      <c r="K54" s="243">
        <f t="shared" si="7"/>
        <v>0</v>
      </c>
      <c r="L54" s="1219">
        <f t="shared" si="7"/>
        <v>0</v>
      </c>
      <c r="M54" s="1225">
        <f t="shared" si="7"/>
        <v>0</v>
      </c>
      <c r="N54" s="222">
        <f t="shared" si="7"/>
        <v>0</v>
      </c>
      <c r="O54" s="222">
        <f t="shared" si="7"/>
        <v>0</v>
      </c>
      <c r="P54" s="448">
        <f t="shared" si="7"/>
        <v>0</v>
      </c>
      <c r="Q54" s="1738" t="s">
        <v>640</v>
      </c>
      <c r="R54" s="222"/>
      <c r="S54" s="222"/>
      <c r="T54" s="1226"/>
      <c r="U54" s="1111"/>
    </row>
    <row r="55" spans="1:21">
      <c r="A55" s="434" t="str">
        <f t="shared" si="6"/>
        <v>CWDM</v>
      </c>
      <c r="B55" s="745" t="str">
        <f t="shared" si="6"/>
        <v>2.5 Gbps</v>
      </c>
      <c r="C55" s="210" t="str">
        <f t="shared" si="6"/>
        <v>40 km</v>
      </c>
      <c r="D55" s="1081" t="str">
        <f t="shared" si="6"/>
        <v>SFP</v>
      </c>
      <c r="E55" s="1087">
        <f t="shared" si="7"/>
        <v>697644</v>
      </c>
      <c r="F55" s="274">
        <f t="shared" si="7"/>
        <v>564748</v>
      </c>
      <c r="G55" s="274">
        <f t="shared" si="7"/>
        <v>675525</v>
      </c>
      <c r="H55" s="449">
        <f t="shared" si="7"/>
        <v>1471471</v>
      </c>
      <c r="I55" s="274">
        <f t="shared" si="7"/>
        <v>0</v>
      </c>
      <c r="J55" s="274">
        <f t="shared" si="7"/>
        <v>0</v>
      </c>
      <c r="K55" s="274">
        <f t="shared" si="7"/>
        <v>0</v>
      </c>
      <c r="L55" s="274">
        <f t="shared" si="7"/>
        <v>0</v>
      </c>
      <c r="M55" s="1227">
        <f t="shared" si="7"/>
        <v>0</v>
      </c>
      <c r="N55" s="222">
        <f t="shared" si="7"/>
        <v>0</v>
      </c>
      <c r="O55" s="222">
        <f t="shared" si="7"/>
        <v>0</v>
      </c>
      <c r="P55" s="449">
        <f t="shared" si="7"/>
        <v>0</v>
      </c>
      <c r="Q55" s="1739" t="s">
        <v>640</v>
      </c>
      <c r="R55" s="222"/>
      <c r="S55" s="222"/>
      <c r="T55" s="1228"/>
      <c r="U55" s="1111"/>
    </row>
    <row r="56" spans="1:21">
      <c r="A56" s="434" t="str">
        <f t="shared" si="6"/>
        <v>CWDM</v>
      </c>
      <c r="B56" s="747" t="str">
        <f t="shared" si="6"/>
        <v>2.5 Gbps</v>
      </c>
      <c r="C56" s="210" t="str">
        <f t="shared" si="6"/>
        <v>80km</v>
      </c>
      <c r="D56" s="1081" t="str">
        <f t="shared" si="6"/>
        <v>SFP</v>
      </c>
      <c r="E56" s="1086">
        <f t="shared" si="7"/>
        <v>2248227</v>
      </c>
      <c r="F56" s="243">
        <f t="shared" si="7"/>
        <v>1938199</v>
      </c>
      <c r="G56" s="243">
        <f t="shared" si="7"/>
        <v>851808</v>
      </c>
      <c r="H56" s="448">
        <f t="shared" si="7"/>
        <v>1320053</v>
      </c>
      <c r="I56" s="243">
        <f t="shared" si="7"/>
        <v>0</v>
      </c>
      <c r="J56" s="243">
        <f t="shared" si="7"/>
        <v>0</v>
      </c>
      <c r="K56" s="243">
        <f t="shared" si="7"/>
        <v>0</v>
      </c>
      <c r="L56" s="1219">
        <f t="shared" si="7"/>
        <v>0</v>
      </c>
      <c r="M56" s="1225">
        <f t="shared" si="7"/>
        <v>0</v>
      </c>
      <c r="N56" s="222">
        <f t="shared" si="7"/>
        <v>0</v>
      </c>
      <c r="O56" s="222">
        <f t="shared" si="7"/>
        <v>0</v>
      </c>
      <c r="P56" s="448">
        <f t="shared" si="7"/>
        <v>0</v>
      </c>
      <c r="Q56" s="1738" t="s">
        <v>640</v>
      </c>
      <c r="R56" s="222"/>
      <c r="S56" s="222"/>
      <c r="T56" s="1226"/>
      <c r="U56" s="1111"/>
    </row>
    <row r="57" spans="1:21" ht="13.8" thickBot="1">
      <c r="A57" s="1275" t="str">
        <f t="shared" si="6"/>
        <v>CWDM</v>
      </c>
      <c r="B57" s="1276" t="str">
        <f t="shared" si="6"/>
        <v>10 Gbps</v>
      </c>
      <c r="C57" s="1277" t="str">
        <f t="shared" si="6"/>
        <v>all</v>
      </c>
      <c r="D57" s="1082" t="str">
        <f t="shared" si="6"/>
        <v>XFP/SFP+</v>
      </c>
      <c r="E57" s="1088">
        <f t="shared" si="7"/>
        <v>8536735.3387239091</v>
      </c>
      <c r="F57" s="1230">
        <f t="shared" si="7"/>
        <v>7970213.5555356098</v>
      </c>
      <c r="G57" s="1230">
        <f t="shared" si="7"/>
        <v>6056995.122024525</v>
      </c>
      <c r="H57" s="1294">
        <f t="shared" si="7"/>
        <v>5132797.5587417763</v>
      </c>
      <c r="I57" s="1230">
        <f t="shared" si="7"/>
        <v>0</v>
      </c>
      <c r="J57" s="1230">
        <f t="shared" si="7"/>
        <v>0</v>
      </c>
      <c r="K57" s="1230">
        <f t="shared" si="7"/>
        <v>0</v>
      </c>
      <c r="L57" s="1220">
        <f t="shared" si="7"/>
        <v>0</v>
      </c>
      <c r="M57" s="1229">
        <f t="shared" si="7"/>
        <v>0</v>
      </c>
      <c r="N57" s="1230">
        <f t="shared" si="7"/>
        <v>0</v>
      </c>
      <c r="O57" s="1230">
        <f t="shared" si="7"/>
        <v>0</v>
      </c>
      <c r="P57" s="1294">
        <f t="shared" si="7"/>
        <v>0</v>
      </c>
      <c r="Q57" s="1528">
        <f t="shared" si="7"/>
        <v>0</v>
      </c>
      <c r="R57" s="1230">
        <f t="shared" si="7"/>
        <v>0</v>
      </c>
      <c r="S57" s="1230">
        <f t="shared" si="7"/>
        <v>0</v>
      </c>
      <c r="T57" s="1231">
        <f t="shared" si="7"/>
        <v>0</v>
      </c>
      <c r="U57" s="1111"/>
    </row>
    <row r="58" spans="1:21" ht="14.4">
      <c r="A58" s="775" t="str">
        <f t="shared" si="6"/>
        <v>DWDM</v>
      </c>
      <c r="B58" s="755" t="str">
        <f t="shared" si="6"/>
        <v>2.5 Gbps</v>
      </c>
      <c r="C58" s="756" t="str">
        <f t="shared" si="6"/>
        <v>all</v>
      </c>
      <c r="D58" s="1083" t="str">
        <f t="shared" si="6"/>
        <v>SFP</v>
      </c>
      <c r="E58" s="1086">
        <f t="shared" si="7"/>
        <v>6731084.0000000009</v>
      </c>
      <c r="F58" s="243">
        <f t="shared" si="7"/>
        <v>4628081</v>
      </c>
      <c r="G58" s="243">
        <f t="shared" si="7"/>
        <v>1445402.0000000005</v>
      </c>
      <c r="H58" s="449">
        <f t="shared" si="7"/>
        <v>1712102.9999999986</v>
      </c>
      <c r="I58" s="243">
        <f t="shared" si="7"/>
        <v>0</v>
      </c>
      <c r="J58" s="243">
        <f t="shared" si="7"/>
        <v>0</v>
      </c>
      <c r="K58" s="243">
        <f t="shared" si="7"/>
        <v>0</v>
      </c>
      <c r="L58" s="449">
        <f t="shared" si="7"/>
        <v>0</v>
      </c>
      <c r="M58" s="243">
        <f t="shared" si="7"/>
        <v>0</v>
      </c>
      <c r="N58" s="243">
        <f t="shared" si="7"/>
        <v>0</v>
      </c>
      <c r="O58" s="243">
        <f t="shared" si="7"/>
        <v>0</v>
      </c>
      <c r="P58" s="448">
        <f t="shared" si="7"/>
        <v>0</v>
      </c>
      <c r="Q58" s="1740" t="s">
        <v>640</v>
      </c>
      <c r="R58" s="243"/>
      <c r="S58" s="243">
        <v>0</v>
      </c>
      <c r="T58" s="448">
        <v>0</v>
      </c>
      <c r="U58" s="1111"/>
    </row>
    <row r="59" spans="1:21" ht="14.4">
      <c r="A59" s="776" t="str">
        <f t="shared" si="6"/>
        <v>DWDM</v>
      </c>
      <c r="B59" s="748" t="str">
        <f t="shared" si="6"/>
        <v>10 Gbps fixed wavelength</v>
      </c>
      <c r="C59" s="210" t="str">
        <f t="shared" si="6"/>
        <v>all</v>
      </c>
      <c r="D59" s="1081" t="str">
        <f t="shared" si="6"/>
        <v>XFP</v>
      </c>
      <c r="E59" s="1087">
        <f t="shared" si="7"/>
        <v>10110202.977387818</v>
      </c>
      <c r="F59" s="222">
        <f t="shared" si="7"/>
        <v>9187893.6117284112</v>
      </c>
      <c r="G59" s="222">
        <f t="shared" si="7"/>
        <v>6955258.5600304566</v>
      </c>
      <c r="H59" s="449">
        <f t="shared" si="7"/>
        <v>6462500.3894254807</v>
      </c>
      <c r="I59" s="222">
        <f t="shared" si="7"/>
        <v>0</v>
      </c>
      <c r="J59" s="222">
        <f t="shared" si="7"/>
        <v>0</v>
      </c>
      <c r="K59" s="222">
        <f t="shared" si="7"/>
        <v>0</v>
      </c>
      <c r="L59" s="449">
        <f t="shared" si="7"/>
        <v>0</v>
      </c>
      <c r="M59" s="222">
        <f t="shared" si="7"/>
        <v>0</v>
      </c>
      <c r="N59" s="222">
        <f t="shared" si="7"/>
        <v>0</v>
      </c>
      <c r="O59" s="222">
        <f t="shared" si="7"/>
        <v>0</v>
      </c>
      <c r="P59" s="449">
        <f t="shared" si="7"/>
        <v>0</v>
      </c>
      <c r="Q59" s="222">
        <f t="shared" ref="Q59:T59" si="8">Q15*Q37</f>
        <v>0</v>
      </c>
      <c r="R59" s="222">
        <f t="shared" si="8"/>
        <v>0</v>
      </c>
      <c r="S59" s="222">
        <f t="shared" si="8"/>
        <v>0</v>
      </c>
      <c r="T59" s="449">
        <f t="shared" si="8"/>
        <v>0</v>
      </c>
      <c r="U59" s="1111"/>
    </row>
    <row r="60" spans="1:21" ht="14.4">
      <c r="A60" s="776" t="str">
        <f t="shared" si="6"/>
        <v>DWDM</v>
      </c>
      <c r="B60" s="748" t="str">
        <f t="shared" si="6"/>
        <v>10 Gbps fixed wavelength</v>
      </c>
      <c r="C60" s="210" t="str">
        <f t="shared" si="6"/>
        <v>all</v>
      </c>
      <c r="D60" s="1081" t="str">
        <f t="shared" si="6"/>
        <v>SFP+</v>
      </c>
      <c r="E60" s="1087">
        <f t="shared" si="7"/>
        <v>8938846.903802529</v>
      </c>
      <c r="F60" s="222">
        <f t="shared" si="7"/>
        <v>13591372.52098396</v>
      </c>
      <c r="G60" s="222">
        <f t="shared" si="7"/>
        <v>10871149.571090816</v>
      </c>
      <c r="H60" s="449">
        <f t="shared" si="7"/>
        <v>8022084.3765472844</v>
      </c>
      <c r="I60" s="222">
        <f t="shared" si="7"/>
        <v>0</v>
      </c>
      <c r="J60" s="222">
        <f t="shared" si="7"/>
        <v>0</v>
      </c>
      <c r="K60" s="222">
        <f t="shared" si="7"/>
        <v>0</v>
      </c>
      <c r="L60" s="449">
        <f t="shared" si="7"/>
        <v>0</v>
      </c>
      <c r="M60" s="222">
        <f t="shared" si="7"/>
        <v>0</v>
      </c>
      <c r="N60" s="222">
        <f t="shared" si="7"/>
        <v>0</v>
      </c>
      <c r="O60" s="222">
        <f t="shared" si="7"/>
        <v>0</v>
      </c>
      <c r="P60" s="449">
        <f t="shared" si="7"/>
        <v>0</v>
      </c>
      <c r="Q60" s="222">
        <f t="shared" ref="Q60:T60" si="9">Q16*Q38</f>
        <v>0</v>
      </c>
      <c r="R60" s="222">
        <f t="shared" si="9"/>
        <v>0</v>
      </c>
      <c r="S60" s="222">
        <f t="shared" si="9"/>
        <v>0</v>
      </c>
      <c r="T60" s="449">
        <f t="shared" si="9"/>
        <v>0</v>
      </c>
      <c r="U60" s="1111"/>
    </row>
    <row r="61" spans="1:21" ht="14.4">
      <c r="A61" s="776" t="str">
        <f t="shared" si="6"/>
        <v>DWDM</v>
      </c>
      <c r="B61" s="749" t="str">
        <f t="shared" si="6"/>
        <v>10 Gbps tunable wavelength</v>
      </c>
      <c r="C61" s="210" t="str">
        <f t="shared" si="6"/>
        <v>all</v>
      </c>
      <c r="D61" s="1084" t="str">
        <f t="shared" si="6"/>
        <v>XFP</v>
      </c>
      <c r="E61" s="1089">
        <f t="shared" si="7"/>
        <v>32257177.000000004</v>
      </c>
      <c r="F61" s="251">
        <f t="shared" si="7"/>
        <v>23892114.000000004</v>
      </c>
      <c r="G61" s="251">
        <f t="shared" si="7"/>
        <v>25378006.000000007</v>
      </c>
      <c r="H61" s="449">
        <f t="shared" si="7"/>
        <v>23104565.000000004</v>
      </c>
      <c r="I61" s="251">
        <f t="shared" si="7"/>
        <v>0</v>
      </c>
      <c r="J61" s="251">
        <f t="shared" si="7"/>
        <v>0</v>
      </c>
      <c r="K61" s="251">
        <f t="shared" si="7"/>
        <v>0</v>
      </c>
      <c r="L61" s="449">
        <f t="shared" si="7"/>
        <v>0</v>
      </c>
      <c r="M61" s="251">
        <f t="shared" si="7"/>
        <v>0</v>
      </c>
      <c r="N61" s="222">
        <f t="shared" si="7"/>
        <v>0</v>
      </c>
      <c r="O61" s="251">
        <f t="shared" si="7"/>
        <v>0</v>
      </c>
      <c r="P61" s="449">
        <f t="shared" si="7"/>
        <v>0</v>
      </c>
      <c r="Q61" s="251">
        <f t="shared" ref="Q61:T61" si="10">Q17*Q39</f>
        <v>0</v>
      </c>
      <c r="R61" s="222">
        <f t="shared" si="10"/>
        <v>0</v>
      </c>
      <c r="S61" s="251">
        <f t="shared" si="10"/>
        <v>0</v>
      </c>
      <c r="T61" s="449">
        <f t="shared" si="10"/>
        <v>0</v>
      </c>
      <c r="U61" s="1111"/>
    </row>
    <row r="62" spans="1:21" ht="14.4">
      <c r="A62" s="776" t="str">
        <f t="shared" si="6"/>
        <v>DWDM</v>
      </c>
      <c r="B62" s="749" t="str">
        <f t="shared" si="6"/>
        <v>10 Gbps tunable wavelength</v>
      </c>
      <c r="C62" s="210" t="str">
        <f t="shared" si="6"/>
        <v>all</v>
      </c>
      <c r="D62" s="1084" t="str">
        <f t="shared" si="6"/>
        <v>SFP+</v>
      </c>
      <c r="E62" s="1087">
        <f t="shared" si="7"/>
        <v>10577202</v>
      </c>
      <c r="F62" s="222">
        <f t="shared" si="7"/>
        <v>14484631</v>
      </c>
      <c r="G62" s="222">
        <f t="shared" si="7"/>
        <v>13765566</v>
      </c>
      <c r="H62" s="449">
        <f t="shared" si="7"/>
        <v>14223472</v>
      </c>
      <c r="I62" s="222">
        <f t="shared" si="7"/>
        <v>0</v>
      </c>
      <c r="J62" s="222">
        <f t="shared" si="7"/>
        <v>0</v>
      </c>
      <c r="K62" s="222">
        <f t="shared" si="7"/>
        <v>0</v>
      </c>
      <c r="L62" s="449">
        <f t="shared" si="7"/>
        <v>0</v>
      </c>
      <c r="M62" s="222">
        <f t="shared" si="7"/>
        <v>0</v>
      </c>
      <c r="N62" s="222">
        <f t="shared" si="7"/>
        <v>0</v>
      </c>
      <c r="O62" s="222">
        <f t="shared" si="7"/>
        <v>0</v>
      </c>
      <c r="P62" s="449">
        <f t="shared" si="7"/>
        <v>0</v>
      </c>
      <c r="Q62" s="222">
        <f t="shared" ref="Q62:T62" si="11">Q18*Q40</f>
        <v>0</v>
      </c>
      <c r="R62" s="222">
        <f t="shared" si="11"/>
        <v>0</v>
      </c>
      <c r="S62" s="222">
        <f t="shared" si="11"/>
        <v>0</v>
      </c>
      <c r="T62" s="449">
        <f t="shared" si="11"/>
        <v>0</v>
      </c>
      <c r="U62" s="1111"/>
    </row>
    <row r="63" spans="1:21" ht="14.4">
      <c r="A63" s="776" t="str">
        <f t="shared" si="6"/>
        <v>DWDM</v>
      </c>
      <c r="B63" s="751" t="str">
        <f t="shared" si="6"/>
        <v>40 Gbps</v>
      </c>
      <c r="C63" s="739" t="str">
        <f t="shared" si="6"/>
        <v>all</v>
      </c>
      <c r="D63" s="1085" t="str">
        <f t="shared" si="6"/>
        <v>all</v>
      </c>
      <c r="E63" s="1087">
        <f t="shared" si="7"/>
        <v>1856000</v>
      </c>
      <c r="F63" s="222">
        <f t="shared" si="7"/>
        <v>390000</v>
      </c>
      <c r="G63" s="222">
        <f t="shared" si="7"/>
        <v>0</v>
      </c>
      <c r="H63" s="449">
        <f t="shared" si="7"/>
        <v>0</v>
      </c>
      <c r="I63" s="222">
        <f t="shared" si="7"/>
        <v>0</v>
      </c>
      <c r="J63" s="222">
        <f t="shared" si="7"/>
        <v>0</v>
      </c>
      <c r="K63" s="222">
        <f t="shared" si="7"/>
        <v>0</v>
      </c>
      <c r="L63" s="449">
        <f t="shared" si="7"/>
        <v>0</v>
      </c>
      <c r="M63" s="222">
        <f t="shared" si="7"/>
        <v>0</v>
      </c>
      <c r="N63" s="222">
        <f t="shared" si="7"/>
        <v>0</v>
      </c>
      <c r="O63" s="222">
        <f t="shared" si="7"/>
        <v>0</v>
      </c>
      <c r="P63" s="449">
        <f t="shared" si="7"/>
        <v>0</v>
      </c>
      <c r="Q63" s="222">
        <f t="shared" ref="Q63:T63" si="12">Q19*Q41</f>
        <v>0</v>
      </c>
      <c r="R63" s="222">
        <f t="shared" si="12"/>
        <v>0</v>
      </c>
      <c r="S63" s="222">
        <f t="shared" si="12"/>
        <v>0</v>
      </c>
      <c r="T63" s="449">
        <f t="shared" si="12"/>
        <v>0</v>
      </c>
      <c r="U63" s="1111"/>
    </row>
    <row r="64" spans="1:21" ht="14.4">
      <c r="A64" s="776" t="str">
        <f t="shared" si="6"/>
        <v>DWDM</v>
      </c>
      <c r="B64" s="753" t="str">
        <f t="shared" si="6"/>
        <v>100 Gbps and above</v>
      </c>
      <c r="C64" s="739" t="str">
        <f t="shared" si="6"/>
        <v>all</v>
      </c>
      <c r="D64" s="435" t="str">
        <f t="shared" si="6"/>
        <v>On Board</v>
      </c>
      <c r="E64" s="1090">
        <f t="shared" si="7"/>
        <v>43050000</v>
      </c>
      <c r="F64" s="281">
        <f t="shared" si="7"/>
        <v>36050000</v>
      </c>
      <c r="G64" s="281">
        <f t="shared" si="7"/>
        <v>33750000</v>
      </c>
      <c r="H64" s="449">
        <f t="shared" si="7"/>
        <v>40700000</v>
      </c>
      <c r="I64" s="281">
        <f t="shared" si="7"/>
        <v>0</v>
      </c>
      <c r="J64" s="281">
        <f t="shared" si="7"/>
        <v>0</v>
      </c>
      <c r="K64" s="281">
        <f t="shared" si="7"/>
        <v>0</v>
      </c>
      <c r="L64" s="449">
        <f t="shared" si="7"/>
        <v>0</v>
      </c>
      <c r="M64" s="281">
        <f t="shared" si="7"/>
        <v>0</v>
      </c>
      <c r="N64" s="222">
        <f t="shared" si="7"/>
        <v>0</v>
      </c>
      <c r="O64" s="281">
        <f t="shared" si="7"/>
        <v>0</v>
      </c>
      <c r="P64" s="449">
        <f t="shared" si="7"/>
        <v>0</v>
      </c>
      <c r="Q64" s="281">
        <f t="shared" ref="Q64:T64" si="13">Q20*Q42</f>
        <v>0</v>
      </c>
      <c r="R64" s="222">
        <f t="shared" si="13"/>
        <v>0</v>
      </c>
      <c r="S64" s="281">
        <f t="shared" si="13"/>
        <v>0</v>
      </c>
      <c r="T64" s="449">
        <f t="shared" si="13"/>
        <v>0</v>
      </c>
      <c r="U64" s="1111"/>
    </row>
    <row r="65" spans="1:21" ht="14.4">
      <c r="A65" s="776" t="str">
        <f t="shared" si="6"/>
        <v>DWDM</v>
      </c>
      <c r="B65" s="753" t="str">
        <f t="shared" si="6"/>
        <v>100 Gbps</v>
      </c>
      <c r="C65" s="739" t="str">
        <f t="shared" si="6"/>
        <v>all</v>
      </c>
      <c r="D65" s="435" t="str">
        <f t="shared" si="6"/>
        <v>Direct detect</v>
      </c>
      <c r="E65" s="1090">
        <f t="shared" si="7"/>
        <v>14567430</v>
      </c>
      <c r="F65" s="281">
        <f t="shared" si="7"/>
        <v>22924680</v>
      </c>
      <c r="G65" s="281">
        <f t="shared" si="7"/>
        <v>30799480</v>
      </c>
      <c r="H65" s="449">
        <f t="shared" si="7"/>
        <v>30314640</v>
      </c>
      <c r="I65" s="281">
        <f t="shared" si="7"/>
        <v>0</v>
      </c>
      <c r="J65" s="281">
        <f t="shared" si="7"/>
        <v>0</v>
      </c>
      <c r="K65" s="281">
        <f t="shared" si="7"/>
        <v>0</v>
      </c>
      <c r="L65" s="449">
        <f t="shared" si="7"/>
        <v>0</v>
      </c>
      <c r="M65" s="281">
        <f t="shared" si="7"/>
        <v>0</v>
      </c>
      <c r="N65" s="222">
        <f t="shared" si="7"/>
        <v>0</v>
      </c>
      <c r="O65" s="281">
        <f t="shared" si="7"/>
        <v>0</v>
      </c>
      <c r="P65" s="449">
        <f t="shared" si="7"/>
        <v>0</v>
      </c>
      <c r="Q65" s="281">
        <f t="shared" ref="Q65:T65" si="14">Q21*Q43</f>
        <v>0</v>
      </c>
      <c r="R65" s="222">
        <f t="shared" si="14"/>
        <v>0</v>
      </c>
      <c r="S65" s="281">
        <f t="shared" si="14"/>
        <v>0</v>
      </c>
      <c r="T65" s="449">
        <f t="shared" si="14"/>
        <v>0</v>
      </c>
      <c r="U65" s="1111"/>
    </row>
    <row r="66" spans="1:21" ht="14.4">
      <c r="A66" s="776" t="str">
        <f t="shared" si="6"/>
        <v>DWDM</v>
      </c>
      <c r="B66" s="753" t="str">
        <f t="shared" si="6"/>
        <v>100 Gbps and above</v>
      </c>
      <c r="C66" s="739" t="str">
        <f t="shared" si="6"/>
        <v>all</v>
      </c>
      <c r="D66" s="435" t="str">
        <f t="shared" si="6"/>
        <v>CFP/CFP2 DCO</v>
      </c>
      <c r="E66" s="1090">
        <f t="shared" si="7"/>
        <v>61800000</v>
      </c>
      <c r="F66" s="281">
        <f t="shared" si="7"/>
        <v>38950000</v>
      </c>
      <c r="G66" s="281">
        <f t="shared" si="7"/>
        <v>51350000</v>
      </c>
      <c r="H66" s="449">
        <f t="shared" si="7"/>
        <v>37050000</v>
      </c>
      <c r="I66" s="281">
        <f t="shared" si="7"/>
        <v>0</v>
      </c>
      <c r="J66" s="281">
        <f t="shared" si="7"/>
        <v>0</v>
      </c>
      <c r="K66" s="281">
        <f t="shared" si="7"/>
        <v>0</v>
      </c>
      <c r="L66" s="449">
        <f t="shared" si="7"/>
        <v>0</v>
      </c>
      <c r="M66" s="281">
        <f t="shared" si="7"/>
        <v>0</v>
      </c>
      <c r="N66" s="222">
        <f t="shared" si="7"/>
        <v>0</v>
      </c>
      <c r="O66" s="281">
        <f t="shared" si="7"/>
        <v>0</v>
      </c>
      <c r="P66" s="449">
        <f t="shared" si="7"/>
        <v>0</v>
      </c>
      <c r="Q66" s="281">
        <f t="shared" ref="Q66:T66" si="15">Q22*Q44</f>
        <v>0</v>
      </c>
      <c r="R66" s="222">
        <f t="shared" si="15"/>
        <v>0</v>
      </c>
      <c r="S66" s="281">
        <f t="shared" si="15"/>
        <v>0</v>
      </c>
      <c r="T66" s="449">
        <f t="shared" si="15"/>
        <v>0</v>
      </c>
      <c r="U66" s="1111"/>
    </row>
    <row r="67" spans="1:21" ht="14.4">
      <c r="A67" s="776" t="str">
        <f t="shared" si="6"/>
        <v>DWDM</v>
      </c>
      <c r="B67" s="753" t="str">
        <f t="shared" si="6"/>
        <v>100 Gbps and above</v>
      </c>
      <c r="C67" s="739" t="str">
        <f t="shared" si="6"/>
        <v>all</v>
      </c>
      <c r="D67" s="435" t="str">
        <f t="shared" si="6"/>
        <v>CFP2 ACO</v>
      </c>
      <c r="E67" s="1090">
        <f t="shared" si="7"/>
        <v>65453350</v>
      </c>
      <c r="F67" s="281">
        <f t="shared" si="7"/>
        <v>78426700</v>
      </c>
      <c r="G67" s="281">
        <f t="shared" si="7"/>
        <v>58837057</v>
      </c>
      <c r="H67" s="449">
        <f t="shared" si="7"/>
        <v>46445622</v>
      </c>
      <c r="I67" s="281">
        <f t="shared" si="7"/>
        <v>0</v>
      </c>
      <c r="J67" s="281">
        <f t="shared" si="7"/>
        <v>0</v>
      </c>
      <c r="K67" s="281">
        <f t="shared" si="7"/>
        <v>0</v>
      </c>
      <c r="L67" s="449">
        <f t="shared" si="7"/>
        <v>0</v>
      </c>
      <c r="M67" s="281">
        <f t="shared" si="7"/>
        <v>0</v>
      </c>
      <c r="N67" s="222">
        <f t="shared" si="7"/>
        <v>0</v>
      </c>
      <c r="O67" s="281">
        <f t="shared" si="7"/>
        <v>0</v>
      </c>
      <c r="P67" s="449">
        <f t="shared" si="7"/>
        <v>0</v>
      </c>
      <c r="Q67" s="281">
        <f t="shared" ref="Q67:T67" si="16">Q23*Q45</f>
        <v>0</v>
      </c>
      <c r="R67" s="222">
        <f t="shared" si="16"/>
        <v>0</v>
      </c>
      <c r="S67" s="281">
        <f t="shared" si="16"/>
        <v>0</v>
      </c>
      <c r="T67" s="449">
        <f t="shared" si="16"/>
        <v>0</v>
      </c>
      <c r="U67" s="1111"/>
    </row>
    <row r="68" spans="1:21" ht="14.4">
      <c r="A68" s="776" t="str">
        <f t="shared" si="6"/>
        <v>DWDM</v>
      </c>
      <c r="B68" s="753" t="str">
        <f t="shared" si="6"/>
        <v>100 Gbps and above</v>
      </c>
      <c r="C68" s="739" t="str">
        <f t="shared" si="6"/>
        <v>all</v>
      </c>
      <c r="D68" s="435" t="str">
        <f t="shared" si="6"/>
        <v>ZR &amp; ZR+</v>
      </c>
      <c r="E68" s="1295"/>
      <c r="F68" s="1232"/>
      <c r="G68" s="1232"/>
      <c r="H68" s="1296"/>
      <c r="I68" s="1232"/>
      <c r="J68" s="1232"/>
      <c r="K68" s="1232"/>
      <c r="L68" s="1296"/>
      <c r="M68" s="1232"/>
      <c r="N68" s="1306"/>
      <c r="O68" s="1233"/>
      <c r="P68" s="1296"/>
      <c r="Q68" s="1232">
        <f t="shared" ref="Q68:T68" si="17">Q24*Q46</f>
        <v>0</v>
      </c>
      <c r="R68" s="222">
        <f t="shared" si="17"/>
        <v>0</v>
      </c>
      <c r="S68" s="281">
        <f t="shared" si="17"/>
        <v>0</v>
      </c>
      <c r="T68" s="449">
        <f t="shared" si="17"/>
        <v>0</v>
      </c>
      <c r="U68" s="1111"/>
    </row>
    <row r="69" spans="1:21" ht="15" thickBot="1">
      <c r="A69" s="1290" t="str">
        <f>A25</f>
        <v>DWDM</v>
      </c>
      <c r="B69" s="1860" t="str">
        <f>B25</f>
        <v>Miscellaneous</v>
      </c>
      <c r="C69" s="1860"/>
      <c r="D69" s="1861"/>
      <c r="E69" s="1091">
        <f t="shared" ref="E69:T69" si="18">E25*E47</f>
        <v>879955</v>
      </c>
      <c r="F69" s="762">
        <f t="shared" si="18"/>
        <v>692878.00000000012</v>
      </c>
      <c r="G69" s="762">
        <f t="shared" si="18"/>
        <v>735297.00000000012</v>
      </c>
      <c r="H69" s="763">
        <f t="shared" si="18"/>
        <v>374948.00000000006</v>
      </c>
      <c r="I69" s="762">
        <f t="shared" si="18"/>
        <v>0</v>
      </c>
      <c r="J69" s="762">
        <f t="shared" si="18"/>
        <v>0</v>
      </c>
      <c r="K69" s="762">
        <f t="shared" si="18"/>
        <v>0</v>
      </c>
      <c r="L69" s="763">
        <f t="shared" si="18"/>
        <v>0</v>
      </c>
      <c r="M69" s="1232">
        <f t="shared" si="18"/>
        <v>0</v>
      </c>
      <c r="N69" s="1233">
        <f t="shared" si="18"/>
        <v>0</v>
      </c>
      <c r="O69" s="1233">
        <f t="shared" si="18"/>
        <v>0</v>
      </c>
      <c r="P69" s="1234">
        <f t="shared" si="18"/>
        <v>0</v>
      </c>
      <c r="Q69" s="1232">
        <f t="shared" si="18"/>
        <v>0</v>
      </c>
      <c r="R69" s="1233">
        <f t="shared" si="18"/>
        <v>0</v>
      </c>
      <c r="S69" s="1233">
        <f t="shared" si="18"/>
        <v>0</v>
      </c>
      <c r="T69" s="1234">
        <f t="shared" si="18"/>
        <v>0</v>
      </c>
      <c r="U69" s="1111"/>
    </row>
    <row r="70" spans="1:21" ht="13.8" thickBot="1">
      <c r="A70" s="777" t="str">
        <f>A48</f>
        <v>Total CWDM/DWDM</v>
      </c>
      <c r="B70" s="535"/>
      <c r="C70" s="535"/>
      <c r="D70" s="535"/>
      <c r="E70" s="1298">
        <f t="shared" ref="E70:Q70" si="19">SUM(E53:E69)</f>
        <v>270204888.43130696</v>
      </c>
      <c r="F70" s="1299">
        <f t="shared" si="19"/>
        <v>256627957.90709928</v>
      </c>
      <c r="G70" s="1299">
        <f t="shared" si="19"/>
        <v>243357202.25314581</v>
      </c>
      <c r="H70" s="1300">
        <f t="shared" si="19"/>
        <v>217886311.32471454</v>
      </c>
      <c r="I70" s="1299">
        <f t="shared" si="19"/>
        <v>0</v>
      </c>
      <c r="J70" s="1299">
        <f t="shared" si="19"/>
        <v>0</v>
      </c>
      <c r="K70" s="1299">
        <f t="shared" si="19"/>
        <v>0</v>
      </c>
      <c r="L70" s="1301">
        <f t="shared" si="19"/>
        <v>0</v>
      </c>
      <c r="M70" s="1302">
        <f t="shared" si="19"/>
        <v>0</v>
      </c>
      <c r="N70" s="1304">
        <f t="shared" si="19"/>
        <v>0</v>
      </c>
      <c r="O70" s="1304">
        <f t="shared" si="19"/>
        <v>0</v>
      </c>
      <c r="P70" s="1307">
        <f t="shared" si="19"/>
        <v>0</v>
      </c>
      <c r="Q70" s="1302">
        <f t="shared" si="19"/>
        <v>0</v>
      </c>
      <c r="R70" s="1304">
        <f>SUM(R53:R69)</f>
        <v>0</v>
      </c>
      <c r="S70" s="1304">
        <f t="shared" ref="S70:T70" si="20">SUM(S53:S69)</f>
        <v>0</v>
      </c>
      <c r="T70" s="1307">
        <f t="shared" si="20"/>
        <v>0</v>
      </c>
      <c r="U70" s="1111"/>
    </row>
    <row r="72" spans="1:21">
      <c r="L72" s="1308"/>
      <c r="P72" s="1308"/>
      <c r="Q72" s="1308"/>
      <c r="R72" s="1308"/>
      <c r="S72" s="1308"/>
      <c r="T72" s="1308"/>
    </row>
    <row r="73" spans="1:21">
      <c r="P73" s="133"/>
      <c r="Q73" s="133"/>
      <c r="R73" s="133"/>
      <c r="S73" s="133"/>
      <c r="T73" s="133"/>
    </row>
    <row r="74" spans="1:21">
      <c r="Q74" s="133"/>
      <c r="R74" s="133"/>
      <c r="S74" s="133"/>
      <c r="T74" s="133"/>
    </row>
  </sheetData>
  <mergeCells count="6">
    <mergeCell ref="B69:D69"/>
    <mergeCell ref="B25:D25"/>
    <mergeCell ref="B47:D47"/>
    <mergeCell ref="S7:T7"/>
    <mergeCell ref="S29:T29"/>
    <mergeCell ref="S51:T51"/>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G213"/>
  <sheetViews>
    <sheetView showGridLines="0" zoomScale="70" zoomScaleNormal="70" zoomScalePageLayoutView="80" workbookViewId="0">
      <pane xSplit="4" ySplit="7" topLeftCell="E8" activePane="bottomRight" state="frozen"/>
      <selection pane="topRight" activeCell="E1" sqref="E1"/>
      <selection pane="bottomLeft" activeCell="A8" sqref="A8"/>
      <selection pane="bottomRight" activeCell="A4" sqref="A4"/>
    </sheetView>
  </sheetViews>
  <sheetFormatPr defaultColWidth="11.44140625" defaultRowHeight="13.2"/>
  <cols>
    <col min="1" max="1" width="18.21875" style="45" customWidth="1"/>
    <col min="2" max="2" width="26.44140625" style="45" customWidth="1"/>
    <col min="3" max="3" width="12.44140625" style="45" customWidth="1"/>
    <col min="4" max="4" width="15.6640625" style="45" customWidth="1"/>
    <col min="5" max="11" width="14.21875" style="45" customWidth="1"/>
    <col min="12" max="12" width="15.21875" style="45" customWidth="1"/>
    <col min="13" max="13" width="14.21875" style="45" customWidth="1"/>
    <col min="14" max="14" width="16" style="45" customWidth="1"/>
    <col min="15" max="15" width="14.21875" style="45" customWidth="1"/>
    <col min="16" max="16" width="15.21875" style="45" customWidth="1"/>
    <col min="17" max="20" width="14.21875" style="45" customWidth="1"/>
    <col min="21" max="24" width="13.33203125" style="45" customWidth="1"/>
    <col min="25" max="25" width="15" style="45" customWidth="1"/>
    <col min="26" max="27" width="13.33203125" style="45" customWidth="1"/>
    <col min="28" max="28" width="13.33203125" bestFit="1" customWidth="1"/>
    <col min="29" max="36" width="11.44140625" style="45"/>
    <col min="37" max="40" width="11.44140625" style="45" customWidth="1"/>
    <col min="41" max="16384" width="11.44140625" style="45"/>
  </cols>
  <sheetData>
    <row r="1" spans="1:27" ht="24.45" customHeight="1">
      <c r="A1" s="136" t="str">
        <f>Introduction!$B$1</f>
        <v xml:space="preserve">Vendor Survey Results through Q4 2021 </v>
      </c>
    </row>
    <row r="2" spans="1:27" ht="17.55" customHeight="1">
      <c r="A2" s="388" t="str">
        <f>Introduction!$B$2</f>
        <v>Sample template as of March 2022</v>
      </c>
    </row>
    <row r="3" spans="1:27" ht="25.05" customHeight="1">
      <c r="A3" s="825" t="s">
        <v>387</v>
      </c>
      <c r="I3" s="14"/>
      <c r="J3" s="14"/>
      <c r="K3" s="14"/>
      <c r="M3" s="14"/>
    </row>
    <row r="5" spans="1:27" ht="15" customHeight="1" thickBot="1">
      <c r="A5" s="1864"/>
      <c r="B5" s="1864"/>
      <c r="C5" s="1864"/>
      <c r="D5" s="1864"/>
      <c r="G5"/>
      <c r="H5"/>
      <c r="I5"/>
      <c r="J5"/>
      <c r="K5"/>
      <c r="L5"/>
      <c r="M5"/>
      <c r="N5"/>
      <c r="O5"/>
      <c r="P5"/>
      <c r="Q5" s="1115"/>
      <c r="R5" s="14"/>
      <c r="S5" s="1115"/>
      <c r="T5" s="14"/>
      <c r="U5"/>
      <c r="V5"/>
      <c r="W5"/>
      <c r="X5"/>
      <c r="Y5"/>
      <c r="Z5"/>
      <c r="AA5"/>
    </row>
    <row r="6" spans="1:27" ht="16.2" thickBot="1">
      <c r="A6" s="840" t="str">
        <f>A3</f>
        <v>Ethernet  transceivers</v>
      </c>
      <c r="I6" s="803" t="s">
        <v>209</v>
      </c>
      <c r="O6" s="1236" t="str">
        <f>I6</f>
        <v>Shipments: Actual Data</v>
      </c>
      <c r="Q6"/>
      <c r="R6"/>
      <c r="S6" s="1862" t="s">
        <v>352</v>
      </c>
      <c r="T6" s="1863"/>
    </row>
    <row r="7" spans="1:27" ht="13.8" thickBot="1">
      <c r="A7" s="791" t="s">
        <v>211</v>
      </c>
      <c r="B7" s="780" t="s">
        <v>230</v>
      </c>
      <c r="C7" s="780" t="s">
        <v>224</v>
      </c>
      <c r="D7" s="616" t="s">
        <v>225</v>
      </c>
      <c r="E7" s="798" t="s">
        <v>130</v>
      </c>
      <c r="F7" s="771" t="s">
        <v>131</v>
      </c>
      <c r="G7" s="770" t="s">
        <v>132</v>
      </c>
      <c r="H7" s="771" t="s">
        <v>133</v>
      </c>
      <c r="I7" s="798" t="s">
        <v>134</v>
      </c>
      <c r="J7" s="771" t="s">
        <v>135</v>
      </c>
      <c r="K7" s="770" t="s">
        <v>136</v>
      </c>
      <c r="L7" s="1174" t="s">
        <v>137</v>
      </c>
      <c r="M7" s="143" t="s">
        <v>138</v>
      </c>
      <c r="N7" s="144" t="s">
        <v>139</v>
      </c>
      <c r="O7" s="143" t="s">
        <v>140</v>
      </c>
      <c r="P7" s="152" t="s">
        <v>141</v>
      </c>
      <c r="Q7" s="143" t="s">
        <v>142</v>
      </c>
      <c r="R7" s="152" t="s">
        <v>143</v>
      </c>
      <c r="S7" s="774" t="s">
        <v>621</v>
      </c>
      <c r="T7" s="774" t="s">
        <v>622</v>
      </c>
    </row>
    <row r="8" spans="1:27" s="72" customFormat="1" ht="18.45" customHeight="1" thickBot="1">
      <c r="A8" s="826" t="s">
        <v>232</v>
      </c>
      <c r="B8" s="826" t="s">
        <v>233</v>
      </c>
      <c r="C8" s="826" t="s">
        <v>234</v>
      </c>
      <c r="D8" s="826" t="s">
        <v>235</v>
      </c>
      <c r="E8" s="815">
        <v>724224</v>
      </c>
      <c r="F8" s="659">
        <v>787652</v>
      </c>
      <c r="G8" s="660">
        <v>580510</v>
      </c>
      <c r="H8" s="661">
        <v>568314</v>
      </c>
      <c r="I8" s="815"/>
      <c r="J8" s="661"/>
      <c r="K8" s="937"/>
      <c r="L8" s="1175"/>
      <c r="M8" s="1176"/>
      <c r="N8" s="938"/>
      <c r="O8" s="937"/>
      <c r="P8" s="1177"/>
      <c r="Q8" s="1176"/>
      <c r="R8" s="938"/>
      <c r="S8" s="937"/>
      <c r="T8" s="1177"/>
    </row>
    <row r="9" spans="1:27" s="72" customFormat="1" ht="12.45" customHeight="1">
      <c r="A9" s="1309" t="s">
        <v>469</v>
      </c>
      <c r="B9" s="211" t="s">
        <v>468</v>
      </c>
      <c r="C9" s="211" t="s">
        <v>236</v>
      </c>
      <c r="D9" s="211" t="s">
        <v>227</v>
      </c>
      <c r="E9" s="817">
        <v>1007260</v>
      </c>
      <c r="F9" s="195">
        <v>1009575</v>
      </c>
      <c r="G9" s="233">
        <v>1116275</v>
      </c>
      <c r="H9" s="207">
        <v>1145374</v>
      </c>
      <c r="I9" s="817"/>
      <c r="J9" s="195"/>
      <c r="K9" s="939"/>
      <c r="L9" s="1162"/>
      <c r="M9" s="1178"/>
      <c r="N9" s="964"/>
      <c r="O9" s="964"/>
      <c r="P9" s="962"/>
      <c r="Q9" s="1751"/>
      <c r="R9" s="457"/>
      <c r="S9" s="457"/>
      <c r="T9" s="458"/>
    </row>
    <row r="10" spans="1:27" s="72" customFormat="1" ht="12.45" customHeight="1">
      <c r="A10" s="1309" t="s">
        <v>469</v>
      </c>
      <c r="B10" s="211" t="s">
        <v>468</v>
      </c>
      <c r="C10" s="211" t="s">
        <v>237</v>
      </c>
      <c r="D10" s="211" t="s">
        <v>227</v>
      </c>
      <c r="E10" s="817">
        <v>1388426</v>
      </c>
      <c r="F10" s="195">
        <v>1452496</v>
      </c>
      <c r="G10" s="233">
        <v>1617700</v>
      </c>
      <c r="H10" s="207">
        <v>1953529</v>
      </c>
      <c r="I10" s="817"/>
      <c r="J10" s="195"/>
      <c r="K10" s="939"/>
      <c r="L10" s="1162"/>
      <c r="M10" s="1179"/>
      <c r="N10" s="939"/>
      <c r="O10" s="939"/>
      <c r="P10" s="963"/>
      <c r="Q10" s="1752"/>
      <c r="R10" s="233"/>
      <c r="S10" s="233"/>
      <c r="T10" s="459"/>
    </row>
    <row r="11" spans="1:27" s="72" customFormat="1" ht="12.45" customHeight="1">
      <c r="A11" s="1309" t="s">
        <v>469</v>
      </c>
      <c r="B11" s="211" t="s">
        <v>468</v>
      </c>
      <c r="C11" s="211" t="s">
        <v>238</v>
      </c>
      <c r="D11" s="211" t="s">
        <v>227</v>
      </c>
      <c r="E11" s="817">
        <v>193741</v>
      </c>
      <c r="F11" s="195">
        <v>220325</v>
      </c>
      <c r="G11" s="233">
        <v>160264</v>
      </c>
      <c r="H11" s="207">
        <v>160286</v>
      </c>
      <c r="I11" s="817"/>
      <c r="J11" s="195"/>
      <c r="K11" s="939"/>
      <c r="L11" s="1162"/>
      <c r="M11" s="1179"/>
      <c r="N11" s="939"/>
      <c r="O11" s="939"/>
      <c r="P11" s="963"/>
      <c r="Q11" s="1752"/>
      <c r="R11" s="233"/>
      <c r="S11" s="233"/>
      <c r="T11" s="459"/>
    </row>
    <row r="12" spans="1:27" s="72" customFormat="1" ht="12.45" customHeight="1" thickBot="1">
      <c r="A12" s="1310" t="s">
        <v>469</v>
      </c>
      <c r="B12" s="439" t="s">
        <v>468</v>
      </c>
      <c r="C12" s="439" t="s">
        <v>239</v>
      </c>
      <c r="D12" s="439" t="s">
        <v>227</v>
      </c>
      <c r="E12" s="818">
        <v>118832</v>
      </c>
      <c r="F12" s="831">
        <v>138584</v>
      </c>
      <c r="G12" s="833">
        <v>105261</v>
      </c>
      <c r="H12" s="601">
        <v>96278</v>
      </c>
      <c r="I12" s="818"/>
      <c r="J12" s="831"/>
      <c r="K12" s="940"/>
      <c r="L12" s="1163"/>
      <c r="M12" s="1185"/>
      <c r="N12" s="689"/>
      <c r="O12" s="689"/>
      <c r="P12" s="961"/>
      <c r="Q12" s="1753"/>
      <c r="R12" s="455"/>
      <c r="S12" s="455"/>
      <c r="T12" s="456"/>
    </row>
    <row r="13" spans="1:27" s="72" customFormat="1" ht="12.45" customHeight="1">
      <c r="A13" s="1311" t="s">
        <v>240</v>
      </c>
      <c r="B13" s="784" t="s">
        <v>241</v>
      </c>
      <c r="C13" s="784" t="s">
        <v>242</v>
      </c>
      <c r="D13" s="193" t="s">
        <v>243</v>
      </c>
      <c r="E13" s="816">
        <v>4818</v>
      </c>
      <c r="F13" s="203">
        <v>5263</v>
      </c>
      <c r="G13" s="460">
        <v>3475</v>
      </c>
      <c r="H13" s="600">
        <v>3143</v>
      </c>
      <c r="I13" s="816"/>
      <c r="J13" s="203"/>
      <c r="K13" s="941"/>
      <c r="L13" s="1164"/>
      <c r="M13" s="1178"/>
      <c r="N13" s="964"/>
      <c r="O13" s="964"/>
      <c r="P13" s="962"/>
      <c r="Q13" s="1751"/>
      <c r="R13" s="457"/>
      <c r="S13" s="457"/>
      <c r="T13" s="458"/>
    </row>
    <row r="14" spans="1:27" s="72" customFormat="1" ht="12.45" customHeight="1">
      <c r="A14" s="1311" t="s">
        <v>240</v>
      </c>
      <c r="B14" s="784" t="s">
        <v>241</v>
      </c>
      <c r="C14" s="784" t="s">
        <v>242</v>
      </c>
      <c r="D14" s="193" t="s">
        <v>228</v>
      </c>
      <c r="E14" s="817">
        <v>20554</v>
      </c>
      <c r="F14" s="195">
        <v>23993</v>
      </c>
      <c r="G14" s="233">
        <v>19885</v>
      </c>
      <c r="H14" s="207">
        <v>19150</v>
      </c>
      <c r="I14" s="817"/>
      <c r="J14" s="195"/>
      <c r="K14" s="939"/>
      <c r="L14" s="1162"/>
      <c r="M14" s="1179"/>
      <c r="N14" s="939"/>
      <c r="O14" s="939"/>
      <c r="P14" s="963"/>
      <c r="Q14" s="1752"/>
      <c r="R14" s="233"/>
      <c r="S14" s="233"/>
      <c r="T14" s="459"/>
    </row>
    <row r="15" spans="1:27" s="72" customFormat="1" ht="12.45" customHeight="1">
      <c r="A15" s="1311" t="s">
        <v>240</v>
      </c>
      <c r="B15" s="784" t="s">
        <v>241</v>
      </c>
      <c r="C15" s="784" t="s">
        <v>242</v>
      </c>
      <c r="D15" s="193" t="s">
        <v>369</v>
      </c>
      <c r="E15" s="817">
        <v>2256634</v>
      </c>
      <c r="F15" s="195">
        <v>2175363</v>
      </c>
      <c r="G15" s="233">
        <v>2126752</v>
      </c>
      <c r="H15" s="207">
        <v>1780375</v>
      </c>
      <c r="I15" s="817"/>
      <c r="J15" s="195"/>
      <c r="K15" s="939"/>
      <c r="L15" s="1162"/>
      <c r="M15" s="1179"/>
      <c r="N15" s="939"/>
      <c r="O15" s="939"/>
      <c r="P15" s="963"/>
      <c r="Q15" s="1752"/>
      <c r="R15" s="233"/>
      <c r="S15" s="233"/>
      <c r="T15" s="459"/>
    </row>
    <row r="16" spans="1:27" s="72" customFormat="1" ht="12.45" customHeight="1">
      <c r="A16" s="1311" t="s">
        <v>240</v>
      </c>
      <c r="B16" s="231" t="s">
        <v>241</v>
      </c>
      <c r="C16" s="231" t="s">
        <v>242</v>
      </c>
      <c r="D16" s="368" t="s">
        <v>366</v>
      </c>
      <c r="E16" s="817">
        <v>534757</v>
      </c>
      <c r="F16" s="195">
        <v>678266</v>
      </c>
      <c r="G16" s="233">
        <v>677682</v>
      </c>
      <c r="H16" s="207">
        <v>713378</v>
      </c>
      <c r="I16" s="817"/>
      <c r="J16" s="195"/>
      <c r="K16" s="939"/>
      <c r="L16" s="1162"/>
      <c r="M16" s="1179"/>
      <c r="N16" s="939"/>
      <c r="O16" s="939"/>
      <c r="P16" s="963"/>
      <c r="Q16" s="1752"/>
      <c r="R16" s="233"/>
      <c r="S16" s="233"/>
      <c r="T16" s="459"/>
    </row>
    <row r="17" spans="1:20" s="72" customFormat="1" ht="12.45" customHeight="1">
      <c r="A17" s="1311" t="s">
        <v>240</v>
      </c>
      <c r="B17" s="426" t="s">
        <v>244</v>
      </c>
      <c r="C17" s="426" t="s">
        <v>245</v>
      </c>
      <c r="D17" s="368" t="s">
        <v>229</v>
      </c>
      <c r="E17" s="817">
        <v>24519</v>
      </c>
      <c r="F17" s="195">
        <v>31148</v>
      </c>
      <c r="G17" s="233">
        <v>31608</v>
      </c>
      <c r="H17" s="207">
        <v>20887</v>
      </c>
      <c r="I17" s="817"/>
      <c r="J17" s="195"/>
      <c r="K17" s="939"/>
      <c r="L17" s="1162"/>
      <c r="M17" s="1179"/>
      <c r="N17" s="939"/>
      <c r="O17" s="939"/>
      <c r="P17" s="963"/>
      <c r="Q17" s="1752"/>
      <c r="R17" s="233"/>
      <c r="S17" s="233"/>
      <c r="T17" s="459"/>
    </row>
    <row r="18" spans="1:20" s="72" customFormat="1" ht="12.45" customHeight="1">
      <c r="A18" s="1311" t="s">
        <v>240</v>
      </c>
      <c r="B18" s="784" t="s">
        <v>246</v>
      </c>
      <c r="C18" s="784" t="s">
        <v>237</v>
      </c>
      <c r="D18" s="211" t="s">
        <v>243</v>
      </c>
      <c r="E18" s="817">
        <v>2372</v>
      </c>
      <c r="F18" s="195">
        <v>2328</v>
      </c>
      <c r="G18" s="233">
        <v>1283</v>
      </c>
      <c r="H18" s="207">
        <v>1647</v>
      </c>
      <c r="I18" s="817"/>
      <c r="J18" s="195"/>
      <c r="K18" s="939"/>
      <c r="L18" s="1162"/>
      <c r="M18" s="1179"/>
      <c r="N18" s="939"/>
      <c r="O18" s="939"/>
      <c r="P18" s="963"/>
      <c r="Q18" s="1752"/>
      <c r="R18" s="233"/>
      <c r="S18" s="233"/>
      <c r="T18" s="459"/>
    </row>
    <row r="19" spans="1:20" s="72" customFormat="1" ht="12.45" customHeight="1">
      <c r="A19" s="1311" t="s">
        <v>240</v>
      </c>
      <c r="B19" s="784" t="s">
        <v>246</v>
      </c>
      <c r="C19" s="784" t="s">
        <v>237</v>
      </c>
      <c r="D19" s="211" t="s">
        <v>228</v>
      </c>
      <c r="E19" s="817">
        <v>31337</v>
      </c>
      <c r="F19" s="195">
        <v>13265</v>
      </c>
      <c r="G19" s="233">
        <v>11062</v>
      </c>
      <c r="H19" s="207">
        <v>9574</v>
      </c>
      <c r="I19" s="817"/>
      <c r="J19" s="195"/>
      <c r="K19" s="939"/>
      <c r="L19" s="1162"/>
      <c r="M19" s="1179"/>
      <c r="N19" s="939"/>
      <c r="O19" s="939"/>
      <c r="P19" s="963"/>
      <c r="Q19" s="1752"/>
      <c r="R19" s="233"/>
      <c r="S19" s="233"/>
      <c r="T19" s="459"/>
    </row>
    <row r="20" spans="1:20" s="72" customFormat="1" ht="12.45" customHeight="1">
      <c r="A20" s="1311" t="s">
        <v>240</v>
      </c>
      <c r="B20" s="784" t="s">
        <v>246</v>
      </c>
      <c r="C20" s="784" t="s">
        <v>237</v>
      </c>
      <c r="D20" s="211" t="s">
        <v>229</v>
      </c>
      <c r="E20" s="817">
        <v>1148914</v>
      </c>
      <c r="F20" s="195">
        <v>1057733</v>
      </c>
      <c r="G20" s="233">
        <v>1033489</v>
      </c>
      <c r="H20" s="207">
        <v>1218667</v>
      </c>
      <c r="I20" s="817"/>
      <c r="J20" s="195"/>
      <c r="K20" s="939"/>
      <c r="L20" s="1162"/>
      <c r="M20" s="1179"/>
      <c r="N20" s="939"/>
      <c r="O20" s="939"/>
      <c r="P20" s="963"/>
      <c r="Q20" s="1752"/>
      <c r="R20" s="233"/>
      <c r="S20" s="233"/>
      <c r="T20" s="459"/>
    </row>
    <row r="21" spans="1:20" s="72" customFormat="1" ht="12.45" customHeight="1">
      <c r="A21" s="1311" t="s">
        <v>240</v>
      </c>
      <c r="B21" s="426" t="s">
        <v>246</v>
      </c>
      <c r="C21" s="426" t="s">
        <v>231</v>
      </c>
      <c r="D21" s="368" t="s">
        <v>370</v>
      </c>
      <c r="E21" s="817">
        <v>370986</v>
      </c>
      <c r="F21" s="118">
        <v>403568</v>
      </c>
      <c r="G21" s="233">
        <v>325617</v>
      </c>
      <c r="H21" s="207">
        <v>330000</v>
      </c>
      <c r="I21" s="817"/>
      <c r="J21" s="118"/>
      <c r="K21" s="939"/>
      <c r="L21" s="1162"/>
      <c r="M21" s="1179"/>
      <c r="N21" s="939"/>
      <c r="O21" s="939"/>
      <c r="P21" s="963"/>
      <c r="Q21" s="1752"/>
      <c r="R21" s="233"/>
      <c r="S21" s="233"/>
      <c r="T21" s="459"/>
    </row>
    <row r="22" spans="1:20" s="72" customFormat="1" ht="12.45" customHeight="1">
      <c r="A22" s="1311" t="s">
        <v>240</v>
      </c>
      <c r="B22" s="789" t="s">
        <v>247</v>
      </c>
      <c r="C22" s="789" t="s">
        <v>238</v>
      </c>
      <c r="D22" s="211" t="s">
        <v>365</v>
      </c>
      <c r="E22" s="817">
        <v>24529</v>
      </c>
      <c r="F22" s="195">
        <v>19038</v>
      </c>
      <c r="G22" s="233">
        <v>29871</v>
      </c>
      <c r="H22" s="207">
        <v>33796</v>
      </c>
      <c r="I22" s="817"/>
      <c r="J22" s="195"/>
      <c r="K22" s="939"/>
      <c r="L22" s="1162"/>
      <c r="M22" s="1179"/>
      <c r="N22" s="939"/>
      <c r="O22" s="939"/>
      <c r="P22" s="963"/>
      <c r="Q22" s="1752"/>
      <c r="R22" s="233"/>
      <c r="S22" s="233"/>
      <c r="T22" s="459"/>
    </row>
    <row r="23" spans="1:20" s="72" customFormat="1" ht="12.45" customHeight="1">
      <c r="A23" s="1311" t="s">
        <v>240</v>
      </c>
      <c r="B23" s="784" t="s">
        <v>247</v>
      </c>
      <c r="C23" s="784" t="s">
        <v>238</v>
      </c>
      <c r="D23" s="918" t="s">
        <v>229</v>
      </c>
      <c r="E23" s="817">
        <v>90278</v>
      </c>
      <c r="F23" s="195">
        <v>95386</v>
      </c>
      <c r="G23" s="233">
        <v>119720</v>
      </c>
      <c r="H23" s="207">
        <v>125147</v>
      </c>
      <c r="I23" s="817"/>
      <c r="J23" s="195"/>
      <c r="K23" s="939"/>
      <c r="L23" s="1162"/>
      <c r="M23" s="1179"/>
      <c r="N23" s="939"/>
      <c r="O23" s="939"/>
      <c r="P23" s="963"/>
      <c r="Q23" s="1752"/>
      <c r="R23" s="233"/>
      <c r="S23" s="233"/>
      <c r="T23" s="459"/>
    </row>
    <row r="24" spans="1:20" s="72" customFormat="1" ht="12.45" customHeight="1">
      <c r="A24" s="1311" t="s">
        <v>240</v>
      </c>
      <c r="B24" s="789" t="s">
        <v>248</v>
      </c>
      <c r="C24" s="789" t="s">
        <v>239</v>
      </c>
      <c r="D24" s="211" t="s">
        <v>365</v>
      </c>
      <c r="E24" s="817">
        <v>5450</v>
      </c>
      <c r="F24" s="195">
        <v>3005</v>
      </c>
      <c r="G24" s="233">
        <v>500</v>
      </c>
      <c r="H24" s="207">
        <v>500</v>
      </c>
      <c r="I24" s="817"/>
      <c r="J24" s="195"/>
      <c r="K24" s="939"/>
      <c r="L24" s="1162"/>
      <c r="M24" s="1179"/>
      <c r="N24" s="939"/>
      <c r="O24" s="939"/>
      <c r="P24" s="963"/>
      <c r="Q24" s="1752"/>
      <c r="R24" s="233"/>
      <c r="S24" s="233"/>
      <c r="T24" s="459"/>
    </row>
    <row r="25" spans="1:20" s="72" customFormat="1" ht="12.45" customHeight="1" thickBot="1">
      <c r="A25" s="1157" t="s">
        <v>240</v>
      </c>
      <c r="B25" s="790" t="s">
        <v>248</v>
      </c>
      <c r="C25" s="790" t="s">
        <v>239</v>
      </c>
      <c r="D25" s="439" t="s">
        <v>229</v>
      </c>
      <c r="E25" s="818">
        <v>32781</v>
      </c>
      <c r="F25" s="831">
        <v>24747</v>
      </c>
      <c r="G25" s="833">
        <v>33387</v>
      </c>
      <c r="H25" s="601">
        <v>35150</v>
      </c>
      <c r="I25" s="818"/>
      <c r="J25" s="831"/>
      <c r="K25" s="940"/>
      <c r="L25" s="1163"/>
      <c r="M25" s="1180"/>
      <c r="N25" s="940"/>
      <c r="O25" s="940"/>
      <c r="P25" s="965"/>
      <c r="Q25" s="1754"/>
      <c r="R25" s="833"/>
      <c r="S25" s="833"/>
      <c r="T25" s="860"/>
    </row>
    <row r="26" spans="1:20" s="72" customFormat="1" ht="13.05" customHeight="1">
      <c r="A26" s="1311" t="s">
        <v>362</v>
      </c>
      <c r="B26" s="426" t="s">
        <v>354</v>
      </c>
      <c r="C26" s="426" t="s">
        <v>251</v>
      </c>
      <c r="D26" s="811" t="s">
        <v>355</v>
      </c>
      <c r="E26" s="816">
        <v>6262</v>
      </c>
      <c r="F26" s="203">
        <v>15363</v>
      </c>
      <c r="G26" s="460">
        <v>14661</v>
      </c>
      <c r="H26" s="600">
        <v>59579</v>
      </c>
      <c r="I26" s="816"/>
      <c r="J26" s="203"/>
      <c r="K26" s="941"/>
      <c r="L26" s="1164"/>
      <c r="M26" s="1186"/>
      <c r="N26" s="941"/>
      <c r="O26" s="941"/>
      <c r="P26" s="1187"/>
      <c r="Q26" s="1755"/>
      <c r="R26" s="460"/>
      <c r="S26" s="460"/>
      <c r="T26" s="1756"/>
    </row>
    <row r="27" spans="1:20" s="72" customFormat="1" ht="13.05" customHeight="1">
      <c r="A27" s="1311" t="s">
        <v>362</v>
      </c>
      <c r="B27" s="426" t="s">
        <v>356</v>
      </c>
      <c r="C27" s="426" t="s">
        <v>237</v>
      </c>
      <c r="D27" s="811" t="s">
        <v>355</v>
      </c>
      <c r="E27" s="817">
        <v>3638</v>
      </c>
      <c r="F27" s="195">
        <v>2706</v>
      </c>
      <c r="G27" s="233">
        <v>4752</v>
      </c>
      <c r="H27" s="207">
        <v>6366</v>
      </c>
      <c r="I27" s="817"/>
      <c r="J27" s="195"/>
      <c r="K27" s="939"/>
      <c r="L27" s="1162"/>
      <c r="M27" s="1179"/>
      <c r="N27" s="939"/>
      <c r="O27" s="939"/>
      <c r="P27" s="963"/>
      <c r="Q27" s="1752"/>
      <c r="R27" s="233"/>
      <c r="S27" s="233"/>
      <c r="T27" s="459"/>
    </row>
    <row r="28" spans="1:20" s="72" customFormat="1" ht="13.05" customHeight="1" thickBot="1">
      <c r="A28" s="1157" t="s">
        <v>362</v>
      </c>
      <c r="B28" s="783" t="s">
        <v>363</v>
      </c>
      <c r="C28" s="426" t="s">
        <v>238</v>
      </c>
      <c r="D28" s="811" t="s">
        <v>355</v>
      </c>
      <c r="E28" s="818"/>
      <c r="F28" s="1312"/>
      <c r="G28" s="833">
        <v>0</v>
      </c>
      <c r="H28" s="601">
        <v>0</v>
      </c>
      <c r="I28" s="818"/>
      <c r="J28" s="1312"/>
      <c r="K28" s="940"/>
      <c r="L28" s="1163"/>
      <c r="M28" s="1185"/>
      <c r="N28" s="689"/>
      <c r="O28" s="689"/>
      <c r="P28" s="961"/>
      <c r="Q28" s="1753"/>
      <c r="R28" s="455"/>
      <c r="S28" s="455"/>
      <c r="T28" s="456"/>
    </row>
    <row r="29" spans="1:20" s="72" customFormat="1" ht="13.05" customHeight="1">
      <c r="A29" s="1319" t="s">
        <v>249</v>
      </c>
      <c r="B29" s="788" t="s">
        <v>250</v>
      </c>
      <c r="C29" s="788" t="s">
        <v>251</v>
      </c>
      <c r="D29" s="429" t="s">
        <v>252</v>
      </c>
      <c r="E29" s="816"/>
      <c r="F29" s="1492"/>
      <c r="G29" s="460"/>
      <c r="H29" s="600"/>
      <c r="I29" s="816"/>
      <c r="J29" s="1492"/>
      <c r="K29" s="941"/>
      <c r="L29" s="1164"/>
      <c r="M29" s="1178"/>
      <c r="N29" s="964"/>
      <c r="O29" s="964"/>
      <c r="P29" s="962"/>
      <c r="Q29" s="1751"/>
      <c r="R29" s="457"/>
      <c r="S29" s="457"/>
      <c r="T29" s="458"/>
    </row>
    <row r="30" spans="1:20" s="72" customFormat="1" ht="12.45" customHeight="1">
      <c r="A30" s="1311" t="s">
        <v>249</v>
      </c>
      <c r="B30" s="426" t="s">
        <v>250</v>
      </c>
      <c r="C30" s="426" t="s">
        <v>251</v>
      </c>
      <c r="D30" s="430" t="s">
        <v>253</v>
      </c>
      <c r="E30" s="819">
        <v>218714</v>
      </c>
      <c r="F30" s="195">
        <v>177692</v>
      </c>
      <c r="G30" s="233">
        <v>192569</v>
      </c>
      <c r="H30" s="207">
        <v>204837</v>
      </c>
      <c r="I30" s="819"/>
      <c r="J30" s="195"/>
      <c r="K30" s="939"/>
      <c r="L30" s="1162"/>
      <c r="M30" s="1179"/>
      <c r="N30" s="939"/>
      <c r="O30" s="939"/>
      <c r="P30" s="963"/>
      <c r="Q30" s="1752"/>
      <c r="R30" s="233"/>
      <c r="S30" s="233"/>
      <c r="T30" s="459"/>
    </row>
    <row r="31" spans="1:20" s="72" customFormat="1" ht="12.45" customHeight="1">
      <c r="A31" s="1311" t="s">
        <v>249</v>
      </c>
      <c r="B31" s="209" t="s">
        <v>361</v>
      </c>
      <c r="C31" s="779" t="s">
        <v>251</v>
      </c>
      <c r="D31" s="430" t="s">
        <v>253</v>
      </c>
      <c r="E31" s="817">
        <v>152177</v>
      </c>
      <c r="F31" s="118">
        <v>192304</v>
      </c>
      <c r="G31" s="233">
        <v>215562</v>
      </c>
      <c r="H31" s="207">
        <v>190476</v>
      </c>
      <c r="I31" s="817"/>
      <c r="J31" s="196"/>
      <c r="K31" s="939"/>
      <c r="L31" s="1162"/>
      <c r="M31" s="1179"/>
      <c r="N31" s="939"/>
      <c r="O31" s="939"/>
      <c r="P31" s="963"/>
      <c r="Q31" s="1752"/>
      <c r="R31" s="233"/>
      <c r="S31" s="233"/>
      <c r="T31" s="459"/>
    </row>
    <row r="32" spans="1:20" s="72" customFormat="1" ht="12.45" customHeight="1">
      <c r="A32" s="1311" t="s">
        <v>249</v>
      </c>
      <c r="B32" s="208" t="s">
        <v>302</v>
      </c>
      <c r="C32" s="779" t="s">
        <v>242</v>
      </c>
      <c r="D32" s="435" t="s">
        <v>253</v>
      </c>
      <c r="E32" s="817">
        <v>85605</v>
      </c>
      <c r="F32" s="118">
        <v>158864</v>
      </c>
      <c r="G32" s="233">
        <v>112352</v>
      </c>
      <c r="H32" s="207">
        <v>109714</v>
      </c>
      <c r="I32" s="817"/>
      <c r="J32" s="196"/>
      <c r="K32" s="939"/>
      <c r="L32" s="1162"/>
      <c r="M32" s="1179"/>
      <c r="N32" s="939"/>
      <c r="O32" s="939"/>
      <c r="P32" s="963"/>
      <c r="Q32" s="1752"/>
      <c r="R32" s="233"/>
      <c r="S32" s="233"/>
      <c r="T32" s="459"/>
    </row>
    <row r="33" spans="1:33" s="72" customFormat="1" ht="12.45" customHeight="1">
      <c r="A33" s="1311" t="s">
        <v>249</v>
      </c>
      <c r="B33" s="208" t="s">
        <v>254</v>
      </c>
      <c r="C33" s="779" t="s">
        <v>236</v>
      </c>
      <c r="D33" s="435" t="s">
        <v>253</v>
      </c>
      <c r="E33" s="817">
        <v>121206</v>
      </c>
      <c r="F33" s="118">
        <v>192434</v>
      </c>
      <c r="G33" s="233">
        <v>135000</v>
      </c>
      <c r="H33" s="207">
        <v>165000</v>
      </c>
      <c r="I33" s="817"/>
      <c r="J33" s="196"/>
      <c r="K33" s="939"/>
      <c r="L33" s="1162"/>
      <c r="M33" s="1179"/>
      <c r="N33" s="939"/>
      <c r="O33" s="939"/>
      <c r="P33" s="963"/>
      <c r="Q33" s="1752"/>
      <c r="R33" s="233"/>
      <c r="S33" s="233"/>
      <c r="T33" s="459"/>
    </row>
    <row r="34" spans="1:33" s="72" customFormat="1" ht="12.45" customHeight="1">
      <c r="A34" s="1311" t="s">
        <v>249</v>
      </c>
      <c r="B34" s="789" t="s">
        <v>255</v>
      </c>
      <c r="C34" s="781" t="s">
        <v>231</v>
      </c>
      <c r="D34" s="211" t="s">
        <v>252</v>
      </c>
      <c r="E34" s="817">
        <v>158</v>
      </c>
      <c r="F34" s="195">
        <v>54</v>
      </c>
      <c r="G34" s="233">
        <v>179</v>
      </c>
      <c r="H34" s="207">
        <v>11</v>
      </c>
      <c r="I34" s="817"/>
      <c r="J34" s="195"/>
      <c r="K34" s="939"/>
      <c r="L34" s="1162"/>
      <c r="M34" s="1179"/>
      <c r="N34" s="939"/>
      <c r="O34" s="939"/>
      <c r="P34" s="963"/>
      <c r="Q34" s="1752"/>
      <c r="R34" s="233"/>
      <c r="S34" s="233"/>
      <c r="T34" s="459"/>
    </row>
    <row r="35" spans="1:33" s="72" customFormat="1" ht="12.45" customHeight="1">
      <c r="A35" s="1311" t="s">
        <v>249</v>
      </c>
      <c r="B35" s="231" t="s">
        <v>255</v>
      </c>
      <c r="C35" s="827" t="s">
        <v>231</v>
      </c>
      <c r="D35" s="211" t="s">
        <v>253</v>
      </c>
      <c r="E35" s="817"/>
      <c r="F35" s="118"/>
      <c r="G35" s="233"/>
      <c r="H35" s="207"/>
      <c r="I35" s="817"/>
      <c r="J35" s="118"/>
      <c r="K35" s="939"/>
      <c r="L35" s="1162"/>
      <c r="M35" s="1179"/>
      <c r="N35" s="939"/>
      <c r="O35" s="939"/>
      <c r="P35" s="963"/>
      <c r="Q35" s="1752"/>
      <c r="R35" s="233"/>
      <c r="S35" s="233"/>
      <c r="T35" s="459"/>
    </row>
    <row r="36" spans="1:33" s="72" customFormat="1" ht="12.45" customHeight="1">
      <c r="A36" s="1311" t="s">
        <v>249</v>
      </c>
      <c r="B36" s="789" t="s">
        <v>256</v>
      </c>
      <c r="C36" s="781" t="s">
        <v>231</v>
      </c>
      <c r="D36" s="428" t="s">
        <v>252</v>
      </c>
      <c r="E36" s="817"/>
      <c r="F36" s="118"/>
      <c r="G36" s="233"/>
      <c r="H36" s="207"/>
      <c r="I36" s="817"/>
      <c r="J36" s="118"/>
      <c r="K36" s="939"/>
      <c r="L36" s="1162"/>
      <c r="M36" s="1179"/>
      <c r="N36" s="939"/>
      <c r="O36" s="939"/>
      <c r="P36" s="963"/>
      <c r="Q36" s="1752"/>
      <c r="R36" s="233"/>
      <c r="S36" s="233"/>
      <c r="T36" s="459"/>
    </row>
    <row r="37" spans="1:33" s="72" customFormat="1" ht="12.45" customHeight="1">
      <c r="A37" s="1311" t="s">
        <v>249</v>
      </c>
      <c r="B37" s="231" t="s">
        <v>256</v>
      </c>
      <c r="C37" s="827" t="s">
        <v>231</v>
      </c>
      <c r="D37" s="368" t="s">
        <v>253</v>
      </c>
      <c r="E37" s="817">
        <v>207899</v>
      </c>
      <c r="F37" s="195">
        <v>256444</v>
      </c>
      <c r="G37" s="233">
        <v>175597</v>
      </c>
      <c r="H37" s="207">
        <v>166676</v>
      </c>
      <c r="I37" s="817"/>
      <c r="J37" s="195"/>
      <c r="K37" s="939"/>
      <c r="L37" s="1162"/>
      <c r="M37" s="1179"/>
      <c r="N37" s="939"/>
      <c r="O37" s="939"/>
      <c r="P37" s="963"/>
      <c r="Q37" s="1752"/>
      <c r="R37" s="233"/>
      <c r="S37" s="233"/>
      <c r="T37" s="459"/>
    </row>
    <row r="38" spans="1:33" s="72" customFormat="1" ht="12.45" customHeight="1">
      <c r="A38" s="1311" t="s">
        <v>249</v>
      </c>
      <c r="B38" s="789" t="s">
        <v>257</v>
      </c>
      <c r="C38" s="789" t="s">
        <v>237</v>
      </c>
      <c r="D38" s="211" t="s">
        <v>252</v>
      </c>
      <c r="E38" s="817">
        <v>1329</v>
      </c>
      <c r="F38" s="195">
        <v>1055</v>
      </c>
      <c r="G38" s="233">
        <v>138</v>
      </c>
      <c r="H38" s="207">
        <v>324</v>
      </c>
      <c r="I38" s="817"/>
      <c r="J38" s="195"/>
      <c r="K38" s="939"/>
      <c r="L38" s="1162"/>
      <c r="M38" s="1179"/>
      <c r="N38" s="939"/>
      <c r="O38" s="939"/>
      <c r="P38" s="963"/>
      <c r="Q38" s="1752"/>
      <c r="R38" s="233"/>
      <c r="S38" s="233"/>
      <c r="T38" s="459"/>
    </row>
    <row r="39" spans="1:33" s="72" customFormat="1" ht="12.45" customHeight="1">
      <c r="A39" s="1311" t="s">
        <v>249</v>
      </c>
      <c r="B39" s="231" t="s">
        <v>257</v>
      </c>
      <c r="C39" s="426" t="s">
        <v>237</v>
      </c>
      <c r="D39" s="211" t="s">
        <v>258</v>
      </c>
      <c r="E39" s="819">
        <v>80148</v>
      </c>
      <c r="F39" s="195">
        <v>75172</v>
      </c>
      <c r="G39" s="233">
        <v>141330</v>
      </c>
      <c r="H39" s="207">
        <v>127708</v>
      </c>
      <c r="I39" s="819"/>
      <c r="J39" s="195"/>
      <c r="K39" s="939"/>
      <c r="L39" s="1162"/>
      <c r="M39" s="1179"/>
      <c r="N39" s="939"/>
      <c r="O39" s="939"/>
      <c r="P39" s="963"/>
      <c r="Q39" s="1752"/>
      <c r="R39" s="233"/>
      <c r="S39" s="233"/>
      <c r="T39" s="459"/>
    </row>
    <row r="40" spans="1:33" s="72" customFormat="1" ht="13.05" customHeight="1" thickBot="1">
      <c r="A40" s="1157" t="s">
        <v>249</v>
      </c>
      <c r="B40" s="432" t="s">
        <v>259</v>
      </c>
      <c r="C40" s="1318" t="s">
        <v>238</v>
      </c>
      <c r="D40" s="432" t="s">
        <v>260</v>
      </c>
      <c r="E40" s="818">
        <v>1035</v>
      </c>
      <c r="F40" s="1312">
        <v>1031</v>
      </c>
      <c r="G40" s="833">
        <v>1486</v>
      </c>
      <c r="H40" s="601">
        <v>1880</v>
      </c>
      <c r="I40" s="818"/>
      <c r="J40" s="1312"/>
      <c r="K40" s="940"/>
      <c r="L40" s="1163"/>
      <c r="M40" s="1180"/>
      <c r="N40" s="940"/>
      <c r="O40" s="940"/>
      <c r="P40" s="965"/>
      <c r="Q40" s="1754"/>
      <c r="R40" s="833"/>
      <c r="S40" s="833"/>
      <c r="T40" s="860"/>
      <c r="AB40" s="67"/>
    </row>
    <row r="41" spans="1:33" s="72" customFormat="1" ht="13.05" customHeight="1">
      <c r="A41" s="1311" t="s">
        <v>364</v>
      </c>
      <c r="B41" s="427" t="s">
        <v>357</v>
      </c>
      <c r="C41" s="427" t="s">
        <v>251</v>
      </c>
      <c r="D41" s="812" t="s">
        <v>235</v>
      </c>
      <c r="E41" s="820"/>
      <c r="F41" s="195"/>
      <c r="G41" s="597"/>
      <c r="H41" s="597"/>
      <c r="I41" s="820"/>
      <c r="J41" s="195"/>
      <c r="K41" s="698"/>
      <c r="L41" s="1165"/>
      <c r="M41" s="1188"/>
      <c r="N41" s="696"/>
      <c r="O41" s="696"/>
      <c r="P41" s="1151"/>
      <c r="Q41" s="1757"/>
      <c r="R41" s="203"/>
      <c r="S41" s="203"/>
      <c r="T41" s="1758"/>
      <c r="AB41" s="67"/>
    </row>
    <row r="42" spans="1:33" s="72" customFormat="1" ht="13.05" customHeight="1">
      <c r="A42" s="1311" t="s">
        <v>364</v>
      </c>
      <c r="B42" s="285" t="s">
        <v>357</v>
      </c>
      <c r="C42" s="285" t="s">
        <v>231</v>
      </c>
      <c r="D42" s="368" t="s">
        <v>235</v>
      </c>
      <c r="E42" s="820"/>
      <c r="F42" s="195"/>
      <c r="G42" s="597"/>
      <c r="H42" s="597"/>
      <c r="I42" s="820"/>
      <c r="J42" s="195"/>
      <c r="K42" s="698"/>
      <c r="L42" s="1165"/>
      <c r="M42" s="1189"/>
      <c r="N42" s="698"/>
      <c r="O42" s="698"/>
      <c r="P42" s="982"/>
      <c r="Q42" s="1757"/>
      <c r="R42" s="195"/>
      <c r="S42" s="195"/>
      <c r="T42" s="1759"/>
      <c r="AB42" s="67"/>
    </row>
    <row r="43" spans="1:33" s="72" customFormat="1" ht="13.05" customHeight="1" thickBot="1">
      <c r="A43" s="1157" t="s">
        <v>364</v>
      </c>
      <c r="B43" s="1493" t="s">
        <v>357</v>
      </c>
      <c r="C43" s="1493" t="s">
        <v>235</v>
      </c>
      <c r="D43" s="439" t="s">
        <v>235</v>
      </c>
      <c r="E43" s="821"/>
      <c r="F43" s="831"/>
      <c r="G43" s="1316"/>
      <c r="H43" s="1316"/>
      <c r="I43" s="821"/>
      <c r="J43" s="831"/>
      <c r="K43" s="1281"/>
      <c r="L43" s="1166"/>
      <c r="M43" s="1190"/>
      <c r="N43" s="1181"/>
      <c r="O43" s="1181"/>
      <c r="P43" s="1191"/>
      <c r="Q43" s="1760"/>
      <c r="R43" s="1156"/>
      <c r="S43" s="1156"/>
      <c r="T43" s="1761"/>
      <c r="AA43" s="126"/>
      <c r="AB43" s="104"/>
      <c r="AC43" s="126"/>
      <c r="AD43" s="126"/>
      <c r="AE43" s="126"/>
      <c r="AF43" s="126"/>
      <c r="AG43" s="126"/>
    </row>
    <row r="44" spans="1:33" s="72" customFormat="1" ht="12.75" customHeight="1">
      <c r="A44" s="1319" t="s">
        <v>261</v>
      </c>
      <c r="B44" s="784" t="s">
        <v>303</v>
      </c>
      <c r="C44" s="788" t="s">
        <v>251</v>
      </c>
      <c r="D44" s="211" t="s">
        <v>252</v>
      </c>
      <c r="E44" s="816">
        <v>2000</v>
      </c>
      <c r="F44" s="204">
        <v>2000</v>
      </c>
      <c r="G44" s="460">
        <v>1062</v>
      </c>
      <c r="H44" s="600">
        <v>1851</v>
      </c>
      <c r="I44" s="816"/>
      <c r="J44" s="204"/>
      <c r="K44" s="941"/>
      <c r="L44" s="1164"/>
      <c r="M44" s="1178"/>
      <c r="N44" s="964"/>
      <c r="O44" s="964"/>
      <c r="P44" s="962"/>
      <c r="Q44" s="1751"/>
      <c r="R44" s="457"/>
      <c r="S44" s="457"/>
      <c r="T44" s="458"/>
      <c r="AA44" s="126"/>
      <c r="AB44" s="104"/>
      <c r="AC44" s="126"/>
      <c r="AD44" s="126"/>
      <c r="AE44" s="126"/>
      <c r="AF44" s="126"/>
      <c r="AG44" s="126"/>
    </row>
    <row r="45" spans="1:33" s="72" customFormat="1" ht="13.05" customHeight="1">
      <c r="A45" s="1311" t="s">
        <v>261</v>
      </c>
      <c r="B45" s="784" t="s">
        <v>304</v>
      </c>
      <c r="C45" s="1001" t="s">
        <v>251</v>
      </c>
      <c r="D45" s="211" t="s">
        <v>305</v>
      </c>
      <c r="E45" s="817">
        <v>1000</v>
      </c>
      <c r="F45" s="196">
        <v>1000</v>
      </c>
      <c r="G45" s="233">
        <v>72</v>
      </c>
      <c r="H45" s="207">
        <v>197</v>
      </c>
      <c r="I45" s="817"/>
      <c r="J45" s="196"/>
      <c r="K45" s="939"/>
      <c r="L45" s="1162"/>
      <c r="M45" s="1179"/>
      <c r="N45" s="939"/>
      <c r="O45" s="939"/>
      <c r="P45" s="963"/>
      <c r="Q45" s="1752"/>
      <c r="R45" s="233"/>
      <c r="S45" s="233"/>
      <c r="T45" s="459"/>
      <c r="AA45" s="126"/>
      <c r="AB45" s="104"/>
      <c r="AC45" s="126"/>
      <c r="AD45" s="126"/>
      <c r="AE45" s="126"/>
      <c r="AF45" s="126"/>
      <c r="AG45" s="126"/>
    </row>
    <row r="46" spans="1:33" s="72" customFormat="1" ht="12.75" customHeight="1">
      <c r="A46" s="1311" t="s">
        <v>261</v>
      </c>
      <c r="B46" s="426" t="s">
        <v>304</v>
      </c>
      <c r="C46" s="231" t="s">
        <v>251</v>
      </c>
      <c r="D46" s="368" t="s">
        <v>262</v>
      </c>
      <c r="E46" s="817">
        <v>99941</v>
      </c>
      <c r="F46" s="195">
        <v>145394</v>
      </c>
      <c r="G46" s="233">
        <v>157482</v>
      </c>
      <c r="H46" s="207">
        <v>219975</v>
      </c>
      <c r="I46" s="817"/>
      <c r="J46" s="195"/>
      <c r="K46" s="939"/>
      <c r="L46" s="1162"/>
      <c r="M46" s="1179"/>
      <c r="N46" s="939"/>
      <c r="O46" s="939"/>
      <c r="P46" s="963"/>
      <c r="Q46" s="1762"/>
      <c r="R46" s="1763"/>
      <c r="S46" s="233"/>
      <c r="T46" s="459"/>
      <c r="AA46" s="126"/>
      <c r="AB46" s="1884"/>
      <c r="AC46" s="126"/>
      <c r="AD46" s="126"/>
      <c r="AE46" s="126"/>
      <c r="AF46" s="126"/>
      <c r="AG46" s="126"/>
    </row>
    <row r="47" spans="1:33" s="72" customFormat="1" ht="15.6">
      <c r="A47" s="1311" t="s">
        <v>261</v>
      </c>
      <c r="B47" s="1495" t="s">
        <v>597</v>
      </c>
      <c r="C47" s="779" t="s">
        <v>251</v>
      </c>
      <c r="D47" s="368" t="s">
        <v>260</v>
      </c>
      <c r="E47" s="817"/>
      <c r="F47" s="195"/>
      <c r="G47" s="233"/>
      <c r="H47" s="207"/>
      <c r="I47" s="817"/>
      <c r="J47" s="195"/>
      <c r="K47" s="939"/>
      <c r="L47" s="1162"/>
      <c r="M47" s="1179"/>
      <c r="N47" s="939"/>
      <c r="O47" s="939"/>
      <c r="P47" s="963"/>
      <c r="Q47" s="1762"/>
      <c r="R47" s="1763"/>
      <c r="S47" s="233"/>
      <c r="T47" s="459"/>
      <c r="AA47" s="126"/>
      <c r="AB47" s="104"/>
      <c r="AC47" s="126"/>
      <c r="AD47" s="126"/>
      <c r="AE47" s="126"/>
      <c r="AF47" s="126"/>
      <c r="AG47" s="126"/>
    </row>
    <row r="48" spans="1:33" s="72" customFormat="1" ht="12.75" customHeight="1">
      <c r="A48" s="1311" t="s">
        <v>261</v>
      </c>
      <c r="B48" s="1494" t="s">
        <v>507</v>
      </c>
      <c r="C48" s="784" t="s">
        <v>242</v>
      </c>
      <c r="D48" s="368" t="s">
        <v>262</v>
      </c>
      <c r="E48" s="817"/>
      <c r="F48" s="196"/>
      <c r="G48" s="233"/>
      <c r="H48" s="207"/>
      <c r="I48" s="817"/>
      <c r="J48" s="196"/>
      <c r="K48" s="939"/>
      <c r="L48" s="1162"/>
      <c r="M48" s="1179"/>
      <c r="N48" s="939"/>
      <c r="O48" s="939"/>
      <c r="P48" s="963"/>
      <c r="Q48" s="1762"/>
      <c r="R48" s="1763"/>
      <c r="S48" s="233"/>
      <c r="T48" s="459"/>
      <c r="AA48" s="126"/>
      <c r="AB48" s="1884"/>
      <c r="AC48" s="126"/>
      <c r="AD48" s="126"/>
      <c r="AE48" s="126"/>
      <c r="AF48" s="126"/>
      <c r="AG48" s="126"/>
    </row>
    <row r="49" spans="1:33" s="72" customFormat="1" ht="12.75" customHeight="1">
      <c r="A49" s="1311" t="s">
        <v>261</v>
      </c>
      <c r="B49" s="1495" t="s">
        <v>567</v>
      </c>
      <c r="C49" s="779" t="s">
        <v>236</v>
      </c>
      <c r="D49" s="435" t="s">
        <v>235</v>
      </c>
      <c r="E49" s="817">
        <v>148814</v>
      </c>
      <c r="F49" s="196">
        <v>198416</v>
      </c>
      <c r="G49" s="233">
        <v>173304</v>
      </c>
      <c r="H49" s="207">
        <v>189504</v>
      </c>
      <c r="I49" s="817"/>
      <c r="J49" s="196"/>
      <c r="K49" s="939"/>
      <c r="L49" s="1162"/>
      <c r="M49" s="1179"/>
      <c r="N49" s="939"/>
      <c r="O49" s="939"/>
      <c r="P49" s="963"/>
      <c r="Q49" s="1762"/>
      <c r="R49" s="1763"/>
      <c r="S49" s="233"/>
      <c r="T49" s="459"/>
      <c r="AA49" s="126"/>
      <c r="AB49" s="1884"/>
      <c r="AC49" s="126"/>
      <c r="AD49" s="126"/>
      <c r="AE49" s="126"/>
      <c r="AF49" s="126"/>
      <c r="AG49" s="126"/>
    </row>
    <row r="50" spans="1:33" s="72" customFormat="1" ht="12.75" customHeight="1">
      <c r="A50" s="1311" t="s">
        <v>261</v>
      </c>
      <c r="B50" s="781" t="s">
        <v>568</v>
      </c>
      <c r="C50" s="789"/>
      <c r="D50" s="428"/>
      <c r="E50" s="817"/>
      <c r="F50" s="196"/>
      <c r="G50" s="233"/>
      <c r="H50" s="207"/>
      <c r="I50" s="817"/>
      <c r="J50" s="196"/>
      <c r="K50" s="939"/>
      <c r="L50" s="1162"/>
      <c r="M50" s="1179"/>
      <c r="N50" s="939"/>
      <c r="O50" s="939"/>
      <c r="P50" s="963"/>
      <c r="Q50" s="1762"/>
      <c r="R50" s="1763"/>
      <c r="S50" s="233"/>
      <c r="T50" s="459"/>
      <c r="AA50" s="126"/>
      <c r="AB50" s="1884"/>
      <c r="AC50" s="126"/>
      <c r="AD50" s="126"/>
      <c r="AE50" s="126"/>
      <c r="AF50" s="126"/>
      <c r="AG50" s="126"/>
    </row>
    <row r="51" spans="1:33" s="72" customFormat="1" ht="12.75" customHeight="1">
      <c r="A51" s="1311" t="s">
        <v>261</v>
      </c>
      <c r="B51" s="781" t="s">
        <v>566</v>
      </c>
      <c r="C51" s="789" t="s">
        <v>231</v>
      </c>
      <c r="D51" s="428" t="s">
        <v>262</v>
      </c>
      <c r="E51" s="817">
        <v>101862</v>
      </c>
      <c r="F51" s="196">
        <v>187158</v>
      </c>
      <c r="G51" s="233">
        <v>301521</v>
      </c>
      <c r="H51" s="207">
        <v>385762</v>
      </c>
      <c r="I51" s="817"/>
      <c r="J51" s="196"/>
      <c r="K51" s="939"/>
      <c r="L51" s="1162"/>
      <c r="M51" s="1179"/>
      <c r="N51" s="939"/>
      <c r="O51" s="939"/>
      <c r="P51" s="963"/>
      <c r="Q51" s="1762"/>
      <c r="R51" s="1763"/>
      <c r="S51" s="233"/>
      <c r="T51" s="459"/>
      <c r="AA51" s="126"/>
      <c r="AB51" s="1884"/>
      <c r="AC51" s="126"/>
      <c r="AD51" s="126"/>
      <c r="AE51" s="126"/>
      <c r="AF51" s="126"/>
      <c r="AG51" s="126"/>
    </row>
    <row r="52" spans="1:33" s="72" customFormat="1" ht="12.75" customHeight="1">
      <c r="A52" s="1311" t="s">
        <v>261</v>
      </c>
      <c r="B52" s="1000" t="s">
        <v>522</v>
      </c>
      <c r="C52" s="1001" t="s">
        <v>523</v>
      </c>
      <c r="D52" s="211" t="s">
        <v>262</v>
      </c>
      <c r="E52" s="817"/>
      <c r="F52" s="196"/>
      <c r="G52" s="233"/>
      <c r="H52" s="207"/>
      <c r="I52" s="817"/>
      <c r="J52" s="196"/>
      <c r="K52" s="939"/>
      <c r="L52" s="1162"/>
      <c r="M52" s="1179"/>
      <c r="N52" s="939"/>
      <c r="O52" s="939"/>
      <c r="P52" s="963"/>
      <c r="Q52" s="1762"/>
      <c r="R52" s="1763"/>
      <c r="S52" s="233"/>
      <c r="T52" s="459"/>
      <c r="AA52" s="126"/>
      <c r="AB52" s="1884"/>
      <c r="AC52" s="126"/>
      <c r="AD52" s="126"/>
      <c r="AE52" s="126"/>
      <c r="AF52" s="126"/>
      <c r="AG52" s="126"/>
    </row>
    <row r="53" spans="1:33" s="72" customFormat="1" ht="12.75" customHeight="1">
      <c r="A53" s="1311" t="s">
        <v>261</v>
      </c>
      <c r="B53" s="781" t="s">
        <v>263</v>
      </c>
      <c r="C53" s="789" t="s">
        <v>237</v>
      </c>
      <c r="D53" s="428" t="s">
        <v>252</v>
      </c>
      <c r="E53" s="817">
        <v>20174</v>
      </c>
      <c r="F53" s="440">
        <v>18351</v>
      </c>
      <c r="G53" s="233">
        <v>15834</v>
      </c>
      <c r="H53" s="207">
        <v>12990</v>
      </c>
      <c r="I53" s="817"/>
      <c r="J53" s="440"/>
      <c r="K53" s="939"/>
      <c r="L53" s="1162"/>
      <c r="M53" s="1179"/>
      <c r="N53" s="939"/>
      <c r="O53" s="939"/>
      <c r="P53" s="963"/>
      <c r="Q53" s="1762"/>
      <c r="R53" s="1763"/>
      <c r="S53" s="233"/>
      <c r="T53" s="459"/>
      <c r="AA53" s="126"/>
      <c r="AB53" s="126"/>
      <c r="AC53" s="126"/>
      <c r="AD53" s="126"/>
      <c r="AE53" s="126"/>
      <c r="AF53" s="126"/>
      <c r="AG53" s="126"/>
    </row>
    <row r="54" spans="1:33" s="72" customFormat="1" ht="12.75" customHeight="1">
      <c r="A54" s="1311" t="s">
        <v>261</v>
      </c>
      <c r="B54" s="1000" t="s">
        <v>263</v>
      </c>
      <c r="C54" s="1001" t="s">
        <v>237</v>
      </c>
      <c r="D54" s="211" t="s">
        <v>525</v>
      </c>
      <c r="E54" s="817">
        <v>12780</v>
      </c>
      <c r="F54" s="440">
        <v>15280</v>
      </c>
      <c r="G54" s="233">
        <v>15512</v>
      </c>
      <c r="H54" s="207">
        <v>16759</v>
      </c>
      <c r="I54" s="817"/>
      <c r="J54" s="440"/>
      <c r="K54" s="939"/>
      <c r="L54" s="1162"/>
      <c r="M54" s="1179"/>
      <c r="N54" s="939"/>
      <c r="O54" s="939"/>
      <c r="P54" s="963"/>
      <c r="Q54" s="1762"/>
      <c r="R54" s="1763"/>
      <c r="S54" s="233"/>
      <c r="T54" s="459"/>
      <c r="AA54" s="126"/>
      <c r="AB54" s="126"/>
      <c r="AC54" s="126"/>
      <c r="AD54" s="126"/>
      <c r="AE54" s="126"/>
      <c r="AF54" s="126"/>
      <c r="AG54" s="126"/>
    </row>
    <row r="55" spans="1:33" s="72" customFormat="1" ht="12.75" customHeight="1">
      <c r="A55" s="1311" t="s">
        <v>261</v>
      </c>
      <c r="B55" s="1000" t="s">
        <v>263</v>
      </c>
      <c r="C55" s="1001" t="s">
        <v>237</v>
      </c>
      <c r="D55" s="211" t="s">
        <v>524</v>
      </c>
      <c r="E55" s="817">
        <v>6107</v>
      </c>
      <c r="F55" s="196">
        <v>5338</v>
      </c>
      <c r="G55" s="196">
        <v>3511</v>
      </c>
      <c r="H55" s="1110">
        <v>2915</v>
      </c>
      <c r="I55" s="817"/>
      <c r="J55" s="196"/>
      <c r="K55" s="233"/>
      <c r="L55" s="1162"/>
      <c r="M55" s="1179"/>
      <c r="N55" s="939"/>
      <c r="O55" s="939"/>
      <c r="P55" s="963"/>
      <c r="Q55" s="1762"/>
      <c r="R55" s="1763"/>
      <c r="S55" s="233"/>
      <c r="T55" s="459"/>
      <c r="AA55" s="126"/>
      <c r="AB55" s="126"/>
      <c r="AC55" s="126"/>
      <c r="AD55" s="126"/>
      <c r="AE55" s="1885"/>
      <c r="AF55" s="135"/>
      <c r="AG55" s="126"/>
    </row>
    <row r="56" spans="1:33" s="72" customFormat="1" ht="12.75" customHeight="1">
      <c r="A56" s="1311" t="s">
        <v>261</v>
      </c>
      <c r="B56" s="1002" t="s">
        <v>263</v>
      </c>
      <c r="C56" s="231" t="s">
        <v>237</v>
      </c>
      <c r="D56" s="368" t="s">
        <v>262</v>
      </c>
      <c r="E56" s="817">
        <v>57278</v>
      </c>
      <c r="F56" s="196">
        <v>98074</v>
      </c>
      <c r="G56" s="233">
        <v>102827</v>
      </c>
      <c r="H56" s="207">
        <v>104173</v>
      </c>
      <c r="I56" s="817"/>
      <c r="J56" s="196"/>
      <c r="K56" s="939"/>
      <c r="L56" s="1162"/>
      <c r="M56" s="1179"/>
      <c r="N56" s="939"/>
      <c r="O56" s="939"/>
      <c r="P56" s="963"/>
      <c r="Q56" s="1762"/>
      <c r="R56" s="1763"/>
      <c r="S56" s="233"/>
      <c r="T56" s="459"/>
      <c r="AA56" s="126"/>
      <c r="AB56" s="104"/>
      <c r="AC56" s="126"/>
      <c r="AD56" s="126"/>
      <c r="AE56" s="126"/>
      <c r="AF56" s="126"/>
      <c r="AG56" s="126"/>
    </row>
    <row r="57" spans="1:33" s="72" customFormat="1" ht="12.75" customHeight="1" thickBot="1">
      <c r="A57" s="1311" t="s">
        <v>261</v>
      </c>
      <c r="B57" s="1032" t="s">
        <v>577</v>
      </c>
      <c r="C57" s="1001" t="s">
        <v>237</v>
      </c>
      <c r="D57" s="211" t="s">
        <v>262</v>
      </c>
      <c r="E57" s="822"/>
      <c r="F57" s="206"/>
      <c r="G57" s="455"/>
      <c r="H57" s="1033"/>
      <c r="I57" s="822"/>
      <c r="J57" s="206"/>
      <c r="K57" s="689"/>
      <c r="L57" s="1167"/>
      <c r="M57" s="1146"/>
      <c r="N57" s="965"/>
      <c r="O57" s="1146"/>
      <c r="P57" s="965"/>
      <c r="Q57" s="1764"/>
      <c r="R57" s="1765"/>
      <c r="S57" s="833"/>
      <c r="T57" s="860"/>
      <c r="AA57" s="126"/>
      <c r="AB57" s="104"/>
      <c r="AC57" s="126"/>
      <c r="AD57" s="126"/>
      <c r="AE57" s="126"/>
      <c r="AF57" s="126"/>
      <c r="AG57" s="126"/>
    </row>
    <row r="58" spans="1:33" s="72" customFormat="1" ht="12.75" customHeight="1">
      <c r="A58" s="1311" t="s">
        <v>261</v>
      </c>
      <c r="B58" s="1032" t="s">
        <v>537</v>
      </c>
      <c r="C58" s="1001" t="s">
        <v>508</v>
      </c>
      <c r="D58" s="211" t="s">
        <v>262</v>
      </c>
      <c r="E58" s="822"/>
      <c r="F58" s="206"/>
      <c r="G58" s="455"/>
      <c r="H58" s="1033"/>
      <c r="I58" s="822"/>
      <c r="J58" s="206"/>
      <c r="K58" s="689"/>
      <c r="L58" s="1167"/>
      <c r="M58" s="1179"/>
      <c r="N58" s="939"/>
      <c r="O58" s="939"/>
      <c r="P58" s="963"/>
      <c r="Q58" s="1762"/>
      <c r="R58" s="1763"/>
      <c r="S58" s="233"/>
      <c r="T58" s="459"/>
      <c r="AA58" s="126"/>
      <c r="AB58" s="104"/>
      <c r="AC58" s="126"/>
      <c r="AD58" s="126"/>
      <c r="AE58" s="126"/>
      <c r="AF58" s="126"/>
      <c r="AG58" s="126"/>
    </row>
    <row r="59" spans="1:33" s="72" customFormat="1" ht="12.75" customHeight="1">
      <c r="A59" s="1311" t="s">
        <v>261</v>
      </c>
      <c r="B59" s="1592" t="s">
        <v>425</v>
      </c>
      <c r="C59" s="425" t="s">
        <v>238</v>
      </c>
      <c r="D59" s="1593" t="s">
        <v>260</v>
      </c>
      <c r="E59" s="822"/>
      <c r="F59" s="206"/>
      <c r="G59" s="689">
        <v>708</v>
      </c>
      <c r="H59" s="690">
        <v>1330</v>
      </c>
      <c r="I59" s="822"/>
      <c r="J59" s="206"/>
      <c r="K59" s="689"/>
      <c r="L59" s="1168"/>
      <c r="M59" s="1179"/>
      <c r="N59" s="939"/>
      <c r="O59" s="939"/>
      <c r="P59" s="963"/>
      <c r="Q59" s="1762"/>
      <c r="R59" s="1763"/>
      <c r="S59" s="233"/>
      <c r="T59" s="459"/>
      <c r="AA59" s="126"/>
      <c r="AB59" s="104"/>
      <c r="AC59" s="126"/>
      <c r="AD59" s="126"/>
      <c r="AE59" s="126"/>
      <c r="AF59" s="126"/>
      <c r="AG59" s="126"/>
    </row>
    <row r="60" spans="1:33" s="72" customFormat="1" ht="13.5" customHeight="1" thickBot="1">
      <c r="A60" s="1157" t="s">
        <v>261</v>
      </c>
      <c r="B60" s="1595" t="s">
        <v>264</v>
      </c>
      <c r="C60" s="1596" t="s">
        <v>238</v>
      </c>
      <c r="D60" s="1597" t="s">
        <v>260</v>
      </c>
      <c r="E60" s="818">
        <v>3180</v>
      </c>
      <c r="F60" s="832">
        <v>1282</v>
      </c>
      <c r="G60" s="833">
        <v>1905</v>
      </c>
      <c r="H60" s="601">
        <v>1867</v>
      </c>
      <c r="I60" s="818"/>
      <c r="J60" s="832"/>
      <c r="K60" s="940"/>
      <c r="L60" s="1163"/>
      <c r="M60" s="1180"/>
      <c r="N60" s="940"/>
      <c r="O60" s="940"/>
      <c r="P60" s="965"/>
      <c r="Q60" s="1766"/>
      <c r="R60" s="1765"/>
      <c r="S60" s="833"/>
      <c r="T60" s="860"/>
      <c r="AB60" s="67"/>
    </row>
    <row r="61" spans="1:33" s="72" customFormat="1" ht="13.05" customHeight="1">
      <c r="A61" s="1319" t="s">
        <v>358</v>
      </c>
      <c r="B61" s="1594" t="s">
        <v>358</v>
      </c>
      <c r="C61" s="1594" t="s">
        <v>251</v>
      </c>
      <c r="D61" s="811" t="s">
        <v>235</v>
      </c>
      <c r="E61" s="817"/>
      <c r="F61" s="195"/>
      <c r="G61" s="594"/>
      <c r="H61" s="595"/>
      <c r="I61" s="817"/>
      <c r="J61" s="195"/>
      <c r="K61" s="939"/>
      <c r="L61" s="1169"/>
      <c r="M61" s="1192"/>
      <c r="N61" s="941"/>
      <c r="O61" s="902"/>
      <c r="P61" s="1193"/>
      <c r="Q61" s="1755"/>
      <c r="R61" s="460"/>
      <c r="S61" s="460"/>
      <c r="T61" s="1756"/>
    </row>
    <row r="62" spans="1:33" s="72" customFormat="1" ht="13.05" customHeight="1">
      <c r="A62" s="1311" t="s">
        <v>358</v>
      </c>
      <c r="B62" s="1496" t="s">
        <v>358</v>
      </c>
      <c r="C62" s="1497" t="s">
        <v>231</v>
      </c>
      <c r="D62" s="811" t="s">
        <v>235</v>
      </c>
      <c r="E62" s="817"/>
      <c r="F62" s="195"/>
      <c r="G62" s="594"/>
      <c r="H62" s="595"/>
      <c r="I62" s="817"/>
      <c r="J62" s="195"/>
      <c r="K62" s="939"/>
      <c r="L62" s="1169"/>
      <c r="M62" s="1179"/>
      <c r="N62" s="939"/>
      <c r="O62" s="939"/>
      <c r="P62" s="963"/>
      <c r="Q62" s="1752"/>
      <c r="R62" s="233"/>
      <c r="S62" s="233"/>
      <c r="T62" s="459"/>
    </row>
    <row r="63" spans="1:33" s="72" customFormat="1" ht="13.05" customHeight="1" thickBot="1">
      <c r="A63" s="1497" t="s">
        <v>563</v>
      </c>
      <c r="B63" s="1590" t="s">
        <v>563</v>
      </c>
      <c r="C63" s="1590" t="s">
        <v>231</v>
      </c>
      <c r="D63" s="1591" t="s">
        <v>572</v>
      </c>
      <c r="E63" s="818"/>
      <c r="F63" s="1312"/>
      <c r="G63" s="903"/>
      <c r="H63" s="596"/>
      <c r="I63" s="818"/>
      <c r="J63" s="1312"/>
      <c r="K63" s="940"/>
      <c r="L63" s="1170"/>
      <c r="M63" s="1185"/>
      <c r="N63" s="689"/>
      <c r="O63" s="689"/>
      <c r="P63" s="961"/>
      <c r="Q63" s="1753"/>
      <c r="R63" s="455"/>
      <c r="S63" s="455"/>
      <c r="T63" s="456"/>
    </row>
    <row r="64" spans="1:33" s="72" customFormat="1" ht="13.05" customHeight="1">
      <c r="A64" s="1319" t="s">
        <v>360</v>
      </c>
      <c r="B64" s="1498" t="s">
        <v>564</v>
      </c>
      <c r="C64" s="1498" t="s">
        <v>251</v>
      </c>
      <c r="D64" s="811" t="s">
        <v>235</v>
      </c>
      <c r="E64" s="817"/>
      <c r="F64" s="195"/>
      <c r="G64" s="594"/>
      <c r="H64" s="595"/>
      <c r="I64" s="817"/>
      <c r="J64" s="195"/>
      <c r="K64" s="939"/>
      <c r="L64" s="1169"/>
      <c r="M64" s="1178"/>
      <c r="N64" s="964"/>
      <c r="O64" s="964"/>
      <c r="P64" s="962"/>
      <c r="Q64" s="1751"/>
      <c r="R64" s="457"/>
      <c r="S64" s="457"/>
      <c r="T64" s="458"/>
    </row>
    <row r="65" spans="1:27" s="72" customFormat="1" ht="13.05" customHeight="1">
      <c r="A65" s="1311" t="s">
        <v>360</v>
      </c>
      <c r="B65" s="1498" t="s">
        <v>598</v>
      </c>
      <c r="C65" s="1497" t="s">
        <v>251</v>
      </c>
      <c r="D65" s="811" t="s">
        <v>235</v>
      </c>
      <c r="E65" s="817"/>
      <c r="F65" s="195"/>
      <c r="G65" s="594"/>
      <c r="H65" s="595"/>
      <c r="I65" s="817"/>
      <c r="J65" s="195"/>
      <c r="K65" s="939"/>
      <c r="L65" s="1169"/>
      <c r="M65" s="1186"/>
      <c r="N65" s="941"/>
      <c r="O65" s="941"/>
      <c r="P65" s="1187"/>
      <c r="Q65" s="1755"/>
      <c r="R65" s="460"/>
      <c r="S65" s="460"/>
      <c r="T65" s="1756"/>
    </row>
    <row r="66" spans="1:27" s="72" customFormat="1" ht="13.05" customHeight="1">
      <c r="A66" s="1320" t="s">
        <v>360</v>
      </c>
      <c r="B66" s="1498" t="s">
        <v>565</v>
      </c>
      <c r="C66" s="1497" t="s">
        <v>359</v>
      </c>
      <c r="D66" s="811" t="s">
        <v>235</v>
      </c>
      <c r="E66" s="817"/>
      <c r="F66" s="195"/>
      <c r="G66" s="594"/>
      <c r="H66" s="595"/>
      <c r="I66" s="817"/>
      <c r="J66" s="195"/>
      <c r="K66" s="939"/>
      <c r="L66" s="1169"/>
      <c r="M66" s="1179"/>
      <c r="N66" s="939"/>
      <c r="O66" s="939"/>
      <c r="P66" s="963"/>
      <c r="Q66" s="1752"/>
      <c r="R66" s="233"/>
      <c r="S66" s="233"/>
      <c r="T66" s="459"/>
    </row>
    <row r="67" spans="1:27" s="72" customFormat="1" ht="13.05" customHeight="1">
      <c r="A67" s="1311" t="s">
        <v>360</v>
      </c>
      <c r="B67" s="1498" t="s">
        <v>569</v>
      </c>
      <c r="C67" s="1497" t="s">
        <v>231</v>
      </c>
      <c r="D67" s="811" t="s">
        <v>235</v>
      </c>
      <c r="E67" s="817"/>
      <c r="F67" s="1156"/>
      <c r="G67" s="897"/>
      <c r="H67" s="1114"/>
      <c r="I67" s="822"/>
      <c r="J67" s="1156"/>
      <c r="K67" s="689"/>
      <c r="L67" s="1171"/>
      <c r="M67" s="1179"/>
      <c r="N67" s="939"/>
      <c r="O67" s="939"/>
      <c r="P67" s="963"/>
      <c r="Q67" s="1752"/>
      <c r="R67" s="233"/>
      <c r="S67" s="233"/>
      <c r="T67" s="459"/>
    </row>
    <row r="68" spans="1:27" s="72" customFormat="1" ht="13.05" customHeight="1">
      <c r="A68" s="1311" t="s">
        <v>360</v>
      </c>
      <c r="B68" s="1498" t="s">
        <v>570</v>
      </c>
      <c r="C68" s="1497" t="s">
        <v>237</v>
      </c>
      <c r="D68" s="811" t="s">
        <v>235</v>
      </c>
      <c r="E68" s="817"/>
      <c r="F68" s="1156"/>
      <c r="G68" s="897"/>
      <c r="H68" s="1114"/>
      <c r="I68" s="822"/>
      <c r="J68" s="1156"/>
      <c r="K68" s="689"/>
      <c r="L68" s="1171"/>
      <c r="M68" s="1179"/>
      <c r="N68" s="939"/>
      <c r="O68" s="939"/>
      <c r="P68" s="963"/>
      <c r="Q68" s="1752"/>
      <c r="R68" s="233"/>
      <c r="S68" s="233"/>
      <c r="T68" s="459"/>
    </row>
    <row r="69" spans="1:27" s="72" customFormat="1" ht="13.05" customHeight="1">
      <c r="A69" s="1311" t="s">
        <v>360</v>
      </c>
      <c r="B69" s="1498" t="s">
        <v>571</v>
      </c>
      <c r="C69" s="1497" t="s">
        <v>237</v>
      </c>
      <c r="D69" s="811" t="s">
        <v>235</v>
      </c>
      <c r="E69" s="817"/>
      <c r="F69" s="1156"/>
      <c r="G69" s="897"/>
      <c r="H69" s="1114"/>
      <c r="I69" s="822"/>
      <c r="J69" s="1156"/>
      <c r="K69" s="689"/>
      <c r="L69" s="1171"/>
      <c r="M69" s="1179"/>
      <c r="N69" s="939"/>
      <c r="O69" s="939"/>
      <c r="P69" s="963"/>
      <c r="Q69" s="1752"/>
      <c r="R69" s="233"/>
      <c r="S69" s="233"/>
      <c r="T69" s="459"/>
    </row>
    <row r="70" spans="1:27" s="72" customFormat="1" ht="13.05" customHeight="1" thickBot="1">
      <c r="A70" s="1157" t="s">
        <v>521</v>
      </c>
      <c r="B70" s="790" t="s">
        <v>476</v>
      </c>
      <c r="C70" s="790" t="s">
        <v>235</v>
      </c>
      <c r="D70" s="814" t="s">
        <v>235</v>
      </c>
      <c r="E70" s="818"/>
      <c r="F70" s="1312"/>
      <c r="G70" s="903"/>
      <c r="H70" s="596"/>
      <c r="I70" s="818"/>
      <c r="J70" s="1312"/>
      <c r="K70" s="940"/>
      <c r="L70" s="1170"/>
      <c r="M70" s="1182"/>
      <c r="N70" s="940"/>
      <c r="O70" s="903"/>
      <c r="P70" s="904"/>
      <c r="Q70" s="1754"/>
      <c r="R70" s="833"/>
      <c r="S70" s="833"/>
      <c r="T70" s="860"/>
    </row>
    <row r="71" spans="1:27" ht="13.8" thickBot="1">
      <c r="A71" s="212" t="s">
        <v>207</v>
      </c>
      <c r="B71" s="438" t="s">
        <v>235</v>
      </c>
      <c r="C71" s="425" t="s">
        <v>265</v>
      </c>
      <c r="D71" s="424" t="s">
        <v>235</v>
      </c>
      <c r="E71" s="823">
        <v>106928</v>
      </c>
      <c r="F71" s="214">
        <v>106477</v>
      </c>
      <c r="G71" s="669">
        <v>100000</v>
      </c>
      <c r="H71" s="670">
        <v>100000</v>
      </c>
      <c r="I71" s="823"/>
      <c r="J71" s="214"/>
      <c r="K71" s="943"/>
      <c r="L71" s="1172"/>
      <c r="M71" s="1194"/>
      <c r="N71" s="943"/>
      <c r="O71" s="943"/>
      <c r="P71" s="967"/>
      <c r="Q71" s="1767"/>
      <c r="R71" s="669"/>
      <c r="S71" s="669"/>
      <c r="T71" s="854"/>
    </row>
    <row r="72" spans="1:27" ht="13.8" thickBot="1">
      <c r="A72" s="829" t="s">
        <v>470</v>
      </c>
      <c r="B72" s="215"/>
      <c r="C72" s="215"/>
      <c r="D72" s="828"/>
      <c r="E72" s="824">
        <f t="shared" ref="E72:P72" si="0">SUM(E9:E71)</f>
        <v>8694423</v>
      </c>
      <c r="F72" s="216">
        <f t="shared" si="0"/>
        <v>9205972</v>
      </c>
      <c r="G72" s="198">
        <f t="shared" si="0"/>
        <v>9281195</v>
      </c>
      <c r="H72" s="199">
        <f t="shared" si="0"/>
        <v>9716775</v>
      </c>
      <c r="I72" s="824">
        <f t="shared" si="0"/>
        <v>0</v>
      </c>
      <c r="J72" s="216">
        <f t="shared" si="0"/>
        <v>0</v>
      </c>
      <c r="K72" s="198">
        <f t="shared" si="0"/>
        <v>0</v>
      </c>
      <c r="L72" s="1173">
        <f t="shared" si="0"/>
        <v>0</v>
      </c>
      <c r="M72" s="1183">
        <f t="shared" si="0"/>
        <v>0</v>
      </c>
      <c r="N72" s="198">
        <f t="shared" si="0"/>
        <v>0</v>
      </c>
      <c r="O72" s="198">
        <f t="shared" si="0"/>
        <v>0</v>
      </c>
      <c r="P72" s="1184">
        <f t="shared" si="0"/>
        <v>0</v>
      </c>
      <c r="Q72" s="1645">
        <f t="shared" ref="Q72:T72" si="1">SUM(Q9:Q71)</f>
        <v>0</v>
      </c>
      <c r="R72" s="954">
        <f t="shared" si="1"/>
        <v>0</v>
      </c>
      <c r="S72" s="1768">
        <f t="shared" si="1"/>
        <v>0</v>
      </c>
      <c r="T72" s="670">
        <f t="shared" si="1"/>
        <v>0</v>
      </c>
    </row>
    <row r="73" spans="1:27" ht="15.6">
      <c r="A73" s="1321"/>
      <c r="U73" s="133"/>
      <c r="V73" s="133"/>
      <c r="W73" s="133"/>
      <c r="X73" s="133"/>
      <c r="Y73" s="133"/>
      <c r="Z73" s="133"/>
      <c r="AA73" s="133"/>
    </row>
    <row r="74" spans="1:27" ht="16.2" thickBot="1">
      <c r="E74" s="1028"/>
      <c r="F74" s="1028"/>
      <c r="G74" s="1028"/>
      <c r="H74" s="1028"/>
      <c r="I74" s="1028"/>
      <c r="J74" s="1028"/>
      <c r="K74" s="1028"/>
      <c r="L74" s="1028"/>
      <c r="M74" s="1028"/>
      <c r="N74" s="1028"/>
      <c r="O74" s="1115"/>
      <c r="P74"/>
      <c r="Q74" s="1115"/>
      <c r="R74" s="14"/>
      <c r="S74" s="1115"/>
      <c r="T74" s="14"/>
    </row>
    <row r="75" spans="1:27" ht="16.2" thickBot="1">
      <c r="A75" s="840" t="str">
        <f>$A$6</f>
        <v>Ethernet  transceivers</v>
      </c>
      <c r="I75" s="773" t="s">
        <v>368</v>
      </c>
      <c r="O75" s="1236" t="str">
        <f>I75</f>
        <v>ASPs: Based on vendor survey data</v>
      </c>
      <c r="Q75"/>
      <c r="R75"/>
      <c r="S75" s="1862" t="s">
        <v>623</v>
      </c>
      <c r="T75" s="1863"/>
    </row>
    <row r="76" spans="1:27" ht="13.8" thickBot="1">
      <c r="A76" s="791" t="s">
        <v>211</v>
      </c>
      <c r="B76" s="780" t="s">
        <v>230</v>
      </c>
      <c r="C76" s="780" t="s">
        <v>224</v>
      </c>
      <c r="D76" s="787" t="s">
        <v>225</v>
      </c>
      <c r="E76" s="805" t="s">
        <v>130</v>
      </c>
      <c r="F76" s="144" t="s">
        <v>131</v>
      </c>
      <c r="G76" s="144" t="s">
        <v>132</v>
      </c>
      <c r="H76" s="441" t="s">
        <v>133</v>
      </c>
      <c r="I76" s="805" t="str">
        <f t="shared" ref="I76:N76" si="2">I7</f>
        <v>1Q 18</v>
      </c>
      <c r="J76" s="144" t="str">
        <f t="shared" si="2"/>
        <v>2Q 18</v>
      </c>
      <c r="K76" s="144" t="str">
        <f t="shared" si="2"/>
        <v>3Q 18</v>
      </c>
      <c r="L76" s="192" t="str">
        <f t="shared" si="2"/>
        <v>4Q 18</v>
      </c>
      <c r="M76" s="143" t="str">
        <f t="shared" si="2"/>
        <v>1Q 19</v>
      </c>
      <c r="N76" s="144" t="str">
        <f t="shared" si="2"/>
        <v>2Q 19</v>
      </c>
      <c r="O76" s="144" t="s">
        <v>140</v>
      </c>
      <c r="P76" s="152" t="s">
        <v>141</v>
      </c>
      <c r="Q76" s="771" t="s">
        <v>142</v>
      </c>
      <c r="R76" s="771" t="s">
        <v>143</v>
      </c>
      <c r="S76" s="774" t="s">
        <v>621</v>
      </c>
      <c r="T76" s="774" t="s">
        <v>622</v>
      </c>
    </row>
    <row r="77" spans="1:27" ht="13.8" thickBot="1">
      <c r="A77" s="826" t="str">
        <f t="shared" ref="A77:D92" si="3">A8</f>
        <v>GigE over copper</v>
      </c>
      <c r="B77" s="826" t="str">
        <f t="shared" si="3"/>
        <v>1000BASE-T</v>
      </c>
      <c r="C77" s="826" t="str">
        <f t="shared" si="3"/>
        <v xml:space="preserve">100m </v>
      </c>
      <c r="D77" s="826" t="str">
        <f t="shared" si="3"/>
        <v>all</v>
      </c>
      <c r="E77" s="806">
        <v>18.81313930496642</v>
      </c>
      <c r="F77" s="662">
        <v>19.143786850030217</v>
      </c>
      <c r="G77" s="662">
        <v>20.179869425160629</v>
      </c>
      <c r="H77" s="663">
        <v>19.817592035388877</v>
      </c>
      <c r="I77" s="806"/>
      <c r="J77" s="662"/>
      <c r="K77" s="942"/>
      <c r="L77" s="1158"/>
      <c r="M77" s="1195"/>
      <c r="N77" s="1196"/>
      <c r="O77" s="937"/>
      <c r="P77" s="1177"/>
      <c r="Q77" s="1769"/>
      <c r="R77" s="1770"/>
      <c r="S77" s="660"/>
      <c r="T77" s="1771"/>
    </row>
    <row r="78" spans="1:27" ht="12.45" customHeight="1">
      <c r="A78" s="1309" t="str">
        <f t="shared" si="3"/>
        <v>1 GbE</v>
      </c>
      <c r="B78" s="211" t="str">
        <f t="shared" si="3"/>
        <v>GbE  single rate</v>
      </c>
      <c r="C78" s="211" t="str">
        <f t="shared" si="3"/>
        <v>500 m</v>
      </c>
      <c r="D78" s="211" t="str">
        <f t="shared" si="3"/>
        <v>SFP</v>
      </c>
      <c r="E78" s="808">
        <v>10.418059885233207</v>
      </c>
      <c r="F78" s="197">
        <v>9.986676571824777</v>
      </c>
      <c r="G78" s="197">
        <v>7.2689104387359764</v>
      </c>
      <c r="H78" s="197">
        <v>8.47584282513834</v>
      </c>
      <c r="I78" s="808"/>
      <c r="J78" s="197"/>
      <c r="K78" s="1322"/>
      <c r="L78" s="1159"/>
      <c r="M78" s="1199"/>
      <c r="N78" s="1323"/>
      <c r="O78" s="1323"/>
      <c r="P78" s="1324"/>
      <c r="Q78" s="1772"/>
      <c r="R78" s="1773"/>
      <c r="S78" s="1773"/>
      <c r="T78" s="1774"/>
    </row>
    <row r="79" spans="1:27" ht="12.45" customHeight="1">
      <c r="A79" s="1309" t="str">
        <f t="shared" si="3"/>
        <v>1 GbE</v>
      </c>
      <c r="B79" s="211" t="str">
        <f t="shared" si="3"/>
        <v>GbE  single rate</v>
      </c>
      <c r="C79" s="211" t="str">
        <f t="shared" si="3"/>
        <v>10 km</v>
      </c>
      <c r="D79" s="211" t="str">
        <f t="shared" si="3"/>
        <v>SFP</v>
      </c>
      <c r="E79" s="808">
        <v>10.750244735659422</v>
      </c>
      <c r="F79" s="197">
        <v>10.357870537865555</v>
      </c>
      <c r="G79" s="197">
        <v>9.1805056207792735</v>
      </c>
      <c r="H79" s="197">
        <v>8.986388958330819</v>
      </c>
      <c r="I79" s="808"/>
      <c r="J79" s="197"/>
      <c r="K79" s="1322"/>
      <c r="L79" s="1159"/>
      <c r="M79" s="1198"/>
      <c r="N79" s="1326"/>
      <c r="O79" s="1326"/>
      <c r="P79" s="1327"/>
      <c r="Q79" s="1775"/>
      <c r="R79" s="1414"/>
      <c r="S79" s="1414"/>
      <c r="T79" s="1417"/>
    </row>
    <row r="80" spans="1:27" ht="12.45" customHeight="1">
      <c r="A80" s="1309" t="str">
        <f t="shared" si="3"/>
        <v>1 GbE</v>
      </c>
      <c r="B80" s="211" t="str">
        <f t="shared" si="3"/>
        <v>GbE  single rate</v>
      </c>
      <c r="C80" s="211" t="str">
        <f t="shared" si="3"/>
        <v>40 km</v>
      </c>
      <c r="D80" s="211" t="str">
        <f t="shared" si="3"/>
        <v>SFP</v>
      </c>
      <c r="E80" s="808">
        <v>11.618184039497542</v>
      </c>
      <c r="F80" s="197">
        <v>11.240647641362825</v>
      </c>
      <c r="G80" s="197">
        <v>11.089496081465581</v>
      </c>
      <c r="H80" s="197">
        <v>11.072520369838912</v>
      </c>
      <c r="I80" s="808"/>
      <c r="J80" s="197"/>
      <c r="K80" s="1322"/>
      <c r="L80" s="1159"/>
      <c r="M80" s="1198"/>
      <c r="N80" s="1326"/>
      <c r="O80" s="1326"/>
      <c r="P80" s="1327"/>
      <c r="Q80" s="1775"/>
      <c r="R80" s="1414"/>
      <c r="S80" s="1414"/>
      <c r="T80" s="1417"/>
    </row>
    <row r="81" spans="1:20" ht="12.45" customHeight="1" thickBot="1">
      <c r="A81" s="1309" t="str">
        <f t="shared" si="3"/>
        <v>1 GbE</v>
      </c>
      <c r="B81" s="211" t="str">
        <f t="shared" si="3"/>
        <v>GbE  single rate</v>
      </c>
      <c r="C81" s="211" t="str">
        <f t="shared" si="3"/>
        <v>80 km</v>
      </c>
      <c r="D81" s="211" t="str">
        <f t="shared" si="3"/>
        <v>SFP</v>
      </c>
      <c r="E81" s="809">
        <v>47.351477446207021</v>
      </c>
      <c r="F81" s="830">
        <v>42.032993882358809</v>
      </c>
      <c r="G81" s="830">
        <v>39.71670123547463</v>
      </c>
      <c r="H81" s="830">
        <v>39.51190225503705</v>
      </c>
      <c r="I81" s="809"/>
      <c r="J81" s="830"/>
      <c r="K81" s="1328"/>
      <c r="L81" s="1160"/>
      <c r="M81" s="1200"/>
      <c r="N81" s="1329"/>
      <c r="O81" s="1329"/>
      <c r="P81" s="1330"/>
      <c r="Q81" s="1776"/>
      <c r="R81" s="1777"/>
      <c r="S81" s="1777"/>
      <c r="T81" s="1778"/>
    </row>
    <row r="82" spans="1:20" ht="12.45" customHeight="1">
      <c r="A82" s="1319" t="str">
        <f t="shared" si="3"/>
        <v>10GbE</v>
      </c>
      <c r="B82" s="788" t="str">
        <f t="shared" si="3"/>
        <v>10 GbE SR</v>
      </c>
      <c r="C82" s="788" t="str">
        <f t="shared" si="3"/>
        <v>300 m</v>
      </c>
      <c r="D82" s="194" t="str">
        <f t="shared" si="3"/>
        <v>X2</v>
      </c>
      <c r="E82" s="807">
        <v>79.220215857202163</v>
      </c>
      <c r="F82" s="205">
        <v>78.103553106593196</v>
      </c>
      <c r="G82" s="205">
        <v>81.471942446043201</v>
      </c>
      <c r="H82" s="442">
        <v>77.575882914413</v>
      </c>
      <c r="I82" s="807"/>
      <c r="J82" s="205"/>
      <c r="K82" s="1323"/>
      <c r="L82" s="1161"/>
      <c r="M82" s="1197"/>
      <c r="N82" s="1333"/>
      <c r="O82" s="1333"/>
      <c r="P82" s="1334"/>
      <c r="Q82" s="1779"/>
      <c r="R82" s="1780"/>
      <c r="S82" s="1780"/>
      <c r="T82" s="1781"/>
    </row>
    <row r="83" spans="1:20" ht="12.45" customHeight="1">
      <c r="A83" s="1311" t="str">
        <f t="shared" si="3"/>
        <v>10GbE</v>
      </c>
      <c r="B83" s="784" t="str">
        <f t="shared" si="3"/>
        <v>10 GbE SR</v>
      </c>
      <c r="C83" s="784" t="str">
        <f t="shared" si="3"/>
        <v>300 m</v>
      </c>
      <c r="D83" s="193" t="str">
        <f t="shared" si="3"/>
        <v>XFP</v>
      </c>
      <c r="E83" s="808">
        <v>57.286610878661087</v>
      </c>
      <c r="F83" s="197">
        <v>58.087817280040014</v>
      </c>
      <c r="G83" s="197">
        <v>58.824289665577091</v>
      </c>
      <c r="H83" s="443">
        <v>61.069190600522191</v>
      </c>
      <c r="I83" s="808"/>
      <c r="J83" s="197"/>
      <c r="K83" s="1326"/>
      <c r="L83" s="1159"/>
      <c r="M83" s="1198"/>
      <c r="N83" s="1326"/>
      <c r="O83" s="1326"/>
      <c r="P83" s="1327"/>
      <c r="Q83" s="1775"/>
      <c r="R83" s="1414"/>
      <c r="S83" s="1414"/>
      <c r="T83" s="1417"/>
    </row>
    <row r="84" spans="1:20" ht="12.45" customHeight="1">
      <c r="A84" s="1311" t="str">
        <f t="shared" si="3"/>
        <v>10GbE</v>
      </c>
      <c r="B84" s="784" t="str">
        <f t="shared" si="3"/>
        <v>10 GbE SR</v>
      </c>
      <c r="C84" s="784" t="str">
        <f t="shared" si="3"/>
        <v>300 m</v>
      </c>
      <c r="D84" s="193" t="str">
        <f t="shared" si="3"/>
        <v xml:space="preserve">SFP+ </v>
      </c>
      <c r="E84" s="808">
        <v>17.332131838836073</v>
      </c>
      <c r="F84" s="197">
        <v>16.370712676459057</v>
      </c>
      <c r="G84" s="197">
        <v>14.065644466303539</v>
      </c>
      <c r="H84" s="443">
        <v>15.664197022593532</v>
      </c>
      <c r="I84" s="808"/>
      <c r="J84" s="197"/>
      <c r="K84" s="1326"/>
      <c r="L84" s="1159"/>
      <c r="M84" s="1198"/>
      <c r="N84" s="1326"/>
      <c r="O84" s="1326"/>
      <c r="P84" s="1327"/>
      <c r="Q84" s="1775"/>
      <c r="R84" s="1414"/>
      <c r="S84" s="1414"/>
      <c r="T84" s="1417"/>
    </row>
    <row r="85" spans="1:20" ht="12.45" customHeight="1">
      <c r="A85" s="1311" t="str">
        <f t="shared" si="3"/>
        <v>10GbE</v>
      </c>
      <c r="B85" s="786" t="str">
        <f t="shared" si="3"/>
        <v>10 GbE SR</v>
      </c>
      <c r="C85" s="786" t="str">
        <f t="shared" si="3"/>
        <v>300 m</v>
      </c>
      <c r="D85" s="368" t="str">
        <f t="shared" si="3"/>
        <v>SFP+ Sub-spec</v>
      </c>
      <c r="E85" s="808">
        <v>13.217336064859255</v>
      </c>
      <c r="F85" s="197">
        <v>13.095470466244054</v>
      </c>
      <c r="G85" s="197">
        <v>11.963384006067722</v>
      </c>
      <c r="H85" s="443">
        <v>12.10117777671868</v>
      </c>
      <c r="I85" s="808"/>
      <c r="J85" s="197"/>
      <c r="K85" s="1326"/>
      <c r="L85" s="1159"/>
      <c r="M85" s="1198"/>
      <c r="N85" s="1326"/>
      <c r="O85" s="1326"/>
      <c r="P85" s="1327"/>
      <c r="Q85" s="1775"/>
      <c r="R85" s="1414"/>
      <c r="S85" s="1414"/>
      <c r="T85" s="1417"/>
    </row>
    <row r="86" spans="1:20" ht="12.45" customHeight="1">
      <c r="A86" s="1311" t="str">
        <f t="shared" si="3"/>
        <v>10GbE</v>
      </c>
      <c r="B86" s="426" t="str">
        <f t="shared" si="3"/>
        <v>10 GbE LRM</v>
      </c>
      <c r="C86" s="426" t="str">
        <f t="shared" si="3"/>
        <v>220 m</v>
      </c>
      <c r="D86" s="368" t="str">
        <f t="shared" si="3"/>
        <v>SFP+</v>
      </c>
      <c r="E86" s="808">
        <v>69.31759044006688</v>
      </c>
      <c r="F86" s="197">
        <v>67.708616925645302</v>
      </c>
      <c r="G86" s="197">
        <v>65.767021007339935</v>
      </c>
      <c r="H86" s="443">
        <v>63.617944175803132</v>
      </c>
      <c r="I86" s="808"/>
      <c r="J86" s="197"/>
      <c r="K86" s="1326"/>
      <c r="L86" s="1159"/>
      <c r="M86" s="1198"/>
      <c r="N86" s="1326"/>
      <c r="O86" s="1326"/>
      <c r="P86" s="1327"/>
      <c r="Q86" s="1775"/>
      <c r="R86" s="1414"/>
      <c r="S86" s="1414"/>
      <c r="T86" s="1417"/>
    </row>
    <row r="87" spans="1:20" ht="12.45" customHeight="1">
      <c r="A87" s="1311" t="str">
        <f t="shared" si="3"/>
        <v>10GbE</v>
      </c>
      <c r="B87" s="784" t="str">
        <f t="shared" si="3"/>
        <v>10 GbE (LR)</v>
      </c>
      <c r="C87" s="784" t="str">
        <f t="shared" si="3"/>
        <v>10 km</v>
      </c>
      <c r="D87" s="211" t="str">
        <f t="shared" si="3"/>
        <v>X2</v>
      </c>
      <c r="E87" s="808">
        <v>133.56618887015176</v>
      </c>
      <c r="F87" s="197">
        <v>123.70661512027492</v>
      </c>
      <c r="G87" s="197">
        <v>132.528448947779</v>
      </c>
      <c r="H87" s="443">
        <v>120.97510625379491</v>
      </c>
      <c r="I87" s="808"/>
      <c r="J87" s="197"/>
      <c r="K87" s="1326"/>
      <c r="L87" s="1159"/>
      <c r="M87" s="1198"/>
      <c r="N87" s="1326"/>
      <c r="O87" s="1326"/>
      <c r="P87" s="1327"/>
      <c r="Q87" s="1775"/>
      <c r="R87" s="1414"/>
      <c r="S87" s="1414"/>
      <c r="T87" s="1417"/>
    </row>
    <row r="88" spans="1:20" ht="12.45" customHeight="1">
      <c r="A88" s="1311" t="str">
        <f t="shared" si="3"/>
        <v>10GbE</v>
      </c>
      <c r="B88" s="784" t="str">
        <f t="shared" si="3"/>
        <v>10 GbE (LR)</v>
      </c>
      <c r="C88" s="784" t="str">
        <f t="shared" si="3"/>
        <v>10 km</v>
      </c>
      <c r="D88" s="211" t="str">
        <f t="shared" si="3"/>
        <v>XFP</v>
      </c>
      <c r="E88" s="808">
        <v>49.782719135388483</v>
      </c>
      <c r="F88" s="197">
        <v>44.925265125767581</v>
      </c>
      <c r="G88" s="197">
        <v>62.379539560529622</v>
      </c>
      <c r="H88" s="443">
        <v>55.699816608921061</v>
      </c>
      <c r="I88" s="808"/>
      <c r="J88" s="197"/>
      <c r="K88" s="1326"/>
      <c r="L88" s="1159"/>
      <c r="M88" s="1198"/>
      <c r="N88" s="1326"/>
      <c r="O88" s="1326"/>
      <c r="P88" s="1327"/>
      <c r="Q88" s="1775"/>
      <c r="R88" s="1414"/>
      <c r="S88" s="1414"/>
      <c r="T88" s="1417"/>
    </row>
    <row r="89" spans="1:20" ht="12.45" customHeight="1">
      <c r="A89" s="1311" t="str">
        <f t="shared" si="3"/>
        <v>10GbE</v>
      </c>
      <c r="B89" s="784" t="str">
        <f t="shared" si="3"/>
        <v>10 GbE (LR)</v>
      </c>
      <c r="C89" s="784" t="str">
        <f t="shared" si="3"/>
        <v>10 km</v>
      </c>
      <c r="D89" s="211" t="str">
        <f t="shared" si="3"/>
        <v>SFP+</v>
      </c>
      <c r="E89" s="808">
        <v>39.603683066364361</v>
      </c>
      <c r="F89" s="197">
        <v>38.788674270044936</v>
      </c>
      <c r="G89" s="197">
        <v>30.842656863962187</v>
      </c>
      <c r="H89" s="443">
        <v>28.958757013515026</v>
      </c>
      <c r="I89" s="808"/>
      <c r="J89" s="197"/>
      <c r="K89" s="1326"/>
      <c r="L89" s="1159"/>
      <c r="M89" s="1198"/>
      <c r="N89" s="1326"/>
      <c r="O89" s="1326"/>
      <c r="P89" s="1327"/>
      <c r="Q89" s="1775"/>
      <c r="R89" s="1775"/>
      <c r="S89" s="1414"/>
      <c r="T89" s="1417"/>
    </row>
    <row r="90" spans="1:20" ht="12.45" customHeight="1">
      <c r="A90" s="1311" t="str">
        <f t="shared" si="3"/>
        <v>10GbE</v>
      </c>
      <c r="B90" s="426" t="str">
        <f t="shared" si="3"/>
        <v>10 GbE (LR)</v>
      </c>
      <c r="C90" s="426" t="str">
        <f t="shared" si="3"/>
        <v>2 km</v>
      </c>
      <c r="D90" s="368" t="str">
        <f t="shared" si="3"/>
        <v>SFP+ sub-spec</v>
      </c>
      <c r="E90" s="808">
        <v>26.866029984959003</v>
      </c>
      <c r="F90" s="197">
        <v>26.300967866629662</v>
      </c>
      <c r="G90" s="197">
        <v>26.001894864211636</v>
      </c>
      <c r="H90" s="443">
        <v>26</v>
      </c>
      <c r="I90" s="808"/>
      <c r="J90" s="197"/>
      <c r="K90" s="1326"/>
      <c r="L90" s="1159"/>
      <c r="M90" s="1198"/>
      <c r="N90" s="1326"/>
      <c r="O90" s="1326"/>
      <c r="P90" s="1327"/>
      <c r="Q90" s="1775"/>
      <c r="R90" s="1414"/>
      <c r="S90" s="1414"/>
      <c r="T90" s="1417"/>
    </row>
    <row r="91" spans="1:20" ht="12.45" customHeight="1">
      <c r="A91" s="1311" t="str">
        <f t="shared" si="3"/>
        <v>10GbE</v>
      </c>
      <c r="B91" s="789" t="str">
        <f t="shared" si="3"/>
        <v>10 GbE (ER)</v>
      </c>
      <c r="C91" s="789" t="str">
        <f t="shared" si="3"/>
        <v>40 km</v>
      </c>
      <c r="D91" s="211" t="str">
        <f t="shared" si="3"/>
        <v>XFP &amp; other</v>
      </c>
      <c r="E91" s="808">
        <v>159.89048195351674</v>
      </c>
      <c r="F91" s="197">
        <v>159.21758884676976</v>
      </c>
      <c r="G91" s="197">
        <v>123.66606351743584</v>
      </c>
      <c r="H91" s="443">
        <v>127.50743112321241</v>
      </c>
      <c r="I91" s="808"/>
      <c r="J91" s="197"/>
      <c r="K91" s="1326"/>
      <c r="L91" s="1159"/>
      <c r="M91" s="1198"/>
      <c r="N91" s="1326"/>
      <c r="O91" s="1326"/>
      <c r="P91" s="1327"/>
      <c r="Q91" s="1775"/>
      <c r="R91" s="1414"/>
      <c r="S91" s="1414"/>
      <c r="T91" s="1417"/>
    </row>
    <row r="92" spans="1:20" ht="12.45" customHeight="1">
      <c r="A92" s="1311" t="str">
        <f t="shared" si="3"/>
        <v>10GbE</v>
      </c>
      <c r="B92" s="784" t="str">
        <f t="shared" si="3"/>
        <v>10 GbE (ER)</v>
      </c>
      <c r="C92" s="784" t="str">
        <f t="shared" si="3"/>
        <v>40 km</v>
      </c>
      <c r="D92" s="918" t="str">
        <f t="shared" si="3"/>
        <v>SFP+</v>
      </c>
      <c r="E92" s="808">
        <v>187.24288262225048</v>
      </c>
      <c r="F92" s="197">
        <v>177.82089765996173</v>
      </c>
      <c r="G92" s="197">
        <v>138.51241757034748</v>
      </c>
      <c r="H92" s="443">
        <v>132.81114174679485</v>
      </c>
      <c r="I92" s="808"/>
      <c r="J92" s="197"/>
      <c r="K92" s="1326"/>
      <c r="L92" s="1159"/>
      <c r="M92" s="1198"/>
      <c r="N92" s="1326"/>
      <c r="O92" s="1326"/>
      <c r="P92" s="1327"/>
      <c r="Q92" s="1775"/>
      <c r="R92" s="1414"/>
      <c r="S92" s="1414"/>
      <c r="T92" s="1417"/>
    </row>
    <row r="93" spans="1:20" ht="12.45" customHeight="1">
      <c r="A93" s="1311" t="str">
        <f t="shared" ref="A93:D108" si="4">A24</f>
        <v>10GbE</v>
      </c>
      <c r="B93" s="789" t="str">
        <f t="shared" si="4"/>
        <v>10 GbE (ZR)</v>
      </c>
      <c r="C93" s="789" t="str">
        <f t="shared" si="4"/>
        <v>80 km</v>
      </c>
      <c r="D93" s="211" t="str">
        <f t="shared" si="4"/>
        <v>XFP &amp; other</v>
      </c>
      <c r="E93" s="1336">
        <v>296.78364820149505</v>
      </c>
      <c r="F93" s="1337">
        <v>249.91700659240817</v>
      </c>
      <c r="G93" s="1337">
        <v>270</v>
      </c>
      <c r="H93" s="1338">
        <v>270</v>
      </c>
      <c r="I93" s="1336"/>
      <c r="J93" s="1337"/>
      <c r="K93" s="1326"/>
      <c r="L93" s="1339"/>
      <c r="M93" s="1340"/>
      <c r="N93" s="1326"/>
      <c r="O93" s="1326"/>
      <c r="P93" s="1327"/>
      <c r="Q93" s="1782"/>
      <c r="R93" s="1414"/>
      <c r="S93" s="1414"/>
      <c r="T93" s="1417"/>
    </row>
    <row r="94" spans="1:20" ht="12.45" customHeight="1" thickBot="1">
      <c r="A94" s="1311" t="str">
        <f t="shared" si="4"/>
        <v>10GbE</v>
      </c>
      <c r="B94" s="784" t="str">
        <f t="shared" si="4"/>
        <v>10 GbE (ZR)</v>
      </c>
      <c r="C94" s="790" t="str">
        <f t="shared" si="4"/>
        <v>80 km</v>
      </c>
      <c r="D94" s="439" t="str">
        <f t="shared" si="4"/>
        <v>SFP+</v>
      </c>
      <c r="E94" s="1341">
        <v>341.41065502469661</v>
      </c>
      <c r="F94" s="1342">
        <v>340.12103483691999</v>
      </c>
      <c r="G94" s="1342">
        <v>269.31077326528595</v>
      </c>
      <c r="H94" s="1343">
        <v>248.44428326719898</v>
      </c>
      <c r="I94" s="1341"/>
      <c r="J94" s="1342"/>
      <c r="K94" s="1344"/>
      <c r="L94" s="1345"/>
      <c r="M94" s="1346"/>
      <c r="N94" s="1344"/>
      <c r="O94" s="1344"/>
      <c r="P94" s="1347"/>
      <c r="Q94" s="1783"/>
      <c r="R94" s="1784"/>
      <c r="S94" s="1784"/>
      <c r="T94" s="1785"/>
    </row>
    <row r="95" spans="1:20" ht="12.45" customHeight="1">
      <c r="A95" s="1319" t="str">
        <f t="shared" si="4"/>
        <v>25GbE</v>
      </c>
      <c r="B95" s="792" t="str">
        <f t="shared" si="4"/>
        <v>25GbE SR</v>
      </c>
      <c r="C95" s="426" t="str">
        <f t="shared" si="4"/>
        <v>100 m</v>
      </c>
      <c r="D95" s="811" t="str">
        <f t="shared" si="4"/>
        <v>SFP28</v>
      </c>
      <c r="E95" s="1348">
        <v>141.07313957202172</v>
      </c>
      <c r="F95" s="1349">
        <v>129.32623836490268</v>
      </c>
      <c r="G95" s="1350">
        <v>119.61117931928241</v>
      </c>
      <c r="H95" s="1351">
        <v>149.44393997885157</v>
      </c>
      <c r="I95" s="1348"/>
      <c r="J95" s="1349"/>
      <c r="K95" s="1352"/>
      <c r="L95" s="1351"/>
      <c r="M95" s="1353"/>
      <c r="N95" s="1323"/>
      <c r="O95" s="1323"/>
      <c r="P95" s="1324"/>
      <c r="Q95" s="1380"/>
      <c r="R95" s="1773"/>
      <c r="S95" s="1773"/>
      <c r="T95" s="1774"/>
    </row>
    <row r="96" spans="1:20" ht="12.45" customHeight="1">
      <c r="A96" s="1311" t="str">
        <f t="shared" si="4"/>
        <v>25GbE</v>
      </c>
      <c r="B96" s="426" t="str">
        <f t="shared" si="4"/>
        <v>25GbE LR</v>
      </c>
      <c r="C96" s="426" t="str">
        <f t="shared" si="4"/>
        <v>10 km</v>
      </c>
      <c r="D96" s="811" t="str">
        <f t="shared" si="4"/>
        <v>SFP28</v>
      </c>
      <c r="E96" s="1354">
        <v>360.32105552501372</v>
      </c>
      <c r="F96" s="1355">
        <v>359.080192165558</v>
      </c>
      <c r="G96" s="1337">
        <v>301.37027441940967</v>
      </c>
      <c r="H96" s="1339">
        <v>305.50828823015985</v>
      </c>
      <c r="I96" s="1354"/>
      <c r="J96" s="1355"/>
      <c r="K96" s="1322"/>
      <c r="L96" s="1339"/>
      <c r="M96" s="1356"/>
      <c r="N96" s="1326"/>
      <c r="O96" s="1326"/>
      <c r="P96" s="1327"/>
      <c r="Q96" s="1408"/>
      <c r="R96" s="1414"/>
      <c r="S96" s="1414"/>
      <c r="T96" s="1417"/>
    </row>
    <row r="97" spans="1:20" ht="13.05" customHeight="1" thickBot="1">
      <c r="A97" s="1157" t="str">
        <f t="shared" si="4"/>
        <v>25GbE</v>
      </c>
      <c r="B97" s="793" t="str">
        <f t="shared" si="4"/>
        <v>25 GbE ER</v>
      </c>
      <c r="C97" s="790" t="str">
        <f t="shared" si="4"/>
        <v>40 km</v>
      </c>
      <c r="D97" s="814" t="str">
        <f t="shared" si="4"/>
        <v>SFP28</v>
      </c>
      <c r="E97" s="1341"/>
      <c r="F97" s="1342"/>
      <c r="G97" s="1342"/>
      <c r="H97" s="1345"/>
      <c r="I97" s="1341"/>
      <c r="J97" s="1342"/>
      <c r="K97" s="1328"/>
      <c r="L97" s="1345"/>
      <c r="M97" s="1357"/>
      <c r="N97" s="1329"/>
      <c r="O97" s="1358"/>
      <c r="P97" s="1359"/>
      <c r="Q97" s="1786"/>
      <c r="R97" s="1777"/>
      <c r="S97" s="1777"/>
      <c r="T97" s="1778"/>
    </row>
    <row r="98" spans="1:20" ht="12.45" customHeight="1">
      <c r="A98" s="1317" t="str">
        <f t="shared" si="4"/>
        <v>40GbE</v>
      </c>
      <c r="B98" s="788" t="str">
        <f t="shared" si="4"/>
        <v>40 GbE SR</v>
      </c>
      <c r="C98" s="788" t="str">
        <f t="shared" si="4"/>
        <v>100 m</v>
      </c>
      <c r="D98" s="429" t="str">
        <f t="shared" si="4"/>
        <v>CFP</v>
      </c>
      <c r="E98" s="1360"/>
      <c r="F98" s="1350"/>
      <c r="G98" s="1350"/>
      <c r="H98" s="1361"/>
      <c r="I98" s="1360"/>
      <c r="J98" s="1350"/>
      <c r="K98" s="1333"/>
      <c r="L98" s="1351"/>
      <c r="M98" s="1362"/>
      <c r="N98" s="1333"/>
      <c r="O98" s="1363"/>
      <c r="P98" s="1364"/>
      <c r="Q98" s="1787"/>
      <c r="R98" s="1780"/>
      <c r="S98" s="1780"/>
      <c r="T98" s="1781"/>
    </row>
    <row r="99" spans="1:20" ht="12.45" customHeight="1">
      <c r="A99" s="1313" t="str">
        <f t="shared" si="4"/>
        <v>40GbE</v>
      </c>
      <c r="B99" s="426" t="str">
        <f t="shared" si="4"/>
        <v>40 GbE SR</v>
      </c>
      <c r="C99" s="426" t="str">
        <f t="shared" si="4"/>
        <v>100 m</v>
      </c>
      <c r="D99" s="430" t="str">
        <f t="shared" si="4"/>
        <v>QSFP+</v>
      </c>
      <c r="E99" s="1354">
        <v>81.952226156609868</v>
      </c>
      <c r="F99" s="1355">
        <v>81.20482063359043</v>
      </c>
      <c r="G99" s="1337">
        <v>82.0318855231112</v>
      </c>
      <c r="H99" s="1338">
        <v>74.381598687737096</v>
      </c>
      <c r="I99" s="1354"/>
      <c r="J99" s="1355"/>
      <c r="K99" s="1323"/>
      <c r="L99" s="1339"/>
      <c r="M99" s="1356"/>
      <c r="N99" s="1326"/>
      <c r="O99" s="1326"/>
      <c r="P99" s="1327"/>
      <c r="Q99" s="1408"/>
      <c r="R99" s="1414"/>
      <c r="S99" s="1414"/>
      <c r="T99" s="1417"/>
    </row>
    <row r="100" spans="1:20" ht="12.45" customHeight="1">
      <c r="A100" s="1313" t="str">
        <f t="shared" si="4"/>
        <v>40GbE</v>
      </c>
      <c r="B100" s="209" t="str">
        <f t="shared" si="4"/>
        <v>40GbE MM Duplex</v>
      </c>
      <c r="C100" s="779" t="str">
        <f t="shared" si="4"/>
        <v>100 m</v>
      </c>
      <c r="D100" s="430" t="str">
        <f t="shared" si="4"/>
        <v>QSFP+</v>
      </c>
      <c r="E100" s="1336">
        <v>112.64014929982849</v>
      </c>
      <c r="F100" s="1337">
        <v>111.87203594309011</v>
      </c>
      <c r="G100" s="1337">
        <v>149.10404245646265</v>
      </c>
      <c r="H100" s="1338">
        <v>137.43046893046892</v>
      </c>
      <c r="I100" s="1336"/>
      <c r="J100" s="1337"/>
      <c r="K100" s="1326"/>
      <c r="L100" s="1339"/>
      <c r="M100" s="1340"/>
      <c r="N100" s="1326"/>
      <c r="O100" s="1326"/>
      <c r="P100" s="1327"/>
      <c r="Q100" s="1782"/>
      <c r="R100" s="1414"/>
      <c r="S100" s="1414"/>
      <c r="T100" s="1417"/>
    </row>
    <row r="101" spans="1:20" ht="12.45" customHeight="1">
      <c r="A101" s="1313" t="str">
        <f t="shared" si="4"/>
        <v>40GbE</v>
      </c>
      <c r="B101" s="208" t="str">
        <f t="shared" si="4"/>
        <v>40 GbE eSR</v>
      </c>
      <c r="C101" s="779" t="str">
        <f t="shared" si="4"/>
        <v>300 m</v>
      </c>
      <c r="D101" s="435" t="str">
        <f t="shared" si="4"/>
        <v>QSFP+</v>
      </c>
      <c r="E101" s="1336">
        <v>90.399392558845861</v>
      </c>
      <c r="F101" s="1337">
        <v>73.783387048041092</v>
      </c>
      <c r="G101" s="1337">
        <v>76.587893406436919</v>
      </c>
      <c r="H101" s="1338">
        <v>76.151326539912858</v>
      </c>
      <c r="I101" s="1336"/>
      <c r="J101" s="1337"/>
      <c r="K101" s="1326"/>
      <c r="L101" s="1339"/>
      <c r="M101" s="1340"/>
      <c r="N101" s="1326"/>
      <c r="O101" s="1326"/>
      <c r="P101" s="1327"/>
      <c r="Q101" s="1782"/>
      <c r="R101" s="1414"/>
      <c r="S101" s="1414"/>
      <c r="T101" s="1417"/>
    </row>
    <row r="102" spans="1:20" ht="12.45" customHeight="1">
      <c r="A102" s="1313" t="str">
        <f t="shared" si="4"/>
        <v>40GbE</v>
      </c>
      <c r="B102" s="208" t="str">
        <f t="shared" si="4"/>
        <v>40 GbE PSM4</v>
      </c>
      <c r="C102" s="779" t="str">
        <f t="shared" si="4"/>
        <v>500 m</v>
      </c>
      <c r="D102" s="435" t="str">
        <f t="shared" si="4"/>
        <v>QSFP+</v>
      </c>
      <c r="E102" s="1336">
        <v>269.07275217398478</v>
      </c>
      <c r="F102" s="1337">
        <v>257.98747622561501</v>
      </c>
      <c r="G102" s="1337">
        <v>270.37037037037038</v>
      </c>
      <c r="H102" s="1338">
        <v>257.57575757575756</v>
      </c>
      <c r="I102" s="1336"/>
      <c r="J102" s="1337"/>
      <c r="K102" s="1326"/>
      <c r="L102" s="1339"/>
      <c r="M102" s="1340"/>
      <c r="N102" s="1326"/>
      <c r="O102" s="1326"/>
      <c r="P102" s="1327"/>
      <c r="Q102" s="1782"/>
      <c r="R102" s="1414"/>
      <c r="S102" s="1414"/>
      <c r="T102" s="1417"/>
    </row>
    <row r="103" spans="1:20" ht="12.45" customHeight="1">
      <c r="A103" s="1313" t="str">
        <f t="shared" si="4"/>
        <v>40GbE</v>
      </c>
      <c r="B103" s="789" t="str">
        <f t="shared" si="4"/>
        <v>40 GbE FR</v>
      </c>
      <c r="C103" s="781" t="str">
        <f t="shared" si="4"/>
        <v>2 km</v>
      </c>
      <c r="D103" s="211" t="str">
        <f t="shared" si="4"/>
        <v>CFP</v>
      </c>
      <c r="E103" s="1354">
        <v>4868.2015561586586</v>
      </c>
      <c r="F103" s="1355">
        <v>5500</v>
      </c>
      <c r="G103" s="1337">
        <v>5500</v>
      </c>
      <c r="H103" s="1338">
        <v>5500</v>
      </c>
      <c r="I103" s="1354"/>
      <c r="J103" s="1355"/>
      <c r="K103" s="1326"/>
      <c r="L103" s="1339"/>
      <c r="M103" s="1356"/>
      <c r="N103" s="1326"/>
      <c r="O103" s="1326"/>
      <c r="P103" s="1327"/>
      <c r="Q103" s="1408"/>
      <c r="R103" s="1414"/>
      <c r="S103" s="1414"/>
      <c r="T103" s="1417"/>
    </row>
    <row r="104" spans="1:20" ht="12.45" customHeight="1">
      <c r="A104" s="1313" t="str">
        <f t="shared" si="4"/>
        <v>40GbE</v>
      </c>
      <c r="B104" s="231" t="str">
        <f t="shared" si="4"/>
        <v>40 GbE FR</v>
      </c>
      <c r="C104" s="827" t="str">
        <f t="shared" si="4"/>
        <v>2 km</v>
      </c>
      <c r="D104" s="211" t="str">
        <f t="shared" si="4"/>
        <v>QSFP+</v>
      </c>
      <c r="E104" s="1336"/>
      <c r="F104" s="1337"/>
      <c r="G104" s="1337"/>
      <c r="H104" s="1338"/>
      <c r="I104" s="1336"/>
      <c r="J104" s="1337"/>
      <c r="K104" s="1326"/>
      <c r="L104" s="1339"/>
      <c r="M104" s="1340"/>
      <c r="N104" s="1326"/>
      <c r="O104" s="1326"/>
      <c r="P104" s="1327"/>
      <c r="Q104" s="1782"/>
      <c r="R104" s="1414"/>
      <c r="S104" s="1414"/>
      <c r="T104" s="1417"/>
    </row>
    <row r="105" spans="1:20" ht="12.45" customHeight="1">
      <c r="A105" s="1313" t="str">
        <f t="shared" si="4"/>
        <v>40GbE</v>
      </c>
      <c r="B105" s="789" t="str">
        <f t="shared" si="4"/>
        <v>40 GbE LR4 subspec</v>
      </c>
      <c r="C105" s="781" t="str">
        <f t="shared" si="4"/>
        <v>2 km</v>
      </c>
      <c r="D105" s="428" t="str">
        <f t="shared" si="4"/>
        <v>CFP</v>
      </c>
      <c r="E105" s="1336"/>
      <c r="F105" s="1337"/>
      <c r="G105" s="1337"/>
      <c r="H105" s="1338"/>
      <c r="I105" s="1336"/>
      <c r="J105" s="1337"/>
      <c r="K105" s="1326"/>
      <c r="L105" s="1339"/>
      <c r="M105" s="1340"/>
      <c r="N105" s="1326"/>
      <c r="O105" s="1326"/>
      <c r="P105" s="1327"/>
      <c r="Q105" s="1782"/>
      <c r="R105" s="1414"/>
      <c r="S105" s="1414"/>
      <c r="T105" s="1417"/>
    </row>
    <row r="106" spans="1:20" ht="12.45" customHeight="1">
      <c r="A106" s="1313" t="str">
        <f t="shared" si="4"/>
        <v>40GbE</v>
      </c>
      <c r="B106" s="231" t="str">
        <f t="shared" si="4"/>
        <v>40 GbE LR4 subspec</v>
      </c>
      <c r="C106" s="827" t="str">
        <f t="shared" si="4"/>
        <v>2 km</v>
      </c>
      <c r="D106" s="368" t="str">
        <f t="shared" si="4"/>
        <v>QSFP+</v>
      </c>
      <c r="E106" s="1354">
        <v>360.31672591017752</v>
      </c>
      <c r="F106" s="1355">
        <v>348.44736472680194</v>
      </c>
      <c r="G106" s="1337">
        <v>333.94133544422743</v>
      </c>
      <c r="H106" s="1338">
        <v>325.10573207900353</v>
      </c>
      <c r="I106" s="1354"/>
      <c r="J106" s="1355"/>
      <c r="K106" s="1326"/>
      <c r="L106" s="1339"/>
      <c r="M106" s="1356"/>
      <c r="N106" s="1326"/>
      <c r="O106" s="1326"/>
      <c r="P106" s="1327"/>
      <c r="Q106" s="1408"/>
      <c r="R106" s="1414"/>
      <c r="S106" s="1414"/>
      <c r="T106" s="1417"/>
    </row>
    <row r="107" spans="1:20" ht="12.45" customHeight="1">
      <c r="A107" s="1313" t="str">
        <f t="shared" si="4"/>
        <v>40GbE</v>
      </c>
      <c r="B107" s="789" t="str">
        <f t="shared" si="4"/>
        <v>40 GbE LR4</v>
      </c>
      <c r="C107" s="789" t="str">
        <f t="shared" si="4"/>
        <v>10 km</v>
      </c>
      <c r="D107" s="211" t="str">
        <f t="shared" si="4"/>
        <v>CFP</v>
      </c>
      <c r="E107" s="1354">
        <v>1403.1881172824003</v>
      </c>
      <c r="F107" s="1355">
        <v>1442.1895756324172</v>
      </c>
      <c r="G107" s="1337">
        <v>1149.9374756798888</v>
      </c>
      <c r="H107" s="1338">
        <v>924.76026850068138</v>
      </c>
      <c r="I107" s="1354"/>
      <c r="J107" s="1355"/>
      <c r="K107" s="1326"/>
      <c r="L107" s="1339"/>
      <c r="M107" s="1356"/>
      <c r="N107" s="1326"/>
      <c r="O107" s="1326"/>
      <c r="P107" s="1327"/>
      <c r="Q107" s="1408"/>
      <c r="R107" s="1414"/>
      <c r="S107" s="1414"/>
      <c r="T107" s="1417"/>
    </row>
    <row r="108" spans="1:20" ht="12.45" customHeight="1">
      <c r="A108" s="1313" t="str">
        <f t="shared" si="4"/>
        <v>40GbE</v>
      </c>
      <c r="B108" s="231" t="str">
        <f t="shared" si="4"/>
        <v>40 GbE LR4</v>
      </c>
      <c r="C108" s="426" t="str">
        <f t="shared" si="4"/>
        <v>10 km</v>
      </c>
      <c r="D108" s="211" t="str">
        <f t="shared" si="4"/>
        <v>QSFP</v>
      </c>
      <c r="E108" s="1354">
        <v>421.69664832712226</v>
      </c>
      <c r="F108" s="1355">
        <v>403.96532667915091</v>
      </c>
      <c r="G108" s="1337">
        <v>416.90428938049507</v>
      </c>
      <c r="H108" s="1338">
        <v>369.88342938578609</v>
      </c>
      <c r="I108" s="1354"/>
      <c r="J108" s="1355"/>
      <c r="K108" s="1326"/>
      <c r="L108" s="1339"/>
      <c r="M108" s="1356"/>
      <c r="N108" s="1326"/>
      <c r="O108" s="1326"/>
      <c r="P108" s="1327"/>
      <c r="Q108" s="1408"/>
      <c r="R108" s="1414"/>
      <c r="S108" s="1414"/>
      <c r="T108" s="1417"/>
    </row>
    <row r="109" spans="1:20" ht="13.05" customHeight="1" thickBot="1">
      <c r="A109" s="1314" t="str">
        <f t="shared" ref="A109:D116" si="5">A40</f>
        <v>40GbE</v>
      </c>
      <c r="B109" s="431" t="str">
        <f t="shared" si="5"/>
        <v>40 GbE ER4</v>
      </c>
      <c r="C109" s="1275" t="str">
        <f t="shared" si="5"/>
        <v>40 km</v>
      </c>
      <c r="D109" s="432" t="str">
        <f t="shared" si="5"/>
        <v>All</v>
      </c>
      <c r="E109" s="1365">
        <v>1805.1290754311904</v>
      </c>
      <c r="F109" s="1366">
        <v>1830.6513728893717</v>
      </c>
      <c r="G109" s="1342">
        <v>1323.3268171443549</v>
      </c>
      <c r="H109" s="1343">
        <v>1172.5425531914898</v>
      </c>
      <c r="I109" s="1365"/>
      <c r="J109" s="1366"/>
      <c r="K109" s="1344"/>
      <c r="L109" s="1345"/>
      <c r="M109" s="1367"/>
      <c r="N109" s="1344"/>
      <c r="O109" s="1344"/>
      <c r="P109" s="1347"/>
      <c r="Q109" s="1788"/>
      <c r="R109" s="1784"/>
      <c r="S109" s="1784"/>
      <c r="T109" s="1785"/>
    </row>
    <row r="110" spans="1:20" ht="15.6">
      <c r="A110" s="1313" t="str">
        <f t="shared" si="5"/>
        <v>50GbE</v>
      </c>
      <c r="B110" s="427" t="str">
        <f t="shared" si="5"/>
        <v xml:space="preserve">50GbE </v>
      </c>
      <c r="C110" s="427" t="str">
        <f t="shared" si="5"/>
        <v>100 m</v>
      </c>
      <c r="D110" s="812" t="str">
        <f t="shared" si="5"/>
        <v>all</v>
      </c>
      <c r="E110" s="1354"/>
      <c r="F110" s="1355"/>
      <c r="G110" s="1337"/>
      <c r="H110" s="1338"/>
      <c r="I110" s="1354"/>
      <c r="J110" s="1355"/>
      <c r="K110" s="1322"/>
      <c r="L110" s="1339"/>
      <c r="M110" s="1353"/>
      <c r="N110" s="1323"/>
      <c r="O110" s="1323"/>
      <c r="P110" s="1324"/>
      <c r="Q110" s="1380"/>
      <c r="R110" s="1773"/>
      <c r="S110" s="1773"/>
      <c r="T110" s="1774"/>
    </row>
    <row r="111" spans="1:20" ht="15.6">
      <c r="A111" s="1313" t="str">
        <f t="shared" si="5"/>
        <v>50GbE</v>
      </c>
      <c r="B111" s="285" t="str">
        <f t="shared" si="5"/>
        <v xml:space="preserve">50GbE </v>
      </c>
      <c r="C111" s="285" t="str">
        <f t="shared" si="5"/>
        <v>2 km</v>
      </c>
      <c r="D111" s="368" t="str">
        <f t="shared" si="5"/>
        <v>all</v>
      </c>
      <c r="E111" s="1354"/>
      <c r="F111" s="1355"/>
      <c r="G111" s="1337"/>
      <c r="H111" s="1338"/>
      <c r="I111" s="1354"/>
      <c r="J111" s="1355"/>
      <c r="K111" s="1322"/>
      <c r="L111" s="1339"/>
      <c r="M111" s="1356"/>
      <c r="N111" s="1326"/>
      <c r="O111" s="1326"/>
      <c r="P111" s="1327"/>
      <c r="Q111" s="1408"/>
      <c r="R111" s="1414"/>
      <c r="S111" s="1414"/>
      <c r="T111" s="1417"/>
    </row>
    <row r="112" spans="1:20" ht="16.2" thickBot="1">
      <c r="A112" s="1314" t="str">
        <f t="shared" si="5"/>
        <v>50GbE</v>
      </c>
      <c r="B112" s="1315" t="str">
        <f t="shared" si="5"/>
        <v xml:space="preserve">50GbE </v>
      </c>
      <c r="C112" s="1315" t="str">
        <f t="shared" si="5"/>
        <v>all</v>
      </c>
      <c r="D112" s="439" t="str">
        <f t="shared" si="5"/>
        <v>all</v>
      </c>
      <c r="E112" s="1365"/>
      <c r="F112" s="1366"/>
      <c r="G112" s="1342"/>
      <c r="H112" s="1343"/>
      <c r="I112" s="1365"/>
      <c r="J112" s="1366"/>
      <c r="K112" s="1328"/>
      <c r="L112" s="1345"/>
      <c r="M112" s="1368"/>
      <c r="N112" s="1329"/>
      <c r="O112" s="1329"/>
      <c r="P112" s="1330"/>
      <c r="Q112" s="1789"/>
      <c r="R112" s="1777"/>
      <c r="S112" s="1777"/>
      <c r="T112" s="1778"/>
    </row>
    <row r="113" spans="1:28" ht="12.45" customHeight="1">
      <c r="A113" s="1317" t="str">
        <f t="shared" si="5"/>
        <v>100GbE</v>
      </c>
      <c r="B113" s="784" t="str">
        <f t="shared" si="5"/>
        <v xml:space="preserve">100 GbE SR10 </v>
      </c>
      <c r="C113" s="788" t="str">
        <f t="shared" si="5"/>
        <v>100 m</v>
      </c>
      <c r="D113" s="211" t="str">
        <f t="shared" si="5"/>
        <v>CFP</v>
      </c>
      <c r="E113" s="1348">
        <v>1300</v>
      </c>
      <c r="F113" s="1349">
        <v>1300</v>
      </c>
      <c r="G113" s="1350">
        <v>1137.3418079096052</v>
      </c>
      <c r="H113" s="1361">
        <v>1293.9751485683416</v>
      </c>
      <c r="I113" s="1348"/>
      <c r="J113" s="1349"/>
      <c r="K113" s="1333"/>
      <c r="L113" s="1351"/>
      <c r="M113" s="1369"/>
      <c r="N113" s="1333"/>
      <c r="O113" s="1333"/>
      <c r="P113" s="1334"/>
      <c r="Q113" s="1369"/>
      <c r="R113" s="1780"/>
      <c r="S113" s="1780"/>
      <c r="T113" s="1781"/>
    </row>
    <row r="114" spans="1:28" ht="12.45" customHeight="1">
      <c r="A114" s="1313" t="str">
        <f t="shared" si="5"/>
        <v>100GbE</v>
      </c>
      <c r="B114" s="784" t="str">
        <f t="shared" si="5"/>
        <v>100 GbE SR4</v>
      </c>
      <c r="C114" s="785" t="str">
        <f t="shared" si="5"/>
        <v>100 m</v>
      </c>
      <c r="D114" s="211" t="str">
        <f t="shared" si="5"/>
        <v>CFP2/4</v>
      </c>
      <c r="E114" s="1336">
        <v>1100</v>
      </c>
      <c r="F114" s="1337">
        <v>1100</v>
      </c>
      <c r="G114" s="1337">
        <v>1092.2777777777801</v>
      </c>
      <c r="H114" s="1338">
        <v>1017.68527918782</v>
      </c>
      <c r="I114" s="1336"/>
      <c r="J114" s="1337"/>
      <c r="K114" s="1326"/>
      <c r="L114" s="1339"/>
      <c r="M114" s="1370"/>
      <c r="N114" s="1326"/>
      <c r="O114" s="1326"/>
      <c r="P114" s="1327"/>
      <c r="Q114" s="1782"/>
      <c r="R114" s="1414"/>
      <c r="S114" s="1414"/>
      <c r="T114" s="1417"/>
    </row>
    <row r="115" spans="1:28" ht="12.45" customHeight="1">
      <c r="A115" s="1313" t="str">
        <f t="shared" si="5"/>
        <v>100GbE</v>
      </c>
      <c r="B115" s="426" t="str">
        <f t="shared" si="5"/>
        <v>100 GbE SR4</v>
      </c>
      <c r="C115" s="786" t="str">
        <f t="shared" si="5"/>
        <v>100 m</v>
      </c>
      <c r="D115" s="368" t="str">
        <f t="shared" si="5"/>
        <v>QSFP28</v>
      </c>
      <c r="E115" s="1354">
        <v>201.47474009665703</v>
      </c>
      <c r="F115" s="1355">
        <v>182.21873667414062</v>
      </c>
      <c r="G115" s="1337">
        <v>195.20741538715535</v>
      </c>
      <c r="H115" s="1338">
        <v>163.61666185121041</v>
      </c>
      <c r="I115" s="1354"/>
      <c r="J115" s="1355"/>
      <c r="K115" s="1326"/>
      <c r="L115" s="1339"/>
      <c r="M115" s="1356"/>
      <c r="N115" s="1326"/>
      <c r="O115" s="1326"/>
      <c r="P115" s="1327"/>
      <c r="Q115" s="1408"/>
      <c r="R115" s="1414"/>
      <c r="S115" s="1414"/>
      <c r="T115" s="1417"/>
    </row>
    <row r="116" spans="1:28" ht="12.45" customHeight="1">
      <c r="A116" s="1313" t="str">
        <f t="shared" si="5"/>
        <v>100GbE</v>
      </c>
      <c r="B116" s="426" t="str">
        <f t="shared" si="5"/>
        <v>100 GbE SR2</v>
      </c>
      <c r="C116" s="786" t="str">
        <f t="shared" si="5"/>
        <v>100 m</v>
      </c>
      <c r="D116" s="368" t="str">
        <f t="shared" si="5"/>
        <v>All</v>
      </c>
      <c r="E116" s="1354"/>
      <c r="F116" s="1355"/>
      <c r="G116" s="1337"/>
      <c r="H116" s="1338"/>
      <c r="I116" s="1354"/>
      <c r="J116" s="1355"/>
      <c r="K116" s="1326"/>
      <c r="L116" s="1339"/>
      <c r="M116" s="1356"/>
      <c r="N116" s="1326"/>
      <c r="O116" s="1326"/>
      <c r="P116" s="1327"/>
      <c r="Q116" s="1408"/>
      <c r="R116" s="1414"/>
      <c r="S116" s="1414"/>
      <c r="T116" s="1417"/>
    </row>
    <row r="117" spans="1:28" ht="12.45" customHeight="1">
      <c r="A117" s="1313" t="s">
        <v>261</v>
      </c>
      <c r="B117" s="1031" t="s">
        <v>507</v>
      </c>
      <c r="C117" s="1030" t="s">
        <v>242</v>
      </c>
      <c r="D117" s="368" t="s">
        <v>262</v>
      </c>
      <c r="E117" s="1354"/>
      <c r="F117" s="1355"/>
      <c r="G117" s="1337"/>
      <c r="H117" s="1338"/>
      <c r="I117" s="1354"/>
      <c r="J117" s="1355"/>
      <c r="K117" s="1326"/>
      <c r="L117" s="1339"/>
      <c r="M117" s="1356"/>
      <c r="N117" s="1326"/>
      <c r="O117" s="1326"/>
      <c r="P117" s="1327"/>
      <c r="Q117" s="1408"/>
      <c r="R117" s="1414"/>
      <c r="S117" s="1414"/>
      <c r="T117" s="1417"/>
    </row>
    <row r="118" spans="1:28" ht="12.45" customHeight="1">
      <c r="A118" s="1313" t="str">
        <f>A49</f>
        <v>100GbE</v>
      </c>
      <c r="B118" s="433" t="str">
        <f>B49</f>
        <v>100 GbE PSM4</v>
      </c>
      <c r="C118" s="434" t="str">
        <f>C49</f>
        <v>500 m</v>
      </c>
      <c r="D118" s="435" t="str">
        <f>D49</f>
        <v>all</v>
      </c>
      <c r="E118" s="1336">
        <v>253.11076914806404</v>
      </c>
      <c r="F118" s="1337">
        <v>240.96573361019273</v>
      </c>
      <c r="G118" s="1337">
        <v>209.89452061118035</v>
      </c>
      <c r="H118" s="1338">
        <v>191.23902397838569</v>
      </c>
      <c r="I118" s="1336"/>
      <c r="J118" s="1337"/>
      <c r="K118" s="1326"/>
      <c r="L118" s="1339"/>
      <c r="M118" s="1340"/>
      <c r="N118" s="1326"/>
      <c r="O118" s="1326"/>
      <c r="P118" s="1327"/>
      <c r="Q118" s="1782"/>
      <c r="R118" s="1414"/>
      <c r="S118" s="1414"/>
      <c r="T118" s="1417"/>
    </row>
    <row r="119" spans="1:28" ht="12.45" customHeight="1">
      <c r="A119" s="1313" t="str">
        <f t="shared" ref="A119:D126" si="6">A50</f>
        <v>100GbE</v>
      </c>
      <c r="B119" s="1029" t="s">
        <v>573</v>
      </c>
      <c r="C119" s="1030" t="s">
        <v>236</v>
      </c>
      <c r="D119" s="368"/>
      <c r="E119" s="1336"/>
      <c r="F119" s="1337"/>
      <c r="G119" s="1337"/>
      <c r="H119" s="1338"/>
      <c r="I119" s="1336"/>
      <c r="J119" s="1337"/>
      <c r="K119" s="1326"/>
      <c r="L119" s="1339"/>
      <c r="M119" s="1340"/>
      <c r="N119" s="1326"/>
      <c r="O119" s="1326"/>
      <c r="P119" s="1327"/>
      <c r="Q119" s="1782"/>
      <c r="R119" s="1414"/>
      <c r="S119" s="1414"/>
      <c r="T119" s="1417"/>
    </row>
    <row r="120" spans="1:28" ht="14.55" customHeight="1">
      <c r="A120" s="1313" t="str">
        <f t="shared" si="6"/>
        <v>100GbE</v>
      </c>
      <c r="B120" s="781" t="str">
        <f t="shared" si="6"/>
        <v>100 GbE CWDM4</v>
      </c>
      <c r="C120" s="436" t="str">
        <f t="shared" si="6"/>
        <v>2 km</v>
      </c>
      <c r="D120" s="368" t="str">
        <f t="shared" si="6"/>
        <v>QSFP28</v>
      </c>
      <c r="E120" s="1371">
        <v>607.01229113899194</v>
      </c>
      <c r="F120" s="1372">
        <v>554.5178512273053</v>
      </c>
      <c r="G120" s="1337">
        <v>503.09768142185794</v>
      </c>
      <c r="H120" s="1338">
        <v>461.17229317558503</v>
      </c>
      <c r="I120" s="1371"/>
      <c r="J120" s="1372"/>
      <c r="K120" s="1326"/>
      <c r="L120" s="1339"/>
      <c r="M120" s="1373"/>
      <c r="N120" s="1326"/>
      <c r="O120" s="1326"/>
      <c r="P120" s="1327"/>
      <c r="Q120" s="1415"/>
      <c r="R120" s="1414"/>
      <c r="S120" s="1414"/>
      <c r="T120" s="1417"/>
    </row>
    <row r="121" spans="1:28" ht="15.6">
      <c r="A121" s="1313" t="str">
        <f t="shared" si="6"/>
        <v>100GbE</v>
      </c>
      <c r="B121" s="781" t="str">
        <f t="shared" si="6"/>
        <v>100GbE FR1</v>
      </c>
      <c r="C121" s="436" t="str">
        <f t="shared" si="6"/>
        <v>2km</v>
      </c>
      <c r="D121" s="368" t="str">
        <f t="shared" si="6"/>
        <v>QSFP28</v>
      </c>
      <c r="E121" s="1371"/>
      <c r="F121" s="1372"/>
      <c r="G121" s="1337"/>
      <c r="H121" s="1338"/>
      <c r="I121" s="1371"/>
      <c r="J121" s="1372"/>
      <c r="K121" s="1326"/>
      <c r="L121" s="1339"/>
      <c r="M121" s="1373"/>
      <c r="N121" s="1326"/>
      <c r="O121" s="1326"/>
      <c r="P121" s="1327"/>
      <c r="Q121" s="1415"/>
      <c r="R121" s="1414"/>
      <c r="S121" s="1414"/>
      <c r="T121" s="1417"/>
    </row>
    <row r="122" spans="1:28" ht="12.45" customHeight="1">
      <c r="A122" s="1311" t="str">
        <f t="shared" si="6"/>
        <v>100GbE</v>
      </c>
      <c r="B122" s="781" t="str">
        <f t="shared" si="6"/>
        <v>100 GbE LR4</v>
      </c>
      <c r="C122" s="789" t="str">
        <f t="shared" si="6"/>
        <v>10 km</v>
      </c>
      <c r="D122" s="428" t="str">
        <f t="shared" si="6"/>
        <v>CFP</v>
      </c>
      <c r="E122" s="1354">
        <v>3057.2898288138313</v>
      </c>
      <c r="F122" s="1355">
        <v>2756.9031041721296</v>
      </c>
      <c r="G122" s="1337">
        <v>2656.2161017702429</v>
      </c>
      <c r="H122" s="1338">
        <v>2471.0188169807125</v>
      </c>
      <c r="I122" s="1354"/>
      <c r="J122" s="1355"/>
      <c r="K122" s="1326"/>
      <c r="L122" s="1339"/>
      <c r="M122" s="1356"/>
      <c r="N122" s="1326"/>
      <c r="O122" s="1326"/>
      <c r="P122" s="1327"/>
      <c r="Q122" s="1408"/>
      <c r="R122" s="1414"/>
      <c r="S122" s="1414"/>
      <c r="T122" s="1417"/>
    </row>
    <row r="123" spans="1:28" s="72" customFormat="1" ht="12.45" customHeight="1">
      <c r="A123" s="1311" t="str">
        <f t="shared" si="6"/>
        <v>100GbE</v>
      </c>
      <c r="B123" s="1000" t="str">
        <f t="shared" si="6"/>
        <v>100 GbE LR4</v>
      </c>
      <c r="C123" s="1001" t="str">
        <f t="shared" si="6"/>
        <v>10 km</v>
      </c>
      <c r="D123" s="211" t="str">
        <f t="shared" si="6"/>
        <v>CFP2</v>
      </c>
      <c r="E123" s="1354">
        <v>2449.4545383411582</v>
      </c>
      <c r="F123" s="1355">
        <v>2198.5210732984292</v>
      </c>
      <c r="G123" s="1337">
        <v>2050.1262248581752</v>
      </c>
      <c r="H123" s="1338">
        <v>1675.488215287307</v>
      </c>
      <c r="I123" s="1354"/>
      <c r="J123" s="1355"/>
      <c r="K123" s="1326"/>
      <c r="L123" s="1339"/>
      <c r="M123" s="1356"/>
      <c r="N123" s="1326"/>
      <c r="O123" s="1326"/>
      <c r="P123" s="1327"/>
      <c r="Q123" s="1408"/>
      <c r="R123" s="1414"/>
      <c r="S123" s="1414"/>
      <c r="T123" s="1417"/>
      <c r="AB123" s="67"/>
    </row>
    <row r="124" spans="1:28" s="72" customFormat="1" ht="12.45" customHeight="1">
      <c r="A124" s="1311" t="str">
        <f t="shared" si="6"/>
        <v>100GbE</v>
      </c>
      <c r="B124" s="1000" t="str">
        <f t="shared" si="6"/>
        <v>100 GbE LR4</v>
      </c>
      <c r="C124" s="1001" t="str">
        <f t="shared" si="6"/>
        <v>10 km</v>
      </c>
      <c r="D124" s="211" t="str">
        <f t="shared" si="6"/>
        <v>CFP4</v>
      </c>
      <c r="E124" s="1354">
        <v>2659.3197567108709</v>
      </c>
      <c r="F124" s="1355">
        <v>2273.2360088379864</v>
      </c>
      <c r="G124" s="1337">
        <v>2240.7954651711534</v>
      </c>
      <c r="H124" s="1338">
        <v>2180.8626699912102</v>
      </c>
      <c r="I124" s="1354"/>
      <c r="J124" s="1355"/>
      <c r="K124" s="1326"/>
      <c r="L124" s="1339"/>
      <c r="M124" s="1356"/>
      <c r="N124" s="1326"/>
      <c r="O124" s="1326"/>
      <c r="P124" s="1327"/>
      <c r="Q124" s="1408"/>
      <c r="R124" s="1414"/>
      <c r="S124" s="1414"/>
      <c r="T124" s="1417"/>
      <c r="AB124" s="67"/>
    </row>
    <row r="125" spans="1:28" ht="12.45" customHeight="1">
      <c r="A125" s="1313" t="str">
        <f t="shared" si="6"/>
        <v>100GbE</v>
      </c>
      <c r="B125" s="782" t="str">
        <f t="shared" si="6"/>
        <v>100 GbE LR4</v>
      </c>
      <c r="C125" s="786" t="str">
        <f t="shared" si="6"/>
        <v>10 km</v>
      </c>
      <c r="D125" s="368" t="str">
        <f t="shared" si="6"/>
        <v>QSFP28</v>
      </c>
      <c r="E125" s="1371">
        <v>1391.3209327609748</v>
      </c>
      <c r="F125" s="1372">
        <v>1336.21726560467</v>
      </c>
      <c r="G125" s="1337">
        <v>1187.2554889683104</v>
      </c>
      <c r="H125" s="1338">
        <v>1085.4399799871751</v>
      </c>
      <c r="I125" s="1371"/>
      <c r="J125" s="1372"/>
      <c r="K125" s="1326"/>
      <c r="L125" s="1339"/>
      <c r="M125" s="1373"/>
      <c r="N125" s="1326"/>
      <c r="O125" s="1326"/>
      <c r="P125" s="1327"/>
      <c r="Q125" s="1415"/>
      <c r="R125" s="1414"/>
      <c r="S125" s="1414"/>
      <c r="T125" s="1417"/>
    </row>
    <row r="126" spans="1:28" ht="12.45" customHeight="1" thickBot="1">
      <c r="A126" s="1313" t="str">
        <f t="shared" si="6"/>
        <v>100GbE</v>
      </c>
      <c r="B126" s="784" t="str">
        <f>B57</f>
        <v>100 GbE 4WDM10</v>
      </c>
      <c r="C126" s="785" t="str">
        <f>C57</f>
        <v>10 km</v>
      </c>
      <c r="D126" s="211" t="s">
        <v>262</v>
      </c>
      <c r="E126" s="1374"/>
      <c r="F126" s="1375"/>
      <c r="G126" s="1337"/>
      <c r="H126" s="1376"/>
      <c r="I126" s="1374"/>
      <c r="J126" s="1375"/>
      <c r="K126" s="1326"/>
      <c r="L126" s="1377"/>
      <c r="M126" s="973"/>
      <c r="N126" s="974"/>
      <c r="O126" s="973"/>
      <c r="P126" s="974"/>
      <c r="Q126" s="1415"/>
      <c r="R126" s="1414"/>
      <c r="S126" s="1414"/>
      <c r="T126" s="1790"/>
    </row>
    <row r="127" spans="1:28" ht="12.45" customHeight="1">
      <c r="A127" s="1311" t="s">
        <v>261</v>
      </c>
      <c r="B127" s="426" t="str">
        <f t="shared" ref="B127:D133" si="7">B58</f>
        <v>100 GbE 4WDM20</v>
      </c>
      <c r="C127" s="786" t="s">
        <v>508</v>
      </c>
      <c r="D127" s="211" t="s">
        <v>262</v>
      </c>
      <c r="E127" s="1374"/>
      <c r="F127" s="1375"/>
      <c r="G127" s="1337"/>
      <c r="H127" s="1376"/>
      <c r="I127" s="1374"/>
      <c r="J127" s="1375"/>
      <c r="K127" s="1326"/>
      <c r="L127" s="1377"/>
      <c r="M127" s="1373"/>
      <c r="N127" s="1326"/>
      <c r="O127" s="1326"/>
      <c r="P127" s="1327"/>
      <c r="Q127" s="1415"/>
      <c r="R127" s="1414"/>
      <c r="S127" s="1414"/>
      <c r="T127" s="1417"/>
    </row>
    <row r="128" spans="1:28" ht="13.05" customHeight="1" thickBot="1">
      <c r="A128" s="1313" t="str">
        <f t="shared" ref="A128:D135" si="8">A59</f>
        <v>100GbE</v>
      </c>
      <c r="B128" s="688" t="str">
        <f t="shared" si="7"/>
        <v>100 GbE ER4 - Lite</v>
      </c>
      <c r="C128" s="1318" t="str">
        <f t="shared" si="7"/>
        <v>40 km</v>
      </c>
      <c r="D128" s="432" t="str">
        <f t="shared" si="7"/>
        <v>All</v>
      </c>
      <c r="E128" s="1378"/>
      <c r="F128" s="1379"/>
      <c r="G128" s="1337">
        <v>3717.5141242937852</v>
      </c>
      <c r="H128" s="1376">
        <v>3364.6616541353383</v>
      </c>
      <c r="I128" s="1378"/>
      <c r="J128" s="1379"/>
      <c r="K128" s="1326"/>
      <c r="L128" s="1377"/>
      <c r="M128" s="1340"/>
      <c r="N128" s="1326"/>
      <c r="O128" s="1326"/>
      <c r="P128" s="1327"/>
      <c r="Q128" s="1782"/>
      <c r="R128" s="1414"/>
      <c r="S128" s="1414"/>
      <c r="T128" s="1417"/>
    </row>
    <row r="129" spans="1:20" ht="13.05" customHeight="1" thickBot="1">
      <c r="A129" s="1314" t="str">
        <f t="shared" si="8"/>
        <v>100GbE</v>
      </c>
      <c r="B129" s="437" t="str">
        <f t="shared" si="7"/>
        <v>100 GbE ER4</v>
      </c>
      <c r="C129" s="1275" t="str">
        <f t="shared" si="7"/>
        <v>40 km</v>
      </c>
      <c r="D129" s="431" t="str">
        <f t="shared" si="7"/>
        <v>All</v>
      </c>
      <c r="E129" s="1365">
        <v>7448.5769500888055</v>
      </c>
      <c r="F129" s="1366">
        <v>7343.3365020326219</v>
      </c>
      <c r="G129" s="1342">
        <v>5914.6306653060537</v>
      </c>
      <c r="H129" s="1343">
        <v>5676.4566945630295</v>
      </c>
      <c r="I129" s="1365"/>
      <c r="J129" s="1366"/>
      <c r="K129" s="1344"/>
      <c r="L129" s="1345"/>
      <c r="M129" s="1367"/>
      <c r="N129" s="1344"/>
      <c r="O129" s="1344"/>
      <c r="P129" s="1347"/>
      <c r="Q129" s="1788"/>
      <c r="R129" s="1784"/>
      <c r="S129" s="1784"/>
      <c r="T129" s="1785"/>
    </row>
    <row r="130" spans="1:20" ht="12.45" customHeight="1">
      <c r="A130" s="1319" t="str">
        <f t="shared" si="8"/>
        <v>200GbE</v>
      </c>
      <c r="B130" s="788" t="str">
        <f t="shared" si="7"/>
        <v>200GbE</v>
      </c>
      <c r="C130" s="792" t="str">
        <f t="shared" si="7"/>
        <v>100 m</v>
      </c>
      <c r="D130" s="813" t="str">
        <f t="shared" si="7"/>
        <v>all</v>
      </c>
      <c r="E130" s="1354"/>
      <c r="F130" s="1355"/>
      <c r="G130" s="1337"/>
      <c r="H130" s="1338"/>
      <c r="I130" s="1354"/>
      <c r="J130" s="1355"/>
      <c r="K130" s="1325"/>
      <c r="L130" s="1339"/>
      <c r="M130" s="1380"/>
      <c r="N130" s="1381"/>
      <c r="O130" s="1381"/>
      <c r="P130" s="1335"/>
      <c r="Q130" s="1380"/>
      <c r="R130" s="1773"/>
      <c r="S130" s="1773"/>
      <c r="T130" s="1774"/>
    </row>
    <row r="131" spans="1:20" ht="12.45" customHeight="1">
      <c r="A131" s="1311" t="str">
        <f t="shared" si="8"/>
        <v>200GbE</v>
      </c>
      <c r="B131" s="784" t="str">
        <f t="shared" si="7"/>
        <v>200GbE</v>
      </c>
      <c r="C131" s="426" t="str">
        <f t="shared" si="7"/>
        <v>2 km</v>
      </c>
      <c r="D131" s="811" t="str">
        <f t="shared" si="7"/>
        <v>all</v>
      </c>
      <c r="E131" s="1354"/>
      <c r="F131" s="1355"/>
      <c r="G131" s="1337"/>
      <c r="H131" s="1338"/>
      <c r="I131" s="1354"/>
      <c r="J131" s="1355"/>
      <c r="K131" s="1325"/>
      <c r="L131" s="1339"/>
      <c r="M131" s="1356"/>
      <c r="N131" s="1326"/>
      <c r="O131" s="1326"/>
      <c r="P131" s="1327"/>
      <c r="Q131" s="1408"/>
      <c r="R131" s="1414"/>
      <c r="S131" s="1414"/>
      <c r="T131" s="1417"/>
    </row>
    <row r="132" spans="1:20" ht="13.05" customHeight="1" thickBot="1">
      <c r="A132" s="1157" t="str">
        <f t="shared" si="8"/>
        <v>2x200GbE</v>
      </c>
      <c r="B132" s="790" t="str">
        <f t="shared" si="7"/>
        <v>2x200GbE</v>
      </c>
      <c r="C132" s="790" t="str">
        <f t="shared" si="7"/>
        <v>2 km</v>
      </c>
      <c r="D132" s="814" t="str">
        <f t="shared" si="7"/>
        <v>OSFP</v>
      </c>
      <c r="E132" s="1341"/>
      <c r="F132" s="1342"/>
      <c r="G132" s="1342"/>
      <c r="H132" s="1343"/>
      <c r="I132" s="1341"/>
      <c r="J132" s="1342"/>
      <c r="K132" s="1331"/>
      <c r="L132" s="1345"/>
      <c r="M132" s="1382"/>
      <c r="N132" s="1329"/>
      <c r="O132" s="1329"/>
      <c r="P132" s="1330"/>
      <c r="Q132" s="1786"/>
      <c r="R132" s="1777"/>
      <c r="S132" s="1777"/>
      <c r="T132" s="1778"/>
    </row>
    <row r="133" spans="1:20" ht="12.45" customHeight="1">
      <c r="A133" s="1319" t="str">
        <f t="shared" si="8"/>
        <v>400GbE</v>
      </c>
      <c r="B133" s="788" t="str">
        <f t="shared" si="7"/>
        <v>400GbE SR8</v>
      </c>
      <c r="C133" s="426" t="str">
        <f t="shared" si="7"/>
        <v>100 m</v>
      </c>
      <c r="D133" s="811" t="str">
        <f t="shared" si="7"/>
        <v>all</v>
      </c>
      <c r="E133" s="1354"/>
      <c r="F133" s="1355"/>
      <c r="G133" s="1337"/>
      <c r="H133" s="1338"/>
      <c r="I133" s="1354"/>
      <c r="J133" s="1355"/>
      <c r="K133" s="1383"/>
      <c r="L133" s="1339"/>
      <c r="M133" s="1384"/>
      <c r="N133" s="1333"/>
      <c r="O133" s="1333"/>
      <c r="P133" s="1334"/>
      <c r="Q133" s="1369"/>
      <c r="R133" s="1780"/>
      <c r="S133" s="1780"/>
      <c r="T133" s="1781"/>
    </row>
    <row r="134" spans="1:20" ht="12.45" customHeight="1">
      <c r="A134" s="1311" t="str">
        <f t="shared" si="8"/>
        <v>400GbE</v>
      </c>
      <c r="B134" s="784" t="str">
        <f t="shared" si="8"/>
        <v>400GbE SR4.2</v>
      </c>
      <c r="C134" s="426" t="str">
        <f t="shared" si="8"/>
        <v>100 m</v>
      </c>
      <c r="D134" s="811" t="str">
        <f t="shared" si="8"/>
        <v>all</v>
      </c>
      <c r="E134" s="1354"/>
      <c r="F134" s="1355"/>
      <c r="G134" s="1337"/>
      <c r="H134" s="1338"/>
      <c r="I134" s="1354"/>
      <c r="J134" s="1355"/>
      <c r="K134" s="1383"/>
      <c r="L134" s="1339"/>
      <c r="M134" s="1353"/>
      <c r="N134" s="1323"/>
      <c r="O134" s="1323"/>
      <c r="P134" s="1324"/>
      <c r="Q134" s="1380"/>
      <c r="R134" s="1773"/>
      <c r="S134" s="1773"/>
      <c r="T134" s="1774"/>
    </row>
    <row r="135" spans="1:20" ht="12.45" customHeight="1">
      <c r="A135" s="1311" t="str">
        <f t="shared" si="8"/>
        <v>400GbE</v>
      </c>
      <c r="B135" s="784" t="str">
        <f t="shared" si="8"/>
        <v>400GbE DR4</v>
      </c>
      <c r="C135" s="426" t="str">
        <f t="shared" si="8"/>
        <v>0.5, 2 km</v>
      </c>
      <c r="D135" s="811" t="str">
        <f t="shared" si="8"/>
        <v>all</v>
      </c>
      <c r="E135" s="1354"/>
      <c r="F135" s="1355"/>
      <c r="G135" s="1337"/>
      <c r="H135" s="1338"/>
      <c r="I135" s="1354"/>
      <c r="J135" s="1355"/>
      <c r="K135" s="1383"/>
      <c r="L135" s="1339"/>
      <c r="M135" s="1356"/>
      <c r="N135" s="1326"/>
      <c r="O135" s="1326"/>
      <c r="P135" s="1327"/>
      <c r="Q135" s="1408"/>
      <c r="R135" s="1414"/>
      <c r="S135" s="1414"/>
      <c r="T135" s="1417"/>
    </row>
    <row r="136" spans="1:20" ht="12.45" customHeight="1">
      <c r="A136" s="1311" t="str">
        <f>A67</f>
        <v>400GbE</v>
      </c>
      <c r="B136" s="1155" t="s">
        <v>569</v>
      </c>
      <c r="C136" s="1155" t="s">
        <v>231</v>
      </c>
      <c r="D136" s="811" t="str">
        <f>D67</f>
        <v>all</v>
      </c>
      <c r="E136" s="1385"/>
      <c r="F136" s="1386"/>
      <c r="G136" s="1379"/>
      <c r="H136" s="1376"/>
      <c r="I136" s="1387"/>
      <c r="J136" s="1386"/>
      <c r="K136" s="1358"/>
      <c r="L136" s="1377"/>
      <c r="M136" s="1356"/>
      <c r="N136" s="1326"/>
      <c r="O136" s="1326"/>
      <c r="P136" s="1327"/>
      <c r="Q136" s="1408"/>
      <c r="R136" s="1414"/>
      <c r="S136" s="1414"/>
      <c r="T136" s="1417"/>
    </row>
    <row r="137" spans="1:20" ht="12.45" customHeight="1">
      <c r="A137" s="1311" t="str">
        <f>A68</f>
        <v>400GbE</v>
      </c>
      <c r="B137" s="1155" t="s">
        <v>570</v>
      </c>
      <c r="C137" s="1155" t="s">
        <v>237</v>
      </c>
      <c r="D137" s="811" t="str">
        <f>D68</f>
        <v>all</v>
      </c>
      <c r="E137" s="1385"/>
      <c r="F137" s="1386"/>
      <c r="G137" s="1379"/>
      <c r="H137" s="1376"/>
      <c r="I137" s="1387"/>
      <c r="J137" s="1386"/>
      <c r="K137" s="1358"/>
      <c r="L137" s="1377"/>
      <c r="M137" s="1356"/>
      <c r="N137" s="1326"/>
      <c r="O137" s="1326"/>
      <c r="P137" s="1327"/>
      <c r="Q137" s="1408"/>
      <c r="R137" s="1414"/>
      <c r="S137" s="1414"/>
      <c r="T137" s="1417"/>
    </row>
    <row r="138" spans="1:20" ht="12.45" customHeight="1">
      <c r="A138" s="1311" t="str">
        <f>A69</f>
        <v>400GbE</v>
      </c>
      <c r="B138" s="1155" t="s">
        <v>571</v>
      </c>
      <c r="C138" s="1154" t="s">
        <v>237</v>
      </c>
      <c r="D138" s="811" t="str">
        <f>D69</f>
        <v>all</v>
      </c>
      <c r="E138" s="1385"/>
      <c r="F138" s="1386"/>
      <c r="G138" s="1379"/>
      <c r="H138" s="1376"/>
      <c r="I138" s="1387"/>
      <c r="J138" s="1386"/>
      <c r="K138" s="1358"/>
      <c r="L138" s="1377"/>
      <c r="M138" s="1356"/>
      <c r="N138" s="1326"/>
      <c r="O138" s="1326"/>
      <c r="P138" s="1327"/>
      <c r="Q138" s="1408"/>
      <c r="R138" s="1414"/>
      <c r="S138" s="1414"/>
      <c r="T138" s="1417"/>
    </row>
    <row r="139" spans="1:20" ht="13.05" customHeight="1" thickBot="1">
      <c r="A139" s="1157" t="s">
        <v>574</v>
      </c>
      <c r="B139" s="790" t="s">
        <v>476</v>
      </c>
      <c r="C139" s="790" t="s">
        <v>235</v>
      </c>
      <c r="D139" s="814" t="s">
        <v>235</v>
      </c>
      <c r="E139" s="1341"/>
      <c r="F139" s="1342"/>
      <c r="G139" s="1342"/>
      <c r="H139" s="1343"/>
      <c r="I139" s="1341"/>
      <c r="J139" s="1342"/>
      <c r="K139" s="1344"/>
      <c r="L139" s="1345"/>
      <c r="M139" s="1388"/>
      <c r="N139" s="1344"/>
      <c r="O139" s="1389"/>
      <c r="P139" s="1332"/>
      <c r="Q139" s="1783"/>
      <c r="R139" s="1784"/>
      <c r="S139" s="1784"/>
      <c r="T139" s="1785"/>
    </row>
    <row r="140" spans="1:20" ht="13.8" thickBot="1">
      <c r="A140" s="212" t="str">
        <f t="shared" ref="A140:D141" si="9">A71</f>
        <v>Ethernet</v>
      </c>
      <c r="B140" s="438" t="str">
        <f t="shared" si="9"/>
        <v>all</v>
      </c>
      <c r="C140" s="425" t="str">
        <f t="shared" si="9"/>
        <v>Miscellaneous</v>
      </c>
      <c r="D140" s="424" t="str">
        <f t="shared" si="9"/>
        <v>all</v>
      </c>
      <c r="E140" s="810">
        <v>142.65787753533431</v>
      </c>
      <c r="F140" s="423">
        <v>138.0985605907108</v>
      </c>
      <c r="G140" s="1337">
        <v>138</v>
      </c>
      <c r="H140" s="1339">
        <v>138</v>
      </c>
      <c r="I140" s="810"/>
      <c r="J140" s="423"/>
      <c r="K140" s="1390"/>
      <c r="L140" s="1339"/>
      <c r="M140" s="1201"/>
      <c r="N140" s="1391"/>
      <c r="O140" s="1391"/>
      <c r="P140" s="1392"/>
      <c r="Q140" s="1201"/>
      <c r="R140" s="1791"/>
      <c r="S140" s="1791"/>
      <c r="T140" s="1792"/>
    </row>
    <row r="141" spans="1:20" ht="13.8" thickBot="1">
      <c r="A141" s="829" t="str">
        <f t="shared" si="9"/>
        <v>Total - EXCLUDING GigE over Copper</v>
      </c>
      <c r="B141" s="215">
        <f t="shared" si="9"/>
        <v>0</v>
      </c>
      <c r="C141" s="215">
        <f t="shared" si="9"/>
        <v>0</v>
      </c>
      <c r="D141" s="828">
        <f t="shared" si="9"/>
        <v>0</v>
      </c>
      <c r="E141" s="1393">
        <f t="shared" ref="E141:H141" si="10">E210/E72</f>
        <v>82.320180163529898</v>
      </c>
      <c r="F141" s="1304">
        <f t="shared" si="10"/>
        <v>89.126537345672432</v>
      </c>
      <c r="G141" s="1304">
        <f t="shared" si="10"/>
        <v>87.228772774652882</v>
      </c>
      <c r="H141" s="1304">
        <f t="shared" si="10"/>
        <v>83.857504807737683</v>
      </c>
      <c r="I141" s="1393"/>
      <c r="J141" s="1304"/>
      <c r="K141" s="1394"/>
      <c r="L141" s="1303"/>
      <c r="M141" s="1302"/>
      <c r="N141" s="1394"/>
      <c r="O141" s="1394"/>
      <c r="P141" s="1395"/>
      <c r="Q141" s="1395"/>
      <c r="R141" s="1395"/>
      <c r="S141" s="1793"/>
      <c r="T141" s="1794"/>
    </row>
    <row r="142" spans="1:20" ht="15.6">
      <c r="A142" s="1321"/>
    </row>
    <row r="143" spans="1:20" ht="16.2" thickBot="1">
      <c r="E143" s="1308"/>
      <c r="F143" s="1308"/>
      <c r="G143" s="1308"/>
      <c r="H143" s="1308"/>
      <c r="I143" s="1308"/>
      <c r="J143" s="1308"/>
      <c r="K143" s="1308"/>
      <c r="L143" s="1308"/>
      <c r="M143" s="1308"/>
      <c r="N143" s="1308"/>
      <c r="O143" s="1115"/>
      <c r="P143"/>
      <c r="Q143" s="1115"/>
      <c r="R143" s="14"/>
      <c r="S143" s="1115"/>
      <c r="T143" s="14"/>
    </row>
    <row r="144" spans="1:20" ht="16.2" thickBot="1">
      <c r="A144" s="840" t="str">
        <f>$A$6</f>
        <v>Ethernet  transceivers</v>
      </c>
      <c r="I144" s="803" t="s">
        <v>367</v>
      </c>
      <c r="O144" s="1236" t="str">
        <f>I144</f>
        <v>Sales, Total Market (based on vendor survey)</v>
      </c>
      <c r="Q144"/>
      <c r="R144"/>
      <c r="S144" s="1862" t="s">
        <v>624</v>
      </c>
      <c r="T144" s="1863"/>
    </row>
    <row r="145" spans="1:20" ht="13.8" thickBot="1">
      <c r="A145" s="791" t="s">
        <v>211</v>
      </c>
      <c r="B145" s="780" t="s">
        <v>230</v>
      </c>
      <c r="C145" s="780" t="s">
        <v>224</v>
      </c>
      <c r="D145" s="787" t="s">
        <v>225</v>
      </c>
      <c r="E145" s="805" t="s">
        <v>130</v>
      </c>
      <c r="F145" s="144" t="s">
        <v>131</v>
      </c>
      <c r="G145" s="144" t="s">
        <v>132</v>
      </c>
      <c r="H145" s="441" t="s">
        <v>133</v>
      </c>
      <c r="I145" s="805" t="str">
        <f>I7</f>
        <v>1Q 18</v>
      </c>
      <c r="J145" s="144" t="str">
        <f>J7</f>
        <v>2Q 18</v>
      </c>
      <c r="K145" s="144" t="str">
        <f>K7</f>
        <v>3Q 18</v>
      </c>
      <c r="L145" s="192" t="str">
        <f>L7</f>
        <v>4Q 18</v>
      </c>
      <c r="M145" s="143" t="str">
        <f>M76</f>
        <v>1Q 19</v>
      </c>
      <c r="N145" s="144" t="str">
        <f>N76</f>
        <v>2Q 19</v>
      </c>
      <c r="O145" s="1149" t="s">
        <v>140</v>
      </c>
      <c r="P145" s="152" t="s">
        <v>141</v>
      </c>
      <c r="Q145" s="771" t="s">
        <v>142</v>
      </c>
      <c r="R145" s="771" t="s">
        <v>143</v>
      </c>
      <c r="S145" s="774" t="s">
        <v>621</v>
      </c>
      <c r="T145" s="774" t="s">
        <v>622</v>
      </c>
    </row>
    <row r="146" spans="1:20" ht="13.8" thickBot="1">
      <c r="A146" s="826" t="str">
        <f t="shared" ref="A146:D161" si="11">A8</f>
        <v>GigE over copper</v>
      </c>
      <c r="B146" s="826" t="str">
        <f t="shared" si="11"/>
        <v>1000BASE-T</v>
      </c>
      <c r="C146" s="826" t="str">
        <f t="shared" si="11"/>
        <v xml:space="preserve">100m </v>
      </c>
      <c r="D146" s="826" t="str">
        <f t="shared" si="11"/>
        <v>all</v>
      </c>
      <c r="E146" s="806">
        <f t="shared" ref="E146:R161" si="12">E8*E77</f>
        <v>13624927</v>
      </c>
      <c r="F146" s="662">
        <f t="shared" si="12"/>
        <v>15078642</v>
      </c>
      <c r="G146" s="662">
        <f t="shared" si="12"/>
        <v>11714615.999999996</v>
      </c>
      <c r="H146" s="663">
        <f t="shared" si="12"/>
        <v>11262614.999999994</v>
      </c>
      <c r="I146" s="806">
        <f t="shared" si="12"/>
        <v>0</v>
      </c>
      <c r="J146" s="662">
        <f t="shared" si="12"/>
        <v>0</v>
      </c>
      <c r="K146" s="662">
        <f t="shared" si="12"/>
        <v>0</v>
      </c>
      <c r="L146" s="1158">
        <f t="shared" si="12"/>
        <v>0</v>
      </c>
      <c r="M146" s="1202">
        <f t="shared" si="12"/>
        <v>0</v>
      </c>
      <c r="N146" s="1202">
        <f t="shared" si="12"/>
        <v>0</v>
      </c>
      <c r="O146" s="1203">
        <f t="shared" si="12"/>
        <v>0</v>
      </c>
      <c r="P146" s="1204">
        <f t="shared" si="12"/>
        <v>0</v>
      </c>
      <c r="Q146" s="1573">
        <f t="shared" si="12"/>
        <v>0</v>
      </c>
      <c r="R146" s="1573">
        <f t="shared" si="12"/>
        <v>0</v>
      </c>
      <c r="S146" s="1574">
        <f t="shared" ref="S146:T146" si="13">S8*S77</f>
        <v>0</v>
      </c>
      <c r="T146" s="1575">
        <f t="shared" si="13"/>
        <v>0</v>
      </c>
    </row>
    <row r="147" spans="1:20" ht="12.45" customHeight="1">
      <c r="A147" s="1309" t="str">
        <f t="shared" si="11"/>
        <v>1 GbE</v>
      </c>
      <c r="B147" s="211" t="str">
        <f t="shared" si="11"/>
        <v>GbE  single rate</v>
      </c>
      <c r="C147" s="211" t="str">
        <f t="shared" si="11"/>
        <v>500 m</v>
      </c>
      <c r="D147" s="211" t="str">
        <f t="shared" si="11"/>
        <v>SFP</v>
      </c>
      <c r="E147" s="808">
        <f t="shared" ref="E147:F162" si="14">E78*E9</f>
        <v>10493695</v>
      </c>
      <c r="F147" s="197">
        <f t="shared" si="14"/>
        <v>10082299</v>
      </c>
      <c r="G147" s="197">
        <f t="shared" si="12"/>
        <v>8114103.0000000019</v>
      </c>
      <c r="H147" s="197">
        <f t="shared" si="12"/>
        <v>9708010.0000000019</v>
      </c>
      <c r="I147" s="808">
        <f t="shared" ref="I147:J162" si="15">I78*I9</f>
        <v>0</v>
      </c>
      <c r="J147" s="197">
        <f t="shared" si="15"/>
        <v>0</v>
      </c>
      <c r="K147" s="1397">
        <f t="shared" si="12"/>
        <v>0</v>
      </c>
      <c r="L147" s="1159">
        <f t="shared" si="12"/>
        <v>0</v>
      </c>
      <c r="M147" s="1205">
        <f t="shared" ref="M147:N162" si="16">M78*M9</f>
        <v>0</v>
      </c>
      <c r="N147" s="1398">
        <f t="shared" si="16"/>
        <v>0</v>
      </c>
      <c r="O147" s="1399">
        <f t="shared" si="12"/>
        <v>0</v>
      </c>
      <c r="P147" s="1400">
        <f t="shared" si="12"/>
        <v>0</v>
      </c>
      <c r="Q147" s="1197">
        <f t="shared" si="12"/>
        <v>0</v>
      </c>
      <c r="R147" s="1333">
        <f t="shared" si="12"/>
        <v>0</v>
      </c>
      <c r="S147" s="1576">
        <f t="shared" ref="S147:T147" si="17">S9*S78</f>
        <v>0</v>
      </c>
      <c r="T147" s="1334">
        <f t="shared" si="17"/>
        <v>0</v>
      </c>
    </row>
    <row r="148" spans="1:20" ht="12.45" customHeight="1">
      <c r="A148" s="1309" t="str">
        <f t="shared" si="11"/>
        <v>1 GbE</v>
      </c>
      <c r="B148" s="211" t="str">
        <f t="shared" si="11"/>
        <v>GbE  single rate</v>
      </c>
      <c r="C148" s="211" t="str">
        <f t="shared" si="11"/>
        <v>10 km</v>
      </c>
      <c r="D148" s="211" t="str">
        <f t="shared" si="11"/>
        <v>SFP</v>
      </c>
      <c r="E148" s="808">
        <f t="shared" si="14"/>
        <v>14925919.297352668</v>
      </c>
      <c r="F148" s="197">
        <f t="shared" si="14"/>
        <v>15044765.524767566</v>
      </c>
      <c r="G148" s="197">
        <f t="shared" si="12"/>
        <v>14851303.942734631</v>
      </c>
      <c r="H148" s="197">
        <f t="shared" si="12"/>
        <v>17555171.435379047</v>
      </c>
      <c r="I148" s="808">
        <f t="shared" si="15"/>
        <v>0</v>
      </c>
      <c r="J148" s="197">
        <f t="shared" si="15"/>
        <v>0</v>
      </c>
      <c r="K148" s="1397">
        <f t="shared" si="12"/>
        <v>0</v>
      </c>
      <c r="L148" s="1159">
        <f t="shared" si="12"/>
        <v>0</v>
      </c>
      <c r="M148" s="1206">
        <f t="shared" si="16"/>
        <v>0</v>
      </c>
      <c r="N148" s="1337">
        <f t="shared" si="16"/>
        <v>0</v>
      </c>
      <c r="O148" s="1397">
        <f t="shared" si="12"/>
        <v>0</v>
      </c>
      <c r="P148" s="1401">
        <f t="shared" si="12"/>
        <v>0</v>
      </c>
      <c r="Q148" s="1198">
        <f t="shared" si="12"/>
        <v>0</v>
      </c>
      <c r="R148" s="1326">
        <f t="shared" si="12"/>
        <v>0</v>
      </c>
      <c r="S148" s="1322">
        <f t="shared" ref="S148:T148" si="18">S10*S79</f>
        <v>0</v>
      </c>
      <c r="T148" s="1327">
        <f t="shared" si="18"/>
        <v>0</v>
      </c>
    </row>
    <row r="149" spans="1:20" ht="12.45" customHeight="1">
      <c r="A149" s="1309" t="str">
        <f t="shared" si="11"/>
        <v>1 GbE</v>
      </c>
      <c r="B149" s="211" t="str">
        <f t="shared" si="11"/>
        <v>GbE  single rate</v>
      </c>
      <c r="C149" s="211" t="str">
        <f t="shared" si="11"/>
        <v>40 km</v>
      </c>
      <c r="D149" s="211" t="str">
        <f t="shared" si="11"/>
        <v>SFP</v>
      </c>
      <c r="E149" s="808">
        <f t="shared" si="14"/>
        <v>2250918.5939962934</v>
      </c>
      <c r="F149" s="197">
        <f t="shared" si="14"/>
        <v>2476595.6915832646</v>
      </c>
      <c r="G149" s="197">
        <f t="shared" si="12"/>
        <v>1777247</v>
      </c>
      <c r="H149" s="197">
        <f t="shared" si="12"/>
        <v>1774770</v>
      </c>
      <c r="I149" s="808">
        <f t="shared" si="15"/>
        <v>0</v>
      </c>
      <c r="J149" s="197">
        <f t="shared" si="15"/>
        <v>0</v>
      </c>
      <c r="K149" s="1397">
        <f t="shared" si="12"/>
        <v>0</v>
      </c>
      <c r="L149" s="1159">
        <f t="shared" si="12"/>
        <v>0</v>
      </c>
      <c r="M149" s="1206">
        <f t="shared" si="16"/>
        <v>0</v>
      </c>
      <c r="N149" s="1337">
        <f t="shared" si="16"/>
        <v>0</v>
      </c>
      <c r="O149" s="1397">
        <f t="shared" si="12"/>
        <v>0</v>
      </c>
      <c r="P149" s="1401">
        <f t="shared" si="12"/>
        <v>0</v>
      </c>
      <c r="Q149" s="1198">
        <f t="shared" si="12"/>
        <v>0</v>
      </c>
      <c r="R149" s="1326">
        <f t="shared" si="12"/>
        <v>0</v>
      </c>
      <c r="S149" s="1322">
        <f t="shared" ref="S149:T149" si="19">S11*S80</f>
        <v>0</v>
      </c>
      <c r="T149" s="1327">
        <f t="shared" si="19"/>
        <v>0</v>
      </c>
    </row>
    <row r="150" spans="1:20" ht="12.45" customHeight="1" thickBot="1">
      <c r="A150" s="1309" t="str">
        <f t="shared" si="11"/>
        <v>1 GbE</v>
      </c>
      <c r="B150" s="211" t="str">
        <f t="shared" si="11"/>
        <v>GbE  single rate</v>
      </c>
      <c r="C150" s="211" t="str">
        <f t="shared" si="11"/>
        <v>80 km</v>
      </c>
      <c r="D150" s="211" t="str">
        <f t="shared" si="11"/>
        <v>SFP</v>
      </c>
      <c r="E150" s="809">
        <f t="shared" si="14"/>
        <v>5626870.7678876724</v>
      </c>
      <c r="F150" s="830">
        <f t="shared" si="14"/>
        <v>5825100.4241928132</v>
      </c>
      <c r="G150" s="830">
        <f t="shared" si="12"/>
        <v>4180619.6887472952</v>
      </c>
      <c r="H150" s="830">
        <f t="shared" si="12"/>
        <v>3804126.9253104571</v>
      </c>
      <c r="I150" s="809">
        <f t="shared" si="15"/>
        <v>0</v>
      </c>
      <c r="J150" s="830">
        <f t="shared" si="15"/>
        <v>0</v>
      </c>
      <c r="K150" s="1402">
        <f t="shared" si="12"/>
        <v>0</v>
      </c>
      <c r="L150" s="1160">
        <f t="shared" si="12"/>
        <v>0</v>
      </c>
      <c r="M150" s="1207">
        <f t="shared" si="16"/>
        <v>0</v>
      </c>
      <c r="N150" s="1342">
        <f t="shared" si="16"/>
        <v>0</v>
      </c>
      <c r="O150" s="1402">
        <f t="shared" si="12"/>
        <v>0</v>
      </c>
      <c r="P150" s="1403">
        <f t="shared" si="12"/>
        <v>0</v>
      </c>
      <c r="Q150" s="1577">
        <f t="shared" si="12"/>
        <v>0</v>
      </c>
      <c r="R150" s="1344">
        <f t="shared" si="12"/>
        <v>0</v>
      </c>
      <c r="S150" s="1328">
        <f t="shared" ref="S150:T150" si="20">S12*S81</f>
        <v>0</v>
      </c>
      <c r="T150" s="1347">
        <f t="shared" si="20"/>
        <v>0</v>
      </c>
    </row>
    <row r="151" spans="1:20" ht="12.45" customHeight="1">
      <c r="A151" s="1319" t="str">
        <f t="shared" si="11"/>
        <v>10GbE</v>
      </c>
      <c r="B151" s="788" t="str">
        <f t="shared" si="11"/>
        <v>10 GbE SR</v>
      </c>
      <c r="C151" s="788" t="str">
        <f t="shared" si="11"/>
        <v>300 m</v>
      </c>
      <c r="D151" s="194" t="str">
        <f t="shared" si="11"/>
        <v>X2</v>
      </c>
      <c r="E151" s="807">
        <f t="shared" si="14"/>
        <v>381683</v>
      </c>
      <c r="F151" s="205">
        <f t="shared" si="14"/>
        <v>411059</v>
      </c>
      <c r="G151" s="205">
        <f t="shared" si="12"/>
        <v>283115.00000000012</v>
      </c>
      <c r="H151" s="442">
        <f t="shared" si="12"/>
        <v>243821.00000000006</v>
      </c>
      <c r="I151" s="807">
        <f t="shared" si="15"/>
        <v>0</v>
      </c>
      <c r="J151" s="205">
        <f t="shared" si="15"/>
        <v>0</v>
      </c>
      <c r="K151" s="1350">
        <f t="shared" si="12"/>
        <v>0</v>
      </c>
      <c r="L151" s="1161">
        <f t="shared" si="12"/>
        <v>0</v>
      </c>
      <c r="M151" s="1205">
        <f t="shared" si="16"/>
        <v>0</v>
      </c>
      <c r="N151" s="1398">
        <f t="shared" si="16"/>
        <v>0</v>
      </c>
      <c r="O151" s="1399">
        <f t="shared" si="12"/>
        <v>0</v>
      </c>
      <c r="P151" s="1400">
        <f t="shared" si="12"/>
        <v>0</v>
      </c>
      <c r="Q151" s="1197">
        <f t="shared" si="12"/>
        <v>0</v>
      </c>
      <c r="R151" s="1333">
        <f t="shared" si="12"/>
        <v>0</v>
      </c>
      <c r="S151" s="1576">
        <f t="shared" ref="S151:T151" si="21">S13*S82</f>
        <v>0</v>
      </c>
      <c r="T151" s="1334">
        <f t="shared" si="21"/>
        <v>0</v>
      </c>
    </row>
    <row r="152" spans="1:20" ht="12.45" customHeight="1">
      <c r="A152" s="1311" t="str">
        <f t="shared" si="11"/>
        <v>10GbE</v>
      </c>
      <c r="B152" s="784" t="str">
        <f t="shared" si="11"/>
        <v>10 GbE SR</v>
      </c>
      <c r="C152" s="784" t="str">
        <f t="shared" si="11"/>
        <v>300 m</v>
      </c>
      <c r="D152" s="193" t="str">
        <f t="shared" si="11"/>
        <v>XFP</v>
      </c>
      <c r="E152" s="808">
        <f t="shared" si="14"/>
        <v>1177469</v>
      </c>
      <c r="F152" s="197">
        <f t="shared" si="14"/>
        <v>1393701</v>
      </c>
      <c r="G152" s="197">
        <f t="shared" si="12"/>
        <v>1169721.0000000005</v>
      </c>
      <c r="H152" s="443">
        <f t="shared" si="12"/>
        <v>1169475</v>
      </c>
      <c r="I152" s="808">
        <f t="shared" si="15"/>
        <v>0</v>
      </c>
      <c r="J152" s="197">
        <f t="shared" si="15"/>
        <v>0</v>
      </c>
      <c r="K152" s="1337">
        <f t="shared" si="12"/>
        <v>0</v>
      </c>
      <c r="L152" s="1159">
        <f t="shared" si="12"/>
        <v>0</v>
      </c>
      <c r="M152" s="1206">
        <f t="shared" si="16"/>
        <v>0</v>
      </c>
      <c r="N152" s="1337">
        <f t="shared" si="16"/>
        <v>0</v>
      </c>
      <c r="O152" s="1397">
        <f t="shared" si="12"/>
        <v>0</v>
      </c>
      <c r="P152" s="1401">
        <f t="shared" si="12"/>
        <v>0</v>
      </c>
      <c r="Q152" s="1198">
        <f t="shared" si="12"/>
        <v>0</v>
      </c>
      <c r="R152" s="1326">
        <f t="shared" si="12"/>
        <v>0</v>
      </c>
      <c r="S152" s="1322">
        <f t="shared" ref="S152:T152" si="22">S14*S83</f>
        <v>0</v>
      </c>
      <c r="T152" s="1327">
        <f t="shared" si="22"/>
        <v>0</v>
      </c>
    </row>
    <row r="153" spans="1:20" ht="12.45" customHeight="1">
      <c r="A153" s="1311" t="str">
        <f t="shared" si="11"/>
        <v>10GbE</v>
      </c>
      <c r="B153" s="784" t="str">
        <f t="shared" si="11"/>
        <v>10 GbE SR</v>
      </c>
      <c r="C153" s="784" t="str">
        <f t="shared" si="11"/>
        <v>300 m</v>
      </c>
      <c r="D153" s="193" t="str">
        <f t="shared" si="11"/>
        <v xml:space="preserve">SFP+ </v>
      </c>
      <c r="E153" s="808">
        <f t="shared" si="14"/>
        <v>39112278</v>
      </c>
      <c r="F153" s="197">
        <f t="shared" si="14"/>
        <v>35612242.640000001</v>
      </c>
      <c r="G153" s="197">
        <f t="shared" si="12"/>
        <v>29914137.499999985</v>
      </c>
      <c r="H153" s="443">
        <f t="shared" si="12"/>
        <v>27888144.774099961</v>
      </c>
      <c r="I153" s="808">
        <f t="shared" si="15"/>
        <v>0</v>
      </c>
      <c r="J153" s="197">
        <f t="shared" si="15"/>
        <v>0</v>
      </c>
      <c r="K153" s="1337">
        <f t="shared" si="12"/>
        <v>0</v>
      </c>
      <c r="L153" s="1159">
        <f t="shared" si="12"/>
        <v>0</v>
      </c>
      <c r="M153" s="1206">
        <f t="shared" si="16"/>
        <v>0</v>
      </c>
      <c r="N153" s="1337">
        <f t="shared" si="16"/>
        <v>0</v>
      </c>
      <c r="O153" s="1397">
        <f t="shared" si="12"/>
        <v>0</v>
      </c>
      <c r="P153" s="1401">
        <f t="shared" si="12"/>
        <v>0</v>
      </c>
      <c r="Q153" s="1198">
        <f t="shared" si="12"/>
        <v>0</v>
      </c>
      <c r="R153" s="1326">
        <f t="shared" si="12"/>
        <v>0</v>
      </c>
      <c r="S153" s="1322">
        <f t="shared" ref="S153:T153" si="23">S15*S84</f>
        <v>0</v>
      </c>
      <c r="T153" s="1327">
        <f t="shared" si="23"/>
        <v>0</v>
      </c>
    </row>
    <row r="154" spans="1:20" ht="12.45" customHeight="1">
      <c r="A154" s="1311" t="str">
        <f t="shared" si="11"/>
        <v>10GbE</v>
      </c>
      <c r="B154" s="786" t="str">
        <f t="shared" si="11"/>
        <v>10 GbE SR</v>
      </c>
      <c r="C154" s="786" t="str">
        <f t="shared" si="11"/>
        <v>300 m</v>
      </c>
      <c r="D154" s="368" t="str">
        <f t="shared" si="11"/>
        <v>SFP+ Sub-spec</v>
      </c>
      <c r="E154" s="808">
        <f t="shared" si="14"/>
        <v>7068062.9820359405</v>
      </c>
      <c r="F154" s="197">
        <f t="shared" si="14"/>
        <v>8882212.3712574895</v>
      </c>
      <c r="G154" s="197">
        <f t="shared" si="12"/>
        <v>8107369.999999986</v>
      </c>
      <c r="H154" s="443">
        <f t="shared" si="12"/>
        <v>8632714.0000000186</v>
      </c>
      <c r="I154" s="808">
        <f t="shared" si="15"/>
        <v>0</v>
      </c>
      <c r="J154" s="197">
        <f t="shared" si="15"/>
        <v>0</v>
      </c>
      <c r="K154" s="1337">
        <f t="shared" si="12"/>
        <v>0</v>
      </c>
      <c r="L154" s="1159">
        <f t="shared" si="12"/>
        <v>0</v>
      </c>
      <c r="M154" s="1206">
        <f t="shared" si="16"/>
        <v>0</v>
      </c>
      <c r="N154" s="1337">
        <f t="shared" si="16"/>
        <v>0</v>
      </c>
      <c r="O154" s="1397">
        <f t="shared" si="12"/>
        <v>0</v>
      </c>
      <c r="P154" s="1401">
        <f t="shared" si="12"/>
        <v>0</v>
      </c>
      <c r="Q154" s="1198">
        <f t="shared" si="12"/>
        <v>0</v>
      </c>
      <c r="R154" s="1326">
        <f t="shared" si="12"/>
        <v>0</v>
      </c>
      <c r="S154" s="1322">
        <f t="shared" ref="S154:T154" si="24">S16*S85</f>
        <v>0</v>
      </c>
      <c r="T154" s="1327">
        <f t="shared" si="24"/>
        <v>0</v>
      </c>
    </row>
    <row r="155" spans="1:20" ht="12.45" customHeight="1">
      <c r="A155" s="1311" t="str">
        <f t="shared" si="11"/>
        <v>10GbE</v>
      </c>
      <c r="B155" s="426" t="str">
        <f t="shared" si="11"/>
        <v>10 GbE LRM</v>
      </c>
      <c r="C155" s="426" t="str">
        <f t="shared" si="11"/>
        <v>220 m</v>
      </c>
      <c r="D155" s="368" t="str">
        <f t="shared" si="11"/>
        <v>SFP+</v>
      </c>
      <c r="E155" s="808">
        <f t="shared" si="14"/>
        <v>1699597.9999999998</v>
      </c>
      <c r="F155" s="197">
        <f t="shared" si="14"/>
        <v>2108988</v>
      </c>
      <c r="G155" s="197">
        <f t="shared" si="12"/>
        <v>2078764.0000000007</v>
      </c>
      <c r="H155" s="443">
        <f t="shared" si="12"/>
        <v>1328788</v>
      </c>
      <c r="I155" s="808">
        <f t="shared" si="15"/>
        <v>0</v>
      </c>
      <c r="J155" s="197">
        <f t="shared" si="15"/>
        <v>0</v>
      </c>
      <c r="K155" s="1337">
        <f t="shared" si="12"/>
        <v>0</v>
      </c>
      <c r="L155" s="1159">
        <f t="shared" si="12"/>
        <v>0</v>
      </c>
      <c r="M155" s="1206">
        <f t="shared" si="16"/>
        <v>0</v>
      </c>
      <c r="N155" s="1337">
        <f t="shared" si="16"/>
        <v>0</v>
      </c>
      <c r="O155" s="1397">
        <f t="shared" si="12"/>
        <v>0</v>
      </c>
      <c r="P155" s="1401">
        <f t="shared" si="12"/>
        <v>0</v>
      </c>
      <c r="Q155" s="1198">
        <f t="shared" si="12"/>
        <v>0</v>
      </c>
      <c r="R155" s="1326">
        <f t="shared" si="12"/>
        <v>0</v>
      </c>
      <c r="S155" s="1322">
        <f t="shared" ref="S155:T155" si="25">S17*S86</f>
        <v>0</v>
      </c>
      <c r="T155" s="1327">
        <f t="shared" si="25"/>
        <v>0</v>
      </c>
    </row>
    <row r="156" spans="1:20" ht="12.45" customHeight="1">
      <c r="A156" s="1311" t="str">
        <f t="shared" si="11"/>
        <v>10GbE</v>
      </c>
      <c r="B156" s="784" t="str">
        <f t="shared" si="11"/>
        <v>10 GbE (LR)</v>
      </c>
      <c r="C156" s="784" t="str">
        <f t="shared" si="11"/>
        <v>10 km</v>
      </c>
      <c r="D156" s="211" t="str">
        <f t="shared" si="11"/>
        <v>X2</v>
      </c>
      <c r="E156" s="808">
        <f t="shared" si="14"/>
        <v>316819</v>
      </c>
      <c r="F156" s="197">
        <f t="shared" si="14"/>
        <v>287989</v>
      </c>
      <c r="G156" s="197">
        <f t="shared" si="12"/>
        <v>170034.00000000047</v>
      </c>
      <c r="H156" s="443">
        <f t="shared" si="12"/>
        <v>199246.0000000002</v>
      </c>
      <c r="I156" s="808">
        <f t="shared" si="15"/>
        <v>0</v>
      </c>
      <c r="J156" s="197">
        <f t="shared" si="15"/>
        <v>0</v>
      </c>
      <c r="K156" s="1337">
        <f t="shared" si="12"/>
        <v>0</v>
      </c>
      <c r="L156" s="1159">
        <f t="shared" si="12"/>
        <v>0</v>
      </c>
      <c r="M156" s="1206">
        <f t="shared" si="16"/>
        <v>0</v>
      </c>
      <c r="N156" s="1337">
        <f t="shared" si="16"/>
        <v>0</v>
      </c>
      <c r="O156" s="1397">
        <f t="shared" si="12"/>
        <v>0</v>
      </c>
      <c r="P156" s="1401">
        <f t="shared" si="12"/>
        <v>0</v>
      </c>
      <c r="Q156" s="1198">
        <f t="shared" si="12"/>
        <v>0</v>
      </c>
      <c r="R156" s="1326">
        <f t="shared" si="12"/>
        <v>0</v>
      </c>
      <c r="S156" s="1322">
        <f t="shared" ref="S156:T156" si="26">S18*S87</f>
        <v>0</v>
      </c>
      <c r="T156" s="1327">
        <f t="shared" si="26"/>
        <v>0</v>
      </c>
    </row>
    <row r="157" spans="1:20" ht="12.45" customHeight="1">
      <c r="A157" s="1311" t="str">
        <f t="shared" si="11"/>
        <v>10GbE</v>
      </c>
      <c r="B157" s="784" t="str">
        <f t="shared" si="11"/>
        <v>10 GbE (LR)</v>
      </c>
      <c r="C157" s="784" t="str">
        <f t="shared" si="11"/>
        <v>10 km</v>
      </c>
      <c r="D157" s="211" t="str">
        <f t="shared" si="11"/>
        <v>XFP</v>
      </c>
      <c r="E157" s="808">
        <f t="shared" si="14"/>
        <v>1560041.0695456688</v>
      </c>
      <c r="F157" s="197">
        <f t="shared" si="14"/>
        <v>595933.64189330698</v>
      </c>
      <c r="G157" s="197">
        <f t="shared" si="12"/>
        <v>690042.46661857865</v>
      </c>
      <c r="H157" s="443">
        <f t="shared" si="12"/>
        <v>533270.04421381024</v>
      </c>
      <c r="I157" s="808">
        <f t="shared" si="15"/>
        <v>0</v>
      </c>
      <c r="J157" s="197">
        <f t="shared" si="15"/>
        <v>0</v>
      </c>
      <c r="K157" s="1337">
        <f t="shared" si="12"/>
        <v>0</v>
      </c>
      <c r="L157" s="1159">
        <f t="shared" si="12"/>
        <v>0</v>
      </c>
      <c r="M157" s="1206">
        <f t="shared" si="16"/>
        <v>0</v>
      </c>
      <c r="N157" s="1337">
        <f t="shared" si="16"/>
        <v>0</v>
      </c>
      <c r="O157" s="1397">
        <f t="shared" si="12"/>
        <v>0</v>
      </c>
      <c r="P157" s="1401">
        <f t="shared" si="12"/>
        <v>0</v>
      </c>
      <c r="Q157" s="1198">
        <f t="shared" si="12"/>
        <v>0</v>
      </c>
      <c r="R157" s="1326">
        <f t="shared" si="12"/>
        <v>0</v>
      </c>
      <c r="S157" s="1322">
        <f t="shared" ref="S157:T157" si="27">S19*S88</f>
        <v>0</v>
      </c>
      <c r="T157" s="1327">
        <f t="shared" si="27"/>
        <v>0</v>
      </c>
    </row>
    <row r="158" spans="1:20" ht="12.45" customHeight="1">
      <c r="A158" s="1311" t="str">
        <f t="shared" si="11"/>
        <v>10GbE</v>
      </c>
      <c r="B158" s="784" t="str">
        <f t="shared" si="11"/>
        <v>10 GbE (LR)</v>
      </c>
      <c r="C158" s="784" t="str">
        <f t="shared" si="11"/>
        <v>10 km</v>
      </c>
      <c r="D158" s="211" t="str">
        <f t="shared" si="11"/>
        <v>SFP+</v>
      </c>
      <c r="E158" s="808">
        <f t="shared" si="14"/>
        <v>45501225.926508941</v>
      </c>
      <c r="F158" s="197">
        <f t="shared" si="14"/>
        <v>41028060.801677443</v>
      </c>
      <c r="G158" s="197">
        <f t="shared" si="12"/>
        <v>31875546.599679418</v>
      </c>
      <c r="H158" s="443">
        <f t="shared" si="12"/>
        <v>35291081.533389315</v>
      </c>
      <c r="I158" s="808">
        <f t="shared" si="15"/>
        <v>0</v>
      </c>
      <c r="J158" s="197">
        <f t="shared" si="15"/>
        <v>0</v>
      </c>
      <c r="K158" s="1337">
        <f t="shared" si="12"/>
        <v>0</v>
      </c>
      <c r="L158" s="1159">
        <f t="shared" si="12"/>
        <v>0</v>
      </c>
      <c r="M158" s="1206">
        <f t="shared" si="16"/>
        <v>0</v>
      </c>
      <c r="N158" s="1337">
        <f t="shared" si="16"/>
        <v>0</v>
      </c>
      <c r="O158" s="1397">
        <f t="shared" si="12"/>
        <v>0</v>
      </c>
      <c r="P158" s="1401">
        <f t="shared" si="12"/>
        <v>0</v>
      </c>
      <c r="Q158" s="1198">
        <f t="shared" si="12"/>
        <v>0</v>
      </c>
      <c r="R158" s="1326">
        <f t="shared" si="12"/>
        <v>0</v>
      </c>
      <c r="S158" s="1322">
        <f t="shared" ref="S158:T158" si="28">S20*S89</f>
        <v>0</v>
      </c>
      <c r="T158" s="1327">
        <f t="shared" si="28"/>
        <v>0</v>
      </c>
    </row>
    <row r="159" spans="1:20" ht="12.45" customHeight="1">
      <c r="A159" s="1311" t="str">
        <f t="shared" si="11"/>
        <v>10GbE</v>
      </c>
      <c r="B159" s="426" t="str">
        <f t="shared" si="11"/>
        <v>10 GbE (LR)</v>
      </c>
      <c r="C159" s="426" t="str">
        <f t="shared" si="11"/>
        <v>2 km</v>
      </c>
      <c r="D159" s="368" t="str">
        <f t="shared" si="11"/>
        <v>SFP+ sub-spec</v>
      </c>
      <c r="E159" s="808">
        <f t="shared" si="14"/>
        <v>9966921</v>
      </c>
      <c r="F159" s="197">
        <f t="shared" si="14"/>
        <v>10614229</v>
      </c>
      <c r="G159" s="197">
        <f t="shared" si="12"/>
        <v>8466659</v>
      </c>
      <c r="H159" s="443">
        <f t="shared" si="12"/>
        <v>8580000</v>
      </c>
      <c r="I159" s="808">
        <f t="shared" si="15"/>
        <v>0</v>
      </c>
      <c r="J159" s="197">
        <f t="shared" si="15"/>
        <v>0</v>
      </c>
      <c r="K159" s="1337">
        <f t="shared" si="12"/>
        <v>0</v>
      </c>
      <c r="L159" s="1159">
        <f t="shared" si="12"/>
        <v>0</v>
      </c>
      <c r="M159" s="1206">
        <f t="shared" si="16"/>
        <v>0</v>
      </c>
      <c r="N159" s="1337">
        <f t="shared" si="16"/>
        <v>0</v>
      </c>
      <c r="O159" s="1397">
        <f t="shared" si="12"/>
        <v>0</v>
      </c>
      <c r="P159" s="1401">
        <f t="shared" si="12"/>
        <v>0</v>
      </c>
      <c r="Q159" s="1198">
        <f t="shared" si="12"/>
        <v>0</v>
      </c>
      <c r="R159" s="1326">
        <f t="shared" si="12"/>
        <v>0</v>
      </c>
      <c r="S159" s="1322">
        <f t="shared" ref="S159:T159" si="29">S21*S90</f>
        <v>0</v>
      </c>
      <c r="T159" s="1327">
        <f t="shared" si="29"/>
        <v>0</v>
      </c>
    </row>
    <row r="160" spans="1:20" ht="12.45" customHeight="1">
      <c r="A160" s="1311" t="str">
        <f t="shared" si="11"/>
        <v>10GbE</v>
      </c>
      <c r="B160" s="789" t="str">
        <f t="shared" si="11"/>
        <v>10 GbE (ER)</v>
      </c>
      <c r="C160" s="789" t="str">
        <f t="shared" si="11"/>
        <v>40 km</v>
      </c>
      <c r="D160" s="211" t="str">
        <f t="shared" si="11"/>
        <v>XFP &amp; other</v>
      </c>
      <c r="E160" s="808">
        <f t="shared" si="14"/>
        <v>3921953.6318378123</v>
      </c>
      <c r="F160" s="197">
        <f t="shared" si="14"/>
        <v>3031184.4564648028</v>
      </c>
      <c r="G160" s="197">
        <f t="shared" si="12"/>
        <v>3694028.9833293259</v>
      </c>
      <c r="H160" s="443">
        <f t="shared" si="12"/>
        <v>4309241.1422400866</v>
      </c>
      <c r="I160" s="808">
        <f t="shared" si="15"/>
        <v>0</v>
      </c>
      <c r="J160" s="197">
        <f t="shared" si="15"/>
        <v>0</v>
      </c>
      <c r="K160" s="1337">
        <f t="shared" si="12"/>
        <v>0</v>
      </c>
      <c r="L160" s="1159">
        <f t="shared" si="12"/>
        <v>0</v>
      </c>
      <c r="M160" s="1206">
        <f t="shared" si="16"/>
        <v>0</v>
      </c>
      <c r="N160" s="1337">
        <f t="shared" si="16"/>
        <v>0</v>
      </c>
      <c r="O160" s="1397">
        <f t="shared" si="12"/>
        <v>0</v>
      </c>
      <c r="P160" s="1401">
        <f t="shared" si="12"/>
        <v>0</v>
      </c>
      <c r="Q160" s="1198">
        <f t="shared" si="12"/>
        <v>0</v>
      </c>
      <c r="R160" s="1326">
        <f t="shared" si="12"/>
        <v>0</v>
      </c>
      <c r="S160" s="1322">
        <f t="shared" ref="S160:T160" si="30">S22*S91</f>
        <v>0</v>
      </c>
      <c r="T160" s="1327">
        <f t="shared" si="30"/>
        <v>0</v>
      </c>
    </row>
    <row r="161" spans="1:20" ht="12.45" customHeight="1">
      <c r="A161" s="1311" t="str">
        <f t="shared" si="11"/>
        <v>10GbE</v>
      </c>
      <c r="B161" s="784" t="str">
        <f t="shared" si="11"/>
        <v>10 GbE (ER)</v>
      </c>
      <c r="C161" s="784" t="str">
        <f t="shared" si="11"/>
        <v>40 km</v>
      </c>
      <c r="D161" s="918" t="str">
        <f t="shared" si="11"/>
        <v>SFP+</v>
      </c>
      <c r="E161" s="808">
        <f t="shared" si="14"/>
        <v>16903912.957371529</v>
      </c>
      <c r="F161" s="197">
        <f t="shared" si="14"/>
        <v>16961624.144193109</v>
      </c>
      <c r="G161" s="197">
        <f t="shared" si="12"/>
        <v>16582706.631522</v>
      </c>
      <c r="H161" s="443">
        <f t="shared" si="12"/>
        <v>16620915.956186134</v>
      </c>
      <c r="I161" s="808">
        <f t="shared" si="15"/>
        <v>0</v>
      </c>
      <c r="J161" s="197">
        <f t="shared" si="15"/>
        <v>0</v>
      </c>
      <c r="K161" s="1337">
        <f t="shared" si="12"/>
        <v>0</v>
      </c>
      <c r="L161" s="1159">
        <f t="shared" si="12"/>
        <v>0</v>
      </c>
      <c r="M161" s="1206">
        <f t="shared" si="16"/>
        <v>0</v>
      </c>
      <c r="N161" s="1337">
        <f t="shared" si="16"/>
        <v>0</v>
      </c>
      <c r="O161" s="1397">
        <f t="shared" si="12"/>
        <v>0</v>
      </c>
      <c r="P161" s="1401">
        <f t="shared" si="12"/>
        <v>0</v>
      </c>
      <c r="Q161" s="1198">
        <f t="shared" si="12"/>
        <v>0</v>
      </c>
      <c r="R161" s="1326">
        <f t="shared" si="12"/>
        <v>0</v>
      </c>
      <c r="S161" s="1322">
        <f t="shared" ref="S161:T161" si="31">S23*S92</f>
        <v>0</v>
      </c>
      <c r="T161" s="1327">
        <f t="shared" si="31"/>
        <v>0</v>
      </c>
    </row>
    <row r="162" spans="1:20" ht="12.45" customHeight="1">
      <c r="A162" s="1311" t="str">
        <f t="shared" ref="A162:D177" si="32">A24</f>
        <v>10GbE</v>
      </c>
      <c r="B162" s="789" t="str">
        <f t="shared" si="32"/>
        <v>10 GbE (ZR)</v>
      </c>
      <c r="C162" s="789" t="str">
        <f t="shared" si="32"/>
        <v>80 km</v>
      </c>
      <c r="D162" s="211" t="str">
        <f t="shared" si="32"/>
        <v>XFP &amp; other</v>
      </c>
      <c r="E162" s="1336">
        <f t="shared" si="14"/>
        <v>1617470.882698148</v>
      </c>
      <c r="F162" s="1337">
        <f t="shared" si="14"/>
        <v>751000.60481018655</v>
      </c>
      <c r="G162" s="1337">
        <f t="shared" ref="G162:H177" si="33">G24*G93</f>
        <v>135000</v>
      </c>
      <c r="H162" s="1338">
        <f t="shared" si="33"/>
        <v>135000</v>
      </c>
      <c r="I162" s="1336">
        <f t="shared" si="15"/>
        <v>0</v>
      </c>
      <c r="J162" s="1337">
        <f t="shared" si="15"/>
        <v>0</v>
      </c>
      <c r="K162" s="1337">
        <f t="shared" ref="K162:L177" si="34">K24*K93</f>
        <v>0</v>
      </c>
      <c r="L162" s="1339">
        <f t="shared" si="34"/>
        <v>0</v>
      </c>
      <c r="M162" s="1370">
        <f t="shared" si="16"/>
        <v>0</v>
      </c>
      <c r="N162" s="1337">
        <f t="shared" si="16"/>
        <v>0</v>
      </c>
      <c r="O162" s="1397">
        <f t="shared" ref="O162:R177" si="35">O24*O93</f>
        <v>0</v>
      </c>
      <c r="P162" s="1401">
        <f t="shared" si="35"/>
        <v>0</v>
      </c>
      <c r="Q162" s="1340">
        <f t="shared" si="35"/>
        <v>0</v>
      </c>
      <c r="R162" s="1326">
        <f t="shared" si="35"/>
        <v>0</v>
      </c>
      <c r="S162" s="1322">
        <f t="shared" ref="S162:T162" si="36">S24*S93</f>
        <v>0</v>
      </c>
      <c r="T162" s="1327">
        <f t="shared" si="36"/>
        <v>0</v>
      </c>
    </row>
    <row r="163" spans="1:20" ht="12.45" customHeight="1" thickBot="1">
      <c r="A163" s="1311" t="str">
        <f t="shared" si="32"/>
        <v>10GbE</v>
      </c>
      <c r="B163" s="784" t="str">
        <f t="shared" si="32"/>
        <v>10 GbE (ZR)</v>
      </c>
      <c r="C163" s="790" t="str">
        <f t="shared" si="32"/>
        <v>80 km</v>
      </c>
      <c r="D163" s="439" t="str">
        <f t="shared" si="32"/>
        <v>SFP+</v>
      </c>
      <c r="E163" s="1341">
        <f t="shared" ref="E163:F178" si="37">E94*E25</f>
        <v>11191782.682364579</v>
      </c>
      <c r="F163" s="1342">
        <f t="shared" si="37"/>
        <v>8416975.2491092589</v>
      </c>
      <c r="G163" s="1342">
        <f t="shared" si="33"/>
        <v>8991478.7870081011</v>
      </c>
      <c r="H163" s="1343">
        <f t="shared" si="33"/>
        <v>8732816.556842044</v>
      </c>
      <c r="I163" s="1341">
        <f t="shared" ref="I163:J178" si="38">I94*I25</f>
        <v>0</v>
      </c>
      <c r="J163" s="1342">
        <f t="shared" si="38"/>
        <v>0</v>
      </c>
      <c r="K163" s="1342">
        <f t="shared" si="34"/>
        <v>0</v>
      </c>
      <c r="L163" s="1345">
        <f t="shared" si="34"/>
        <v>0</v>
      </c>
      <c r="M163" s="1357">
        <f t="shared" ref="M163:N178" si="39">M94*M25</f>
        <v>0</v>
      </c>
      <c r="N163" s="1379">
        <f t="shared" si="39"/>
        <v>0</v>
      </c>
      <c r="O163" s="1406">
        <f t="shared" si="35"/>
        <v>0</v>
      </c>
      <c r="P163" s="1407">
        <f t="shared" si="35"/>
        <v>0</v>
      </c>
      <c r="Q163" s="1382">
        <f t="shared" si="35"/>
        <v>0</v>
      </c>
      <c r="R163" s="1329">
        <f t="shared" si="35"/>
        <v>0</v>
      </c>
      <c r="S163" s="1578">
        <f t="shared" ref="S163:T163" si="40">S25*S94</f>
        <v>0</v>
      </c>
      <c r="T163" s="1330">
        <f t="shared" si="40"/>
        <v>0</v>
      </c>
    </row>
    <row r="164" spans="1:20" ht="12.45" customHeight="1">
      <c r="A164" s="1319" t="str">
        <f t="shared" si="32"/>
        <v>25GbE</v>
      </c>
      <c r="B164" s="792" t="str">
        <f t="shared" si="32"/>
        <v>25GbE SR</v>
      </c>
      <c r="C164" s="426" t="str">
        <f t="shared" si="32"/>
        <v>100 m</v>
      </c>
      <c r="D164" s="811" t="str">
        <f t="shared" si="32"/>
        <v>SFP28</v>
      </c>
      <c r="E164" s="1348">
        <f t="shared" si="37"/>
        <v>883400</v>
      </c>
      <c r="F164" s="1349">
        <f t="shared" si="37"/>
        <v>1986838.9999999998</v>
      </c>
      <c r="G164" s="1350">
        <f t="shared" si="33"/>
        <v>1753619.4999999995</v>
      </c>
      <c r="H164" s="1351">
        <f t="shared" si="33"/>
        <v>8903720.4999999981</v>
      </c>
      <c r="I164" s="1348">
        <f t="shared" si="38"/>
        <v>0</v>
      </c>
      <c r="J164" s="1349">
        <f t="shared" si="38"/>
        <v>0</v>
      </c>
      <c r="K164" s="1404">
        <f t="shared" si="34"/>
        <v>0</v>
      </c>
      <c r="L164" s="1351">
        <f t="shared" si="34"/>
        <v>0</v>
      </c>
      <c r="M164" s="1369">
        <f t="shared" si="39"/>
        <v>0</v>
      </c>
      <c r="N164" s="1398">
        <f t="shared" si="39"/>
        <v>0</v>
      </c>
      <c r="O164" s="1399">
        <f t="shared" si="35"/>
        <v>0</v>
      </c>
      <c r="P164" s="1400">
        <f t="shared" si="35"/>
        <v>0</v>
      </c>
      <c r="Q164" s="1384">
        <f t="shared" si="35"/>
        <v>0</v>
      </c>
      <c r="R164" s="1333">
        <f t="shared" si="35"/>
        <v>0</v>
      </c>
      <c r="S164" s="1576">
        <f t="shared" ref="S164:T164" si="41">S26*S95</f>
        <v>0</v>
      </c>
      <c r="T164" s="1334">
        <f t="shared" si="41"/>
        <v>0</v>
      </c>
    </row>
    <row r="165" spans="1:20" ht="12.45" customHeight="1">
      <c r="A165" s="1311" t="str">
        <f t="shared" si="32"/>
        <v>25GbE</v>
      </c>
      <c r="B165" s="426" t="str">
        <f t="shared" si="32"/>
        <v>25GbE LR</v>
      </c>
      <c r="C165" s="426" t="str">
        <f t="shared" si="32"/>
        <v>10 km</v>
      </c>
      <c r="D165" s="811" t="str">
        <f t="shared" si="32"/>
        <v>SFP28</v>
      </c>
      <c r="E165" s="1354">
        <f t="shared" si="37"/>
        <v>1310848</v>
      </c>
      <c r="F165" s="1355">
        <f t="shared" si="37"/>
        <v>971671</v>
      </c>
      <c r="G165" s="1337">
        <f t="shared" si="33"/>
        <v>1432111.5440410348</v>
      </c>
      <c r="H165" s="1339">
        <f t="shared" si="33"/>
        <v>1944865.7628731977</v>
      </c>
      <c r="I165" s="1354">
        <f t="shared" si="38"/>
        <v>0</v>
      </c>
      <c r="J165" s="1355">
        <f t="shared" si="38"/>
        <v>0</v>
      </c>
      <c r="K165" s="1397">
        <f t="shared" si="34"/>
        <v>0</v>
      </c>
      <c r="L165" s="1339">
        <f t="shared" si="34"/>
        <v>0</v>
      </c>
      <c r="M165" s="1408">
        <f t="shared" si="39"/>
        <v>0</v>
      </c>
      <c r="N165" s="1337">
        <f t="shared" si="39"/>
        <v>0</v>
      </c>
      <c r="O165" s="1397">
        <f t="shared" si="35"/>
        <v>0</v>
      </c>
      <c r="P165" s="1401">
        <f t="shared" si="35"/>
        <v>0</v>
      </c>
      <c r="Q165" s="1356">
        <f t="shared" si="35"/>
        <v>0</v>
      </c>
      <c r="R165" s="1326">
        <f t="shared" si="35"/>
        <v>0</v>
      </c>
      <c r="S165" s="1322">
        <f t="shared" ref="S165:T165" si="42">S27*S96</f>
        <v>0</v>
      </c>
      <c r="T165" s="1327">
        <f t="shared" si="42"/>
        <v>0</v>
      </c>
    </row>
    <row r="166" spans="1:20" ht="13.05" customHeight="1" thickBot="1">
      <c r="A166" s="1157" t="str">
        <f t="shared" si="32"/>
        <v>25GbE</v>
      </c>
      <c r="B166" s="793" t="str">
        <f t="shared" si="32"/>
        <v>25 GbE ER</v>
      </c>
      <c r="C166" s="790" t="str">
        <f t="shared" si="32"/>
        <v>40 km</v>
      </c>
      <c r="D166" s="814" t="str">
        <f t="shared" si="32"/>
        <v>SFP28</v>
      </c>
      <c r="E166" s="1341">
        <f t="shared" si="37"/>
        <v>0</v>
      </c>
      <c r="F166" s="1342">
        <f t="shared" si="37"/>
        <v>0</v>
      </c>
      <c r="G166" s="1342">
        <f t="shared" si="33"/>
        <v>0</v>
      </c>
      <c r="H166" s="1345">
        <f t="shared" si="33"/>
        <v>0</v>
      </c>
      <c r="I166" s="1341">
        <f t="shared" si="38"/>
        <v>0</v>
      </c>
      <c r="J166" s="1342">
        <f t="shared" si="38"/>
        <v>0</v>
      </c>
      <c r="K166" s="1402">
        <f t="shared" si="34"/>
        <v>0</v>
      </c>
      <c r="L166" s="1345">
        <f t="shared" si="34"/>
        <v>0</v>
      </c>
      <c r="M166" s="1388">
        <f t="shared" si="39"/>
        <v>0</v>
      </c>
      <c r="N166" s="1342">
        <f t="shared" si="39"/>
        <v>0</v>
      </c>
      <c r="O166" s="1402">
        <f t="shared" si="35"/>
        <v>0</v>
      </c>
      <c r="P166" s="1403">
        <f t="shared" si="35"/>
        <v>0</v>
      </c>
      <c r="Q166" s="1346">
        <f t="shared" si="35"/>
        <v>0</v>
      </c>
      <c r="R166" s="1344">
        <f t="shared" si="35"/>
        <v>0</v>
      </c>
      <c r="S166" s="1328">
        <f t="shared" ref="S166:T166" si="43">S28*S97</f>
        <v>0</v>
      </c>
      <c r="T166" s="1347">
        <f t="shared" si="43"/>
        <v>0</v>
      </c>
    </row>
    <row r="167" spans="1:20" ht="12.45" customHeight="1">
      <c r="A167" s="1317" t="str">
        <f t="shared" si="32"/>
        <v>40GbE</v>
      </c>
      <c r="B167" s="788" t="str">
        <f t="shared" si="32"/>
        <v>40 GbE SR</v>
      </c>
      <c r="C167" s="788" t="str">
        <f t="shared" si="32"/>
        <v>100 m</v>
      </c>
      <c r="D167" s="429" t="str">
        <f t="shared" si="32"/>
        <v>CFP</v>
      </c>
      <c r="E167" s="1360">
        <f t="shared" si="37"/>
        <v>0</v>
      </c>
      <c r="F167" s="1350">
        <f t="shared" si="37"/>
        <v>0</v>
      </c>
      <c r="G167" s="1350">
        <f t="shared" si="33"/>
        <v>0</v>
      </c>
      <c r="H167" s="1361">
        <f t="shared" si="33"/>
        <v>0</v>
      </c>
      <c r="I167" s="1360">
        <f t="shared" si="38"/>
        <v>0</v>
      </c>
      <c r="J167" s="1350">
        <f t="shared" si="38"/>
        <v>0</v>
      </c>
      <c r="K167" s="1398">
        <f t="shared" si="34"/>
        <v>0</v>
      </c>
      <c r="L167" s="1351">
        <f t="shared" si="34"/>
        <v>0</v>
      </c>
      <c r="M167" s="1409">
        <f t="shared" si="39"/>
        <v>0</v>
      </c>
      <c r="N167" s="1350">
        <f t="shared" si="39"/>
        <v>0</v>
      </c>
      <c r="O167" s="1404">
        <f t="shared" si="35"/>
        <v>0</v>
      </c>
      <c r="P167" s="1405">
        <f t="shared" si="35"/>
        <v>0</v>
      </c>
      <c r="Q167" s="1579">
        <f t="shared" si="35"/>
        <v>0</v>
      </c>
      <c r="R167" s="1323">
        <f t="shared" si="35"/>
        <v>0</v>
      </c>
      <c r="S167" s="1352">
        <f t="shared" ref="S167:T167" si="44">S29*S98</f>
        <v>0</v>
      </c>
      <c r="T167" s="1324">
        <f t="shared" si="44"/>
        <v>0</v>
      </c>
    </row>
    <row r="168" spans="1:20" ht="12.45" customHeight="1">
      <c r="A168" s="1313" t="str">
        <f t="shared" si="32"/>
        <v>40GbE</v>
      </c>
      <c r="B168" s="426" t="str">
        <f t="shared" si="32"/>
        <v>40 GbE SR</v>
      </c>
      <c r="C168" s="426" t="str">
        <f t="shared" si="32"/>
        <v>100 m</v>
      </c>
      <c r="D168" s="430" t="str">
        <f t="shared" si="32"/>
        <v>QSFP+</v>
      </c>
      <c r="E168" s="1354">
        <f t="shared" si="37"/>
        <v>17924099.19161677</v>
      </c>
      <c r="F168" s="1355">
        <f t="shared" si="37"/>
        <v>14429446.98802395</v>
      </c>
      <c r="G168" s="1337">
        <f t="shared" si="33"/>
        <v>15796798.1633</v>
      </c>
      <c r="H168" s="1338">
        <f t="shared" si="33"/>
        <v>15236103.530400004</v>
      </c>
      <c r="I168" s="1354">
        <f t="shared" si="38"/>
        <v>0</v>
      </c>
      <c r="J168" s="1355">
        <f t="shared" si="38"/>
        <v>0</v>
      </c>
      <c r="K168" s="1350">
        <f t="shared" si="34"/>
        <v>0</v>
      </c>
      <c r="L168" s="1339">
        <f t="shared" si="34"/>
        <v>0</v>
      </c>
      <c r="M168" s="1408">
        <f t="shared" si="39"/>
        <v>0</v>
      </c>
      <c r="N168" s="1337">
        <f t="shared" si="39"/>
        <v>0</v>
      </c>
      <c r="O168" s="1404">
        <f t="shared" si="35"/>
        <v>0</v>
      </c>
      <c r="P168" s="1405">
        <f t="shared" si="35"/>
        <v>0</v>
      </c>
      <c r="Q168" s="1356">
        <f t="shared" si="35"/>
        <v>0</v>
      </c>
      <c r="R168" s="1326">
        <f t="shared" si="35"/>
        <v>0</v>
      </c>
      <c r="S168" s="1352">
        <f t="shared" ref="S168:T168" si="45">S30*S99</f>
        <v>0</v>
      </c>
      <c r="T168" s="1324">
        <f t="shared" si="45"/>
        <v>0</v>
      </c>
    </row>
    <row r="169" spans="1:20" ht="12.45" customHeight="1">
      <c r="A169" s="1313" t="str">
        <f t="shared" si="32"/>
        <v>40GbE</v>
      </c>
      <c r="B169" s="209" t="str">
        <f t="shared" si="32"/>
        <v>40GbE MM Duplex</v>
      </c>
      <c r="C169" s="779" t="str">
        <f t="shared" si="32"/>
        <v>100 m</v>
      </c>
      <c r="D169" s="430" t="str">
        <f t="shared" si="32"/>
        <v>QSFP+</v>
      </c>
      <c r="E169" s="1336">
        <f t="shared" si="37"/>
        <v>17141240</v>
      </c>
      <c r="F169" s="1337">
        <f t="shared" si="37"/>
        <v>21513440</v>
      </c>
      <c r="G169" s="1337">
        <f t="shared" si="33"/>
        <v>32141165.600000001</v>
      </c>
      <c r="H169" s="1338">
        <f t="shared" si="33"/>
        <v>26177205.999999996</v>
      </c>
      <c r="I169" s="1336">
        <f t="shared" si="38"/>
        <v>0</v>
      </c>
      <c r="J169" s="1337">
        <f t="shared" si="38"/>
        <v>0</v>
      </c>
      <c r="K169" s="1337">
        <f t="shared" si="34"/>
        <v>0</v>
      </c>
      <c r="L169" s="1339">
        <f t="shared" si="34"/>
        <v>0</v>
      </c>
      <c r="M169" s="1370">
        <f t="shared" si="39"/>
        <v>0</v>
      </c>
      <c r="N169" s="1337">
        <f t="shared" si="39"/>
        <v>0</v>
      </c>
      <c r="O169" s="1397">
        <f t="shared" si="35"/>
        <v>0</v>
      </c>
      <c r="P169" s="1401">
        <f t="shared" si="35"/>
        <v>0</v>
      </c>
      <c r="Q169" s="1340">
        <f t="shared" si="35"/>
        <v>0</v>
      </c>
      <c r="R169" s="1326">
        <f t="shared" si="35"/>
        <v>0</v>
      </c>
      <c r="S169" s="1322">
        <f t="shared" ref="S169:T169" si="46">S31*S100</f>
        <v>0</v>
      </c>
      <c r="T169" s="1327">
        <f t="shared" si="46"/>
        <v>0</v>
      </c>
    </row>
    <row r="170" spans="1:20" ht="12.45" customHeight="1">
      <c r="A170" s="1313" t="str">
        <f t="shared" si="32"/>
        <v>40GbE</v>
      </c>
      <c r="B170" s="208" t="str">
        <f t="shared" si="32"/>
        <v>40 GbE eSR</v>
      </c>
      <c r="C170" s="779" t="str">
        <f t="shared" si="32"/>
        <v>300 m</v>
      </c>
      <c r="D170" s="435" t="str">
        <f t="shared" si="32"/>
        <v>QSFP+</v>
      </c>
      <c r="E170" s="1336">
        <f t="shared" si="37"/>
        <v>7738640</v>
      </c>
      <c r="F170" s="1337">
        <f t="shared" si="37"/>
        <v>11721524</v>
      </c>
      <c r="G170" s="1337">
        <f t="shared" si="33"/>
        <v>8604803</v>
      </c>
      <c r="H170" s="1338">
        <f t="shared" si="33"/>
        <v>8354866.6399999997</v>
      </c>
      <c r="I170" s="1336">
        <f t="shared" si="38"/>
        <v>0</v>
      </c>
      <c r="J170" s="1337">
        <f t="shared" si="38"/>
        <v>0</v>
      </c>
      <c r="K170" s="1337">
        <f t="shared" si="34"/>
        <v>0</v>
      </c>
      <c r="L170" s="1339">
        <f t="shared" si="34"/>
        <v>0</v>
      </c>
      <c r="M170" s="1370">
        <f t="shared" si="39"/>
        <v>0</v>
      </c>
      <c r="N170" s="1337">
        <f t="shared" si="39"/>
        <v>0</v>
      </c>
      <c r="O170" s="1397">
        <f t="shared" si="35"/>
        <v>0</v>
      </c>
      <c r="P170" s="1401">
        <f t="shared" si="35"/>
        <v>0</v>
      </c>
      <c r="Q170" s="1340">
        <f t="shared" si="35"/>
        <v>0</v>
      </c>
      <c r="R170" s="1326">
        <f t="shared" si="35"/>
        <v>0</v>
      </c>
      <c r="S170" s="1322">
        <f t="shared" ref="S170:T170" si="47">S32*S101</f>
        <v>0</v>
      </c>
      <c r="T170" s="1327">
        <f t="shared" si="47"/>
        <v>0</v>
      </c>
    </row>
    <row r="171" spans="1:20" ht="12.45" customHeight="1">
      <c r="A171" s="1313" t="str">
        <f t="shared" si="32"/>
        <v>40GbE</v>
      </c>
      <c r="B171" s="208" t="str">
        <f t="shared" si="32"/>
        <v>40 GbE PSM4</v>
      </c>
      <c r="C171" s="779" t="str">
        <f t="shared" si="32"/>
        <v>500 m</v>
      </c>
      <c r="D171" s="435" t="str">
        <f t="shared" si="32"/>
        <v>QSFP+</v>
      </c>
      <c r="E171" s="1336">
        <f t="shared" si="37"/>
        <v>32613232</v>
      </c>
      <c r="F171" s="1337">
        <f t="shared" si="37"/>
        <v>49645562</v>
      </c>
      <c r="G171" s="1337">
        <f t="shared" si="33"/>
        <v>36500000</v>
      </c>
      <c r="H171" s="1338">
        <f t="shared" si="33"/>
        <v>42500000</v>
      </c>
      <c r="I171" s="1336">
        <f t="shared" si="38"/>
        <v>0</v>
      </c>
      <c r="J171" s="1337">
        <f t="shared" si="38"/>
        <v>0</v>
      </c>
      <c r="K171" s="1337">
        <f t="shared" si="34"/>
        <v>0</v>
      </c>
      <c r="L171" s="1339">
        <f t="shared" si="34"/>
        <v>0</v>
      </c>
      <c r="M171" s="1370">
        <f t="shared" si="39"/>
        <v>0</v>
      </c>
      <c r="N171" s="1337">
        <f t="shared" si="39"/>
        <v>0</v>
      </c>
      <c r="O171" s="1397">
        <f t="shared" si="35"/>
        <v>0</v>
      </c>
      <c r="P171" s="1401">
        <f t="shared" si="35"/>
        <v>0</v>
      </c>
      <c r="Q171" s="1340">
        <f t="shared" si="35"/>
        <v>0</v>
      </c>
      <c r="R171" s="1326">
        <f t="shared" si="35"/>
        <v>0</v>
      </c>
      <c r="S171" s="1322">
        <f t="shared" ref="S171:T171" si="48">S33*S102</f>
        <v>0</v>
      </c>
      <c r="T171" s="1327">
        <f t="shared" si="48"/>
        <v>0</v>
      </c>
    </row>
    <row r="172" spans="1:20" ht="12.45" customHeight="1">
      <c r="A172" s="1313" t="str">
        <f t="shared" si="32"/>
        <v>40GbE</v>
      </c>
      <c r="B172" s="789" t="str">
        <f t="shared" si="32"/>
        <v>40 GbE FR</v>
      </c>
      <c r="C172" s="781" t="str">
        <f t="shared" si="32"/>
        <v>2 km</v>
      </c>
      <c r="D172" s="211" t="str">
        <f t="shared" si="32"/>
        <v>CFP</v>
      </c>
      <c r="E172" s="1354">
        <f t="shared" si="37"/>
        <v>769175.84587306809</v>
      </c>
      <c r="F172" s="1355">
        <f t="shared" si="37"/>
        <v>297000</v>
      </c>
      <c r="G172" s="1337">
        <f t="shared" si="33"/>
        <v>984500</v>
      </c>
      <c r="H172" s="1338">
        <f t="shared" si="33"/>
        <v>60500</v>
      </c>
      <c r="I172" s="1354">
        <f t="shared" si="38"/>
        <v>0</v>
      </c>
      <c r="J172" s="1355">
        <f t="shared" si="38"/>
        <v>0</v>
      </c>
      <c r="K172" s="1337">
        <f t="shared" si="34"/>
        <v>0</v>
      </c>
      <c r="L172" s="1339">
        <f t="shared" si="34"/>
        <v>0</v>
      </c>
      <c r="M172" s="1408">
        <f t="shared" si="39"/>
        <v>0</v>
      </c>
      <c r="N172" s="1337">
        <f t="shared" si="39"/>
        <v>0</v>
      </c>
      <c r="O172" s="1397">
        <f t="shared" si="35"/>
        <v>0</v>
      </c>
      <c r="P172" s="1401">
        <f t="shared" si="35"/>
        <v>0</v>
      </c>
      <c r="Q172" s="1356">
        <f t="shared" si="35"/>
        <v>0</v>
      </c>
      <c r="R172" s="1326">
        <f t="shared" si="35"/>
        <v>0</v>
      </c>
      <c r="S172" s="1322">
        <f t="shared" ref="S172:T172" si="49">S34*S103</f>
        <v>0</v>
      </c>
      <c r="T172" s="1327">
        <f t="shared" si="49"/>
        <v>0</v>
      </c>
    </row>
    <row r="173" spans="1:20" ht="12.45" customHeight="1">
      <c r="A173" s="1313" t="str">
        <f t="shared" si="32"/>
        <v>40GbE</v>
      </c>
      <c r="B173" s="231" t="str">
        <f t="shared" si="32"/>
        <v>40 GbE FR</v>
      </c>
      <c r="C173" s="827" t="str">
        <f t="shared" si="32"/>
        <v>2 km</v>
      </c>
      <c r="D173" s="211" t="str">
        <f t="shared" si="32"/>
        <v>QSFP+</v>
      </c>
      <c r="E173" s="1336">
        <f t="shared" si="37"/>
        <v>0</v>
      </c>
      <c r="F173" s="1337">
        <f t="shared" si="37"/>
        <v>0</v>
      </c>
      <c r="G173" s="1337">
        <f t="shared" si="33"/>
        <v>0</v>
      </c>
      <c r="H173" s="1338">
        <f t="shared" si="33"/>
        <v>0</v>
      </c>
      <c r="I173" s="1336">
        <f t="shared" si="38"/>
        <v>0</v>
      </c>
      <c r="J173" s="1337">
        <f t="shared" si="38"/>
        <v>0</v>
      </c>
      <c r="K173" s="1337">
        <f t="shared" si="34"/>
        <v>0</v>
      </c>
      <c r="L173" s="1339">
        <f t="shared" si="34"/>
        <v>0</v>
      </c>
      <c r="M173" s="1370">
        <f t="shared" si="39"/>
        <v>0</v>
      </c>
      <c r="N173" s="1337">
        <f t="shared" si="39"/>
        <v>0</v>
      </c>
      <c r="O173" s="1397">
        <f t="shared" si="35"/>
        <v>0</v>
      </c>
      <c r="P173" s="1401">
        <f t="shared" si="35"/>
        <v>0</v>
      </c>
      <c r="Q173" s="1340">
        <f t="shared" si="35"/>
        <v>0</v>
      </c>
      <c r="R173" s="1326">
        <f t="shared" si="35"/>
        <v>0</v>
      </c>
      <c r="S173" s="1322">
        <f t="shared" ref="S173:T173" si="50">S35*S104</f>
        <v>0</v>
      </c>
      <c r="T173" s="1327">
        <f t="shared" si="50"/>
        <v>0</v>
      </c>
    </row>
    <row r="174" spans="1:20" ht="12.45" customHeight="1">
      <c r="A174" s="1313" t="str">
        <f t="shared" si="32"/>
        <v>40GbE</v>
      </c>
      <c r="B174" s="789" t="str">
        <f t="shared" si="32"/>
        <v>40 GbE LR4 subspec</v>
      </c>
      <c r="C174" s="781" t="str">
        <f t="shared" si="32"/>
        <v>2 km</v>
      </c>
      <c r="D174" s="428" t="str">
        <f t="shared" si="32"/>
        <v>CFP</v>
      </c>
      <c r="E174" s="1336">
        <f t="shared" si="37"/>
        <v>0</v>
      </c>
      <c r="F174" s="1337">
        <f t="shared" si="37"/>
        <v>0</v>
      </c>
      <c r="G174" s="1337">
        <f t="shared" si="33"/>
        <v>0</v>
      </c>
      <c r="H174" s="1338">
        <f t="shared" si="33"/>
        <v>0</v>
      </c>
      <c r="I174" s="1336">
        <f t="shared" si="38"/>
        <v>0</v>
      </c>
      <c r="J174" s="1337">
        <f t="shared" si="38"/>
        <v>0</v>
      </c>
      <c r="K174" s="1337">
        <f t="shared" si="34"/>
        <v>0</v>
      </c>
      <c r="L174" s="1339">
        <f t="shared" si="34"/>
        <v>0</v>
      </c>
      <c r="M174" s="1370">
        <f t="shared" si="39"/>
        <v>0</v>
      </c>
      <c r="N174" s="1337">
        <f t="shared" si="39"/>
        <v>0</v>
      </c>
      <c r="O174" s="1397">
        <f t="shared" si="35"/>
        <v>0</v>
      </c>
      <c r="P174" s="1401">
        <f t="shared" si="35"/>
        <v>0</v>
      </c>
      <c r="Q174" s="1340">
        <f t="shared" si="35"/>
        <v>0</v>
      </c>
      <c r="R174" s="1326">
        <f t="shared" si="35"/>
        <v>0</v>
      </c>
      <c r="S174" s="1322">
        <f t="shared" ref="S174:T174" si="51">S36*S105</f>
        <v>0</v>
      </c>
      <c r="T174" s="1327">
        <f t="shared" si="51"/>
        <v>0</v>
      </c>
    </row>
    <row r="175" spans="1:20" ht="12.45" customHeight="1">
      <c r="A175" s="1313" t="str">
        <f t="shared" si="32"/>
        <v>40GbE</v>
      </c>
      <c r="B175" s="231" t="str">
        <f t="shared" si="32"/>
        <v>40 GbE LR4 subspec</v>
      </c>
      <c r="C175" s="827" t="str">
        <f t="shared" si="32"/>
        <v>2 km</v>
      </c>
      <c r="D175" s="368" t="str">
        <f t="shared" si="32"/>
        <v>QSFP+</v>
      </c>
      <c r="E175" s="1354">
        <f t="shared" si="37"/>
        <v>74909487</v>
      </c>
      <c r="F175" s="1355">
        <f t="shared" si="37"/>
        <v>89357236</v>
      </c>
      <c r="G175" s="1337">
        <f t="shared" si="33"/>
        <v>58639096.680000007</v>
      </c>
      <c r="H175" s="1338">
        <f t="shared" si="33"/>
        <v>54187322.999999993</v>
      </c>
      <c r="I175" s="1354">
        <f t="shared" si="38"/>
        <v>0</v>
      </c>
      <c r="J175" s="1355">
        <f t="shared" si="38"/>
        <v>0</v>
      </c>
      <c r="K175" s="1337">
        <f t="shared" si="34"/>
        <v>0</v>
      </c>
      <c r="L175" s="1339">
        <f t="shared" si="34"/>
        <v>0</v>
      </c>
      <c r="M175" s="1408">
        <f t="shared" si="39"/>
        <v>0</v>
      </c>
      <c r="N175" s="1337">
        <f t="shared" si="39"/>
        <v>0</v>
      </c>
      <c r="O175" s="1397">
        <f t="shared" si="35"/>
        <v>0</v>
      </c>
      <c r="P175" s="1401">
        <f t="shared" si="35"/>
        <v>0</v>
      </c>
      <c r="Q175" s="1356">
        <f t="shared" si="35"/>
        <v>0</v>
      </c>
      <c r="R175" s="1326">
        <f t="shared" si="35"/>
        <v>0</v>
      </c>
      <c r="S175" s="1322">
        <f t="shared" ref="S175:T175" si="52">S37*S106</f>
        <v>0</v>
      </c>
      <c r="T175" s="1327">
        <f t="shared" si="52"/>
        <v>0</v>
      </c>
    </row>
    <row r="176" spans="1:20" ht="12.45" customHeight="1">
      <c r="A176" s="1313" t="str">
        <f t="shared" si="32"/>
        <v>40GbE</v>
      </c>
      <c r="B176" s="789" t="str">
        <f t="shared" si="32"/>
        <v>40 GbE LR4</v>
      </c>
      <c r="C176" s="789" t="str">
        <f t="shared" si="32"/>
        <v>10 km</v>
      </c>
      <c r="D176" s="211" t="str">
        <f t="shared" si="32"/>
        <v>CFP</v>
      </c>
      <c r="E176" s="1354">
        <f t="shared" si="37"/>
        <v>1864837.00786831</v>
      </c>
      <c r="F176" s="1355">
        <f t="shared" si="37"/>
        <v>1521510.0022922002</v>
      </c>
      <c r="G176" s="1337">
        <f t="shared" si="33"/>
        <v>158691.37164382465</v>
      </c>
      <c r="H176" s="1338">
        <f t="shared" si="33"/>
        <v>299622.32699422078</v>
      </c>
      <c r="I176" s="1354">
        <f t="shared" si="38"/>
        <v>0</v>
      </c>
      <c r="J176" s="1355">
        <f t="shared" si="38"/>
        <v>0</v>
      </c>
      <c r="K176" s="1337">
        <f t="shared" si="34"/>
        <v>0</v>
      </c>
      <c r="L176" s="1339">
        <f t="shared" si="34"/>
        <v>0</v>
      </c>
      <c r="M176" s="1408">
        <f t="shared" si="39"/>
        <v>0</v>
      </c>
      <c r="N176" s="1337">
        <f t="shared" si="39"/>
        <v>0</v>
      </c>
      <c r="O176" s="1397">
        <f t="shared" si="35"/>
        <v>0</v>
      </c>
      <c r="P176" s="1401">
        <f t="shared" si="35"/>
        <v>0</v>
      </c>
      <c r="Q176" s="1356">
        <f t="shared" si="35"/>
        <v>0</v>
      </c>
      <c r="R176" s="1326">
        <f t="shared" si="35"/>
        <v>0</v>
      </c>
      <c r="S176" s="1322">
        <f t="shared" ref="S176:T176" si="53">S38*S107</f>
        <v>0</v>
      </c>
      <c r="T176" s="1327">
        <f t="shared" si="53"/>
        <v>0</v>
      </c>
    </row>
    <row r="177" spans="1:28" ht="12.45" customHeight="1">
      <c r="A177" s="1313" t="str">
        <f t="shared" si="32"/>
        <v>40GbE</v>
      </c>
      <c r="B177" s="231" t="str">
        <f t="shared" si="32"/>
        <v>40 GbE LR4</v>
      </c>
      <c r="C177" s="426" t="str">
        <f t="shared" si="32"/>
        <v>10 km</v>
      </c>
      <c r="D177" s="211" t="str">
        <f t="shared" si="32"/>
        <v>QSFP</v>
      </c>
      <c r="E177" s="1354">
        <f t="shared" si="37"/>
        <v>33798142.970122196</v>
      </c>
      <c r="F177" s="1355">
        <f t="shared" si="37"/>
        <v>30366881.537125133</v>
      </c>
      <c r="G177" s="1337">
        <f t="shared" si="33"/>
        <v>58921083.21814537</v>
      </c>
      <c r="H177" s="1338">
        <f t="shared" si="33"/>
        <v>47237072.99999997</v>
      </c>
      <c r="I177" s="1354">
        <f t="shared" si="38"/>
        <v>0</v>
      </c>
      <c r="J177" s="1355">
        <f t="shared" si="38"/>
        <v>0</v>
      </c>
      <c r="K177" s="1337">
        <f t="shared" si="34"/>
        <v>0</v>
      </c>
      <c r="L177" s="1339">
        <f t="shared" si="34"/>
        <v>0</v>
      </c>
      <c r="M177" s="1408">
        <f t="shared" si="39"/>
        <v>0</v>
      </c>
      <c r="N177" s="1337">
        <f t="shared" si="39"/>
        <v>0</v>
      </c>
      <c r="O177" s="1397">
        <f t="shared" si="35"/>
        <v>0</v>
      </c>
      <c r="P177" s="1401">
        <f t="shared" si="35"/>
        <v>0</v>
      </c>
      <c r="Q177" s="1356">
        <f t="shared" si="35"/>
        <v>0</v>
      </c>
      <c r="R177" s="1326">
        <f t="shared" si="35"/>
        <v>0</v>
      </c>
      <c r="S177" s="1322">
        <f t="shared" ref="S177:T177" si="54">S39*S108</f>
        <v>0</v>
      </c>
      <c r="T177" s="1327">
        <f t="shared" si="54"/>
        <v>0</v>
      </c>
    </row>
    <row r="178" spans="1:28" ht="13.05" customHeight="1" thickBot="1">
      <c r="A178" s="1314" t="str">
        <f t="shared" ref="A178:D193" si="55">A40</f>
        <v>40GbE</v>
      </c>
      <c r="B178" s="431" t="str">
        <f t="shared" si="55"/>
        <v>40 GbE ER4</v>
      </c>
      <c r="C178" s="1275" t="str">
        <f t="shared" si="55"/>
        <v>40 km</v>
      </c>
      <c r="D178" s="432" t="str">
        <f t="shared" si="55"/>
        <v>All</v>
      </c>
      <c r="E178" s="1365">
        <f t="shared" si="37"/>
        <v>1868308.5930712819</v>
      </c>
      <c r="F178" s="1366">
        <f t="shared" si="37"/>
        <v>1887401.5654489421</v>
      </c>
      <c r="G178" s="1342">
        <f t="shared" ref="G178:H184" si="56">G40*G109</f>
        <v>1966463.6502765114</v>
      </c>
      <c r="H178" s="1343">
        <f t="shared" si="56"/>
        <v>2204380.0000000009</v>
      </c>
      <c r="I178" s="1365">
        <f t="shared" si="38"/>
        <v>0</v>
      </c>
      <c r="J178" s="1366">
        <f t="shared" si="38"/>
        <v>0</v>
      </c>
      <c r="K178" s="1342">
        <f t="shared" ref="K178:L184" si="57">K40*K109</f>
        <v>0</v>
      </c>
      <c r="L178" s="1345">
        <f t="shared" si="57"/>
        <v>0</v>
      </c>
      <c r="M178" s="1410">
        <f t="shared" si="39"/>
        <v>0</v>
      </c>
      <c r="N178" s="1379">
        <f t="shared" si="39"/>
        <v>0</v>
      </c>
      <c r="O178" s="1406">
        <f t="shared" ref="O178:R186" si="58">O40*O109</f>
        <v>0</v>
      </c>
      <c r="P178" s="1407">
        <f t="shared" si="58"/>
        <v>0</v>
      </c>
      <c r="Q178" s="1368">
        <f t="shared" si="58"/>
        <v>0</v>
      </c>
      <c r="R178" s="1329">
        <f t="shared" si="58"/>
        <v>0</v>
      </c>
      <c r="S178" s="1578">
        <f t="shared" ref="S178:T178" si="59">S40*S109</f>
        <v>0</v>
      </c>
      <c r="T178" s="1330">
        <f t="shared" si="59"/>
        <v>0</v>
      </c>
    </row>
    <row r="179" spans="1:28" ht="15.6">
      <c r="A179" s="1313" t="str">
        <f t="shared" si="55"/>
        <v>50GbE</v>
      </c>
      <c r="B179" s="427" t="str">
        <f t="shared" si="55"/>
        <v xml:space="preserve">50GbE </v>
      </c>
      <c r="C179" s="427" t="str">
        <f t="shared" si="55"/>
        <v>100 m</v>
      </c>
      <c r="D179" s="812" t="str">
        <f t="shared" si="55"/>
        <v>all</v>
      </c>
      <c r="E179" s="1354">
        <f t="shared" ref="E179:F184" si="60">E110*E41</f>
        <v>0</v>
      </c>
      <c r="F179" s="1355">
        <f t="shared" si="60"/>
        <v>0</v>
      </c>
      <c r="G179" s="1337">
        <f t="shared" si="56"/>
        <v>0</v>
      </c>
      <c r="H179" s="1338">
        <f t="shared" si="56"/>
        <v>0</v>
      </c>
      <c r="I179" s="1354">
        <f t="shared" ref="I179:J184" si="61">I110*I41</f>
        <v>0</v>
      </c>
      <c r="J179" s="1355">
        <f t="shared" si="61"/>
        <v>0</v>
      </c>
      <c r="K179" s="1397">
        <f t="shared" si="57"/>
        <v>0</v>
      </c>
      <c r="L179" s="1339">
        <f t="shared" si="57"/>
        <v>0</v>
      </c>
      <c r="M179" s="1369">
        <f t="shared" ref="M179:N184" si="62">M110*M41</f>
        <v>0</v>
      </c>
      <c r="N179" s="1398">
        <f t="shared" si="62"/>
        <v>0</v>
      </c>
      <c r="O179" s="1399">
        <f t="shared" si="58"/>
        <v>0</v>
      </c>
      <c r="P179" s="1400">
        <f t="shared" si="58"/>
        <v>0</v>
      </c>
      <c r="Q179" s="1384"/>
      <c r="R179" s="1333">
        <f t="shared" si="58"/>
        <v>0</v>
      </c>
      <c r="S179" s="1576">
        <f t="shared" ref="S179:T179" si="63">S41*S110</f>
        <v>0</v>
      </c>
      <c r="T179" s="1334">
        <f t="shared" si="63"/>
        <v>0</v>
      </c>
    </row>
    <row r="180" spans="1:28" ht="15.6">
      <c r="A180" s="1313" t="str">
        <f t="shared" si="55"/>
        <v>50GbE</v>
      </c>
      <c r="B180" s="285" t="str">
        <f t="shared" si="55"/>
        <v xml:space="preserve">50GbE </v>
      </c>
      <c r="C180" s="285" t="str">
        <f t="shared" si="55"/>
        <v>2 km</v>
      </c>
      <c r="D180" s="368" t="str">
        <f t="shared" si="55"/>
        <v>all</v>
      </c>
      <c r="E180" s="1354">
        <f t="shared" si="60"/>
        <v>0</v>
      </c>
      <c r="F180" s="1355">
        <f t="shared" si="60"/>
        <v>0</v>
      </c>
      <c r="G180" s="1337">
        <f t="shared" si="56"/>
        <v>0</v>
      </c>
      <c r="H180" s="1338">
        <f t="shared" si="56"/>
        <v>0</v>
      </c>
      <c r="I180" s="1354">
        <f t="shared" si="61"/>
        <v>0</v>
      </c>
      <c r="J180" s="1355">
        <f t="shared" si="61"/>
        <v>0</v>
      </c>
      <c r="K180" s="1397">
        <f t="shared" si="57"/>
        <v>0</v>
      </c>
      <c r="L180" s="1339">
        <f t="shared" si="57"/>
        <v>0</v>
      </c>
      <c r="M180" s="1408">
        <f t="shared" si="62"/>
        <v>0</v>
      </c>
      <c r="N180" s="1337">
        <f t="shared" si="62"/>
        <v>0</v>
      </c>
      <c r="O180" s="1397">
        <f t="shared" si="58"/>
        <v>0</v>
      </c>
      <c r="P180" s="1401">
        <f t="shared" si="58"/>
        <v>0</v>
      </c>
      <c r="Q180" s="1356"/>
      <c r="R180" s="1326">
        <f t="shared" si="58"/>
        <v>0</v>
      </c>
      <c r="S180" s="1322">
        <f t="shared" ref="S180:T180" si="64">S42*S111</f>
        <v>0</v>
      </c>
      <c r="T180" s="1327">
        <f t="shared" si="64"/>
        <v>0</v>
      </c>
    </row>
    <row r="181" spans="1:28" ht="16.2" thickBot="1">
      <c r="A181" s="1314" t="str">
        <f t="shared" si="55"/>
        <v>50GbE</v>
      </c>
      <c r="B181" s="1315" t="str">
        <f t="shared" si="55"/>
        <v xml:space="preserve">50GbE </v>
      </c>
      <c r="C181" s="285" t="str">
        <f t="shared" si="55"/>
        <v>all</v>
      </c>
      <c r="D181" s="439" t="str">
        <f t="shared" si="55"/>
        <v>all</v>
      </c>
      <c r="E181" s="1365">
        <f t="shared" si="60"/>
        <v>0</v>
      </c>
      <c r="F181" s="1366">
        <f t="shared" si="60"/>
        <v>0</v>
      </c>
      <c r="G181" s="1342">
        <f t="shared" si="56"/>
        <v>0</v>
      </c>
      <c r="H181" s="1343">
        <f t="shared" si="56"/>
        <v>0</v>
      </c>
      <c r="I181" s="1365">
        <f t="shared" si="61"/>
        <v>0</v>
      </c>
      <c r="J181" s="1366">
        <f t="shared" si="61"/>
        <v>0</v>
      </c>
      <c r="K181" s="1402">
        <f t="shared" si="57"/>
        <v>0</v>
      </c>
      <c r="L181" s="1345">
        <f t="shared" si="57"/>
        <v>0</v>
      </c>
      <c r="M181" s="1411">
        <f t="shared" si="62"/>
        <v>0</v>
      </c>
      <c r="N181" s="1342">
        <f t="shared" si="62"/>
        <v>0</v>
      </c>
      <c r="O181" s="1402">
        <f t="shared" si="58"/>
        <v>0</v>
      </c>
      <c r="P181" s="1403">
        <f t="shared" si="58"/>
        <v>0</v>
      </c>
      <c r="Q181" s="1367">
        <f t="shared" si="58"/>
        <v>0</v>
      </c>
      <c r="R181" s="1344">
        <f t="shared" si="58"/>
        <v>0</v>
      </c>
      <c r="S181" s="1328">
        <f t="shared" ref="S181:T181" si="65">S43*S112</f>
        <v>0</v>
      </c>
      <c r="T181" s="1347">
        <f t="shared" si="65"/>
        <v>0</v>
      </c>
    </row>
    <row r="182" spans="1:28" ht="12.45" customHeight="1">
      <c r="A182" s="1317" t="str">
        <f t="shared" si="55"/>
        <v>100GbE</v>
      </c>
      <c r="B182" s="784" t="str">
        <f t="shared" si="55"/>
        <v xml:space="preserve">100 GbE SR10 </v>
      </c>
      <c r="C182" s="788" t="str">
        <f t="shared" si="55"/>
        <v>100 m</v>
      </c>
      <c r="D182" s="211" t="str">
        <f t="shared" si="55"/>
        <v>CFP</v>
      </c>
      <c r="E182" s="1348">
        <f t="shared" si="60"/>
        <v>2600000</v>
      </c>
      <c r="F182" s="1349">
        <f t="shared" si="60"/>
        <v>2600000</v>
      </c>
      <c r="G182" s="1350">
        <f t="shared" si="56"/>
        <v>1207857.0000000007</v>
      </c>
      <c r="H182" s="1361">
        <f t="shared" si="56"/>
        <v>2395148.0000000005</v>
      </c>
      <c r="I182" s="1348">
        <f t="shared" si="61"/>
        <v>0</v>
      </c>
      <c r="J182" s="1349">
        <f t="shared" si="61"/>
        <v>0</v>
      </c>
      <c r="K182" s="1398">
        <f t="shared" si="57"/>
        <v>0</v>
      </c>
      <c r="L182" s="1351">
        <f t="shared" si="57"/>
        <v>0</v>
      </c>
      <c r="M182" s="1380">
        <f t="shared" si="62"/>
        <v>0</v>
      </c>
      <c r="N182" s="1350">
        <f t="shared" si="62"/>
        <v>0</v>
      </c>
      <c r="O182" s="1404">
        <f t="shared" si="58"/>
        <v>0</v>
      </c>
      <c r="P182" s="1405">
        <f t="shared" si="58"/>
        <v>0</v>
      </c>
      <c r="Q182" s="1353">
        <f t="shared" si="58"/>
        <v>0</v>
      </c>
      <c r="R182" s="1323">
        <f t="shared" si="58"/>
        <v>0</v>
      </c>
      <c r="S182" s="1352">
        <f t="shared" ref="S182:T182" si="66">S44*S113</f>
        <v>0</v>
      </c>
      <c r="T182" s="1324">
        <f t="shared" si="66"/>
        <v>0</v>
      </c>
    </row>
    <row r="183" spans="1:28" ht="12.45" customHeight="1">
      <c r="A183" s="1313" t="str">
        <f t="shared" si="55"/>
        <v>100GbE</v>
      </c>
      <c r="B183" s="784" t="str">
        <f t="shared" si="55"/>
        <v>100 GbE SR4</v>
      </c>
      <c r="C183" s="785" t="str">
        <f t="shared" si="55"/>
        <v>100 m</v>
      </c>
      <c r="D183" s="211" t="str">
        <f t="shared" si="55"/>
        <v>CFP2/4</v>
      </c>
      <c r="E183" s="1336">
        <f t="shared" si="60"/>
        <v>1100000</v>
      </c>
      <c r="F183" s="1337">
        <f t="shared" si="60"/>
        <v>1100000</v>
      </c>
      <c r="G183" s="1337">
        <f t="shared" si="56"/>
        <v>78644.000000000175</v>
      </c>
      <c r="H183" s="1338">
        <f t="shared" si="56"/>
        <v>200484.00000000055</v>
      </c>
      <c r="I183" s="1336">
        <f t="shared" si="61"/>
        <v>0</v>
      </c>
      <c r="J183" s="1337">
        <f t="shared" si="61"/>
        <v>0</v>
      </c>
      <c r="K183" s="1337">
        <f t="shared" si="57"/>
        <v>0</v>
      </c>
      <c r="L183" s="1339">
        <f t="shared" si="57"/>
        <v>0</v>
      </c>
      <c r="M183" s="1370">
        <f t="shared" si="62"/>
        <v>0</v>
      </c>
      <c r="N183" s="1337">
        <f t="shared" si="62"/>
        <v>0</v>
      </c>
      <c r="O183" s="1397">
        <f t="shared" si="58"/>
        <v>0</v>
      </c>
      <c r="P183" s="1401">
        <f t="shared" si="58"/>
        <v>0</v>
      </c>
      <c r="Q183" s="1340">
        <f t="shared" si="58"/>
        <v>0</v>
      </c>
      <c r="R183" s="1326">
        <f t="shared" si="58"/>
        <v>0</v>
      </c>
      <c r="S183" s="1322">
        <f t="shared" ref="S183:T183" si="67">S45*S114</f>
        <v>0</v>
      </c>
      <c r="T183" s="1327">
        <f t="shared" si="67"/>
        <v>0</v>
      </c>
    </row>
    <row r="184" spans="1:28" ht="12.45" customHeight="1">
      <c r="A184" s="1313" t="str">
        <f t="shared" si="55"/>
        <v>100GbE</v>
      </c>
      <c r="B184" s="426" t="str">
        <f t="shared" si="55"/>
        <v>100 GbE SR4</v>
      </c>
      <c r="C184" s="786" t="str">
        <f t="shared" si="55"/>
        <v>100 m</v>
      </c>
      <c r="D184" s="368" t="str">
        <f t="shared" si="55"/>
        <v>QSFP28</v>
      </c>
      <c r="E184" s="1354">
        <f t="shared" si="60"/>
        <v>20135587</v>
      </c>
      <c r="F184" s="1355">
        <f t="shared" si="60"/>
        <v>26493511</v>
      </c>
      <c r="G184" s="1337">
        <f t="shared" si="56"/>
        <v>30741654.189999998</v>
      </c>
      <c r="H184" s="1338">
        <f t="shared" si="56"/>
        <v>35991575.190720007</v>
      </c>
      <c r="I184" s="1354">
        <f t="shared" si="61"/>
        <v>0</v>
      </c>
      <c r="J184" s="1355">
        <f t="shared" si="61"/>
        <v>0</v>
      </c>
      <c r="K184" s="1337">
        <f t="shared" si="57"/>
        <v>0</v>
      </c>
      <c r="L184" s="1339">
        <f t="shared" si="57"/>
        <v>0</v>
      </c>
      <c r="M184" s="1408">
        <f t="shared" si="62"/>
        <v>0</v>
      </c>
      <c r="N184" s="1337">
        <f t="shared" si="62"/>
        <v>0</v>
      </c>
      <c r="O184" s="1337">
        <f t="shared" si="58"/>
        <v>0</v>
      </c>
      <c r="P184" s="1337">
        <f t="shared" si="58"/>
        <v>0</v>
      </c>
      <c r="Q184" s="1356">
        <f t="shared" si="58"/>
        <v>0</v>
      </c>
      <c r="R184" s="1326">
        <f t="shared" si="58"/>
        <v>0</v>
      </c>
      <c r="S184" s="1326">
        <f t="shared" ref="S184:T184" si="68">S46*S115</f>
        <v>0</v>
      </c>
      <c r="T184" s="1327">
        <f t="shared" si="68"/>
        <v>0</v>
      </c>
    </row>
    <row r="185" spans="1:28" ht="12.45" customHeight="1">
      <c r="A185" s="1313" t="str">
        <f t="shared" si="55"/>
        <v>100GbE</v>
      </c>
      <c r="B185" s="426" t="str">
        <f t="shared" si="55"/>
        <v>100 GbE SR2</v>
      </c>
      <c r="C185" s="786" t="str">
        <f t="shared" si="55"/>
        <v>100 m</v>
      </c>
      <c r="D185" s="368" t="str">
        <f t="shared" si="55"/>
        <v>All</v>
      </c>
      <c r="E185" s="1354"/>
      <c r="F185" s="1355"/>
      <c r="G185" s="1337"/>
      <c r="H185" s="1338"/>
      <c r="I185" s="1354"/>
      <c r="J185" s="1355"/>
      <c r="K185" s="1337"/>
      <c r="L185" s="1339"/>
      <c r="M185" s="1408"/>
      <c r="N185" s="1337"/>
      <c r="O185" s="1337"/>
      <c r="P185" s="1337"/>
      <c r="Q185" s="1356">
        <f t="shared" si="58"/>
        <v>0</v>
      </c>
      <c r="R185" s="1326">
        <f t="shared" si="58"/>
        <v>0</v>
      </c>
      <c r="S185" s="1326">
        <f t="shared" ref="S185:T186" si="69">S47*S116</f>
        <v>0</v>
      </c>
      <c r="T185" s="1327">
        <f t="shared" si="69"/>
        <v>0</v>
      </c>
    </row>
    <row r="186" spans="1:28" ht="12.45" customHeight="1">
      <c r="A186" s="1313" t="str">
        <f t="shared" si="55"/>
        <v>100GbE</v>
      </c>
      <c r="B186" s="426" t="str">
        <f t="shared" si="55"/>
        <v>100 GbE MM Duplex, eSR4</v>
      </c>
      <c r="C186" s="786" t="str">
        <f t="shared" si="55"/>
        <v>300 m</v>
      </c>
      <c r="D186" s="368" t="str">
        <f t="shared" si="55"/>
        <v>QSFP28</v>
      </c>
      <c r="E186" s="1354"/>
      <c r="F186" s="1355"/>
      <c r="G186" s="1337"/>
      <c r="H186" s="1338"/>
      <c r="I186" s="1354"/>
      <c r="J186" s="1355"/>
      <c r="K186" s="1337"/>
      <c r="L186" s="1339"/>
      <c r="M186" s="1408">
        <f t="shared" ref="M186:P201" si="70">M117*M48</f>
        <v>0</v>
      </c>
      <c r="N186" s="1337">
        <f t="shared" si="70"/>
        <v>0</v>
      </c>
      <c r="O186" s="1337">
        <f t="shared" si="70"/>
        <v>0</v>
      </c>
      <c r="P186" s="1337">
        <f t="shared" si="70"/>
        <v>0</v>
      </c>
      <c r="Q186" s="1356">
        <f t="shared" si="58"/>
        <v>0</v>
      </c>
      <c r="R186" s="1326">
        <f t="shared" si="58"/>
        <v>0</v>
      </c>
      <c r="S186" s="1326">
        <f t="shared" si="69"/>
        <v>0</v>
      </c>
      <c r="T186" s="1327">
        <f t="shared" si="69"/>
        <v>0</v>
      </c>
    </row>
    <row r="187" spans="1:28" ht="12.45" customHeight="1">
      <c r="A187" s="1313" t="str">
        <f t="shared" si="55"/>
        <v>100GbE</v>
      </c>
      <c r="B187" s="433" t="str">
        <f t="shared" si="55"/>
        <v>100 GbE PSM4</v>
      </c>
      <c r="C187" s="434" t="str">
        <f t="shared" si="55"/>
        <v>500 m</v>
      </c>
      <c r="D187" s="435" t="str">
        <f t="shared" si="55"/>
        <v>all</v>
      </c>
      <c r="E187" s="1336">
        <f>E118*E49</f>
        <v>37666426</v>
      </c>
      <c r="F187" s="1337">
        <f>F118*F49</f>
        <v>47811457</v>
      </c>
      <c r="G187" s="1337">
        <f>G49*G118</f>
        <v>36375560</v>
      </c>
      <c r="H187" s="1338">
        <f>H49*H118</f>
        <v>36240560</v>
      </c>
      <c r="I187" s="1336">
        <f>I118*I49</f>
        <v>0</v>
      </c>
      <c r="J187" s="1337">
        <f>J118*J49</f>
        <v>0</v>
      </c>
      <c r="K187" s="1337">
        <f>K49*K118</f>
        <v>0</v>
      </c>
      <c r="L187" s="1339">
        <f>L49*L118</f>
        <v>0</v>
      </c>
      <c r="M187" s="1370">
        <f t="shared" si="70"/>
        <v>0</v>
      </c>
      <c r="N187" s="1337">
        <f t="shared" si="70"/>
        <v>0</v>
      </c>
      <c r="O187" s="1337">
        <f t="shared" si="70"/>
        <v>0</v>
      </c>
      <c r="P187" s="1337">
        <f t="shared" si="70"/>
        <v>0</v>
      </c>
      <c r="Q187" s="1340">
        <f>Q49*Q118</f>
        <v>0</v>
      </c>
      <c r="R187" s="1326">
        <f>R49*R118</f>
        <v>0</v>
      </c>
      <c r="S187" s="1326">
        <f t="shared" ref="S187:T188" si="71">S49*S118</f>
        <v>0</v>
      </c>
      <c r="T187" s="1327">
        <f t="shared" si="71"/>
        <v>0</v>
      </c>
    </row>
    <row r="188" spans="1:28" ht="12.45" customHeight="1">
      <c r="A188" s="1313" t="str">
        <f t="shared" si="55"/>
        <v>100GbE</v>
      </c>
      <c r="B188" s="1029" t="s">
        <v>575</v>
      </c>
      <c r="C188" s="1030" t="s">
        <v>236</v>
      </c>
      <c r="D188" s="368" t="s">
        <v>262</v>
      </c>
      <c r="E188" s="1336"/>
      <c r="F188" s="1337"/>
      <c r="G188" s="1337"/>
      <c r="H188" s="1338"/>
      <c r="I188" s="1336"/>
      <c r="J188" s="1337"/>
      <c r="K188" s="1337"/>
      <c r="L188" s="1339"/>
      <c r="M188" s="1370">
        <f t="shared" si="70"/>
        <v>0</v>
      </c>
      <c r="N188" s="1337">
        <f t="shared" si="70"/>
        <v>0</v>
      </c>
      <c r="O188" s="1337">
        <f t="shared" si="70"/>
        <v>0</v>
      </c>
      <c r="P188" s="1337">
        <f t="shared" si="70"/>
        <v>0</v>
      </c>
      <c r="Q188" s="1340">
        <f>Q50*Q119</f>
        <v>0</v>
      </c>
      <c r="R188" s="1326">
        <f>R50*R119</f>
        <v>0</v>
      </c>
      <c r="S188" s="1326">
        <f t="shared" si="71"/>
        <v>0</v>
      </c>
      <c r="T188" s="1327">
        <f t="shared" si="71"/>
        <v>0</v>
      </c>
    </row>
    <row r="189" spans="1:28" ht="22.95" customHeight="1">
      <c r="A189" s="1313" t="str">
        <f t="shared" si="55"/>
        <v>100GbE</v>
      </c>
      <c r="B189" s="781" t="str">
        <f t="shared" si="55"/>
        <v>100 GbE CWDM4</v>
      </c>
      <c r="C189" s="436" t="str">
        <f t="shared" si="55"/>
        <v>2 km</v>
      </c>
      <c r="D189" s="368" t="str">
        <f t="shared" si="55"/>
        <v>QSFP28</v>
      </c>
      <c r="E189" s="1371">
        <f t="shared" ref="E189:F194" si="72">E120*E51</f>
        <v>61831486</v>
      </c>
      <c r="F189" s="1372">
        <f t="shared" si="72"/>
        <v>103782452</v>
      </c>
      <c r="G189" s="1337">
        <f t="shared" ref="G189:H194" si="73">G51*G120</f>
        <v>151694516.00000003</v>
      </c>
      <c r="H189" s="1338">
        <f t="shared" si="73"/>
        <v>177902746.16000003</v>
      </c>
      <c r="I189" s="1412">
        <f t="shared" ref="I189:J194" si="74">I120*I51</f>
        <v>0</v>
      </c>
      <c r="J189" s="1413">
        <f t="shared" si="74"/>
        <v>0</v>
      </c>
      <c r="K189" s="1414">
        <f t="shared" ref="K189:L194" si="75">K51*K120</f>
        <v>0</v>
      </c>
      <c r="L189" s="1339">
        <f t="shared" si="75"/>
        <v>0</v>
      </c>
      <c r="M189" s="1415">
        <f t="shared" si="70"/>
        <v>0</v>
      </c>
      <c r="N189" s="1414">
        <f t="shared" si="70"/>
        <v>0</v>
      </c>
      <c r="O189" s="1414">
        <f t="shared" ref="O189:R202" si="76">O51*O120</f>
        <v>0</v>
      </c>
      <c r="P189" s="1414">
        <f t="shared" si="76"/>
        <v>0</v>
      </c>
      <c r="Q189" s="1373">
        <f t="shared" si="76"/>
        <v>0</v>
      </c>
      <c r="R189" s="1326">
        <f t="shared" si="76"/>
        <v>0</v>
      </c>
      <c r="S189" s="1326">
        <f t="shared" ref="S189:T189" si="77">S51*S120</f>
        <v>0</v>
      </c>
      <c r="T189" s="1327">
        <f t="shared" si="77"/>
        <v>0</v>
      </c>
    </row>
    <row r="190" spans="1:28" ht="16.95" customHeight="1">
      <c r="A190" s="1313" t="str">
        <f t="shared" si="55"/>
        <v>100GbE</v>
      </c>
      <c r="B190" s="781" t="str">
        <f t="shared" si="55"/>
        <v>100GbE FR1</v>
      </c>
      <c r="C190" s="436" t="str">
        <f t="shared" si="55"/>
        <v>2km</v>
      </c>
      <c r="D190" s="368" t="str">
        <f t="shared" si="55"/>
        <v>QSFP28</v>
      </c>
      <c r="E190" s="1371">
        <f t="shared" si="72"/>
        <v>0</v>
      </c>
      <c r="F190" s="1372">
        <f t="shared" si="72"/>
        <v>0</v>
      </c>
      <c r="G190" s="1337">
        <f t="shared" si="73"/>
        <v>0</v>
      </c>
      <c r="H190" s="1338">
        <f t="shared" si="73"/>
        <v>0</v>
      </c>
      <c r="I190" s="1412">
        <f t="shared" si="74"/>
        <v>0</v>
      </c>
      <c r="J190" s="1413">
        <f t="shared" si="74"/>
        <v>0</v>
      </c>
      <c r="K190" s="1414">
        <f t="shared" si="75"/>
        <v>0</v>
      </c>
      <c r="L190" s="1339">
        <f t="shared" si="75"/>
        <v>0</v>
      </c>
      <c r="M190" s="1415">
        <f t="shared" si="70"/>
        <v>0</v>
      </c>
      <c r="N190" s="1414">
        <f t="shared" si="70"/>
        <v>0</v>
      </c>
      <c r="O190" s="1416">
        <f t="shared" si="76"/>
        <v>0</v>
      </c>
      <c r="P190" s="1417">
        <f t="shared" si="76"/>
        <v>0</v>
      </c>
      <c r="Q190" s="1373">
        <f t="shared" si="76"/>
        <v>0</v>
      </c>
      <c r="R190" s="1326">
        <f t="shared" si="76"/>
        <v>0</v>
      </c>
      <c r="S190" s="1322">
        <f t="shared" ref="S190:T190" si="78">S52*S121</f>
        <v>0</v>
      </c>
      <c r="T190" s="1327">
        <f t="shared" si="78"/>
        <v>0</v>
      </c>
    </row>
    <row r="191" spans="1:28" ht="12.45" customHeight="1">
      <c r="A191" s="1313" t="str">
        <f t="shared" si="55"/>
        <v>100GbE</v>
      </c>
      <c r="B191" s="781" t="str">
        <f t="shared" si="55"/>
        <v>100 GbE LR4</v>
      </c>
      <c r="C191" s="789" t="str">
        <f t="shared" si="55"/>
        <v>10 km</v>
      </c>
      <c r="D191" s="428" t="str">
        <f t="shared" si="55"/>
        <v>CFP</v>
      </c>
      <c r="E191" s="1371">
        <f t="shared" si="72"/>
        <v>61677765.006490231</v>
      </c>
      <c r="F191" s="1372">
        <f t="shared" si="72"/>
        <v>50591928.864662752</v>
      </c>
      <c r="G191" s="1337">
        <f t="shared" si="73"/>
        <v>42058525.755430028</v>
      </c>
      <c r="H191" s="1338">
        <f t="shared" si="73"/>
        <v>32098534.432579454</v>
      </c>
      <c r="I191" s="1412">
        <f t="shared" si="74"/>
        <v>0</v>
      </c>
      <c r="J191" s="1413">
        <f t="shared" si="74"/>
        <v>0</v>
      </c>
      <c r="K191" s="1414">
        <f t="shared" si="75"/>
        <v>0</v>
      </c>
      <c r="L191" s="1339">
        <f t="shared" si="75"/>
        <v>0</v>
      </c>
      <c r="M191" s="1415">
        <f t="shared" si="70"/>
        <v>0</v>
      </c>
      <c r="N191" s="1414">
        <f t="shared" si="70"/>
        <v>0</v>
      </c>
      <c r="O191" s="1416">
        <f t="shared" si="76"/>
        <v>0</v>
      </c>
      <c r="P191" s="1417">
        <f t="shared" si="76"/>
        <v>0</v>
      </c>
      <c r="Q191" s="1373">
        <f t="shared" si="76"/>
        <v>0</v>
      </c>
      <c r="R191" s="1326">
        <f t="shared" si="76"/>
        <v>0</v>
      </c>
      <c r="S191" s="1322">
        <f t="shared" ref="S191:T191" si="79">S53*S122</f>
        <v>0</v>
      </c>
      <c r="T191" s="1327">
        <f t="shared" si="79"/>
        <v>0</v>
      </c>
    </row>
    <row r="192" spans="1:28" s="72" customFormat="1" ht="12.45" customHeight="1">
      <c r="A192" s="1311" t="str">
        <f t="shared" si="55"/>
        <v>100GbE</v>
      </c>
      <c r="B192" s="1000" t="str">
        <f t="shared" si="55"/>
        <v>100 GbE LR4</v>
      </c>
      <c r="C192" s="1001" t="str">
        <f t="shared" si="55"/>
        <v>10 km</v>
      </c>
      <c r="D192" s="211" t="str">
        <f t="shared" si="55"/>
        <v>CFP2</v>
      </c>
      <c r="E192" s="1371">
        <f t="shared" si="72"/>
        <v>31304029.000000004</v>
      </c>
      <c r="F192" s="1372">
        <f t="shared" si="72"/>
        <v>33593402</v>
      </c>
      <c r="G192" s="1337">
        <f t="shared" si="73"/>
        <v>31801558.000000015</v>
      </c>
      <c r="H192" s="1338">
        <f t="shared" si="73"/>
        <v>28079506.999999978</v>
      </c>
      <c r="I192" s="1412">
        <f t="shared" si="74"/>
        <v>0</v>
      </c>
      <c r="J192" s="1413">
        <f t="shared" si="74"/>
        <v>0</v>
      </c>
      <c r="K192" s="1414">
        <f t="shared" si="75"/>
        <v>0</v>
      </c>
      <c r="L192" s="1339">
        <f t="shared" si="75"/>
        <v>0</v>
      </c>
      <c r="M192" s="1415">
        <f t="shared" si="70"/>
        <v>0</v>
      </c>
      <c r="N192" s="1414">
        <f t="shared" si="70"/>
        <v>0</v>
      </c>
      <c r="O192" s="1416">
        <f t="shared" si="76"/>
        <v>0</v>
      </c>
      <c r="P192" s="1417">
        <f t="shared" si="76"/>
        <v>0</v>
      </c>
      <c r="Q192" s="1373">
        <f t="shared" si="76"/>
        <v>0</v>
      </c>
      <c r="R192" s="1326">
        <f t="shared" si="76"/>
        <v>0</v>
      </c>
      <c r="S192" s="1322">
        <f t="shared" ref="S192:T192" si="80">S54*S123</f>
        <v>0</v>
      </c>
      <c r="T192" s="1327">
        <f t="shared" si="80"/>
        <v>0</v>
      </c>
      <c r="AB192" s="67"/>
    </row>
    <row r="193" spans="1:28" s="72" customFormat="1" ht="12.45" customHeight="1">
      <c r="A193" s="1311" t="str">
        <f t="shared" si="55"/>
        <v>100GbE</v>
      </c>
      <c r="B193" s="1000" t="str">
        <f t="shared" si="55"/>
        <v>100 GbE LR4</v>
      </c>
      <c r="C193" s="1001" t="str">
        <f t="shared" si="55"/>
        <v>10 km</v>
      </c>
      <c r="D193" s="211" t="str">
        <f t="shared" si="55"/>
        <v>CFP4</v>
      </c>
      <c r="E193" s="1371">
        <f t="shared" si="72"/>
        <v>16240465.75423329</v>
      </c>
      <c r="F193" s="1372">
        <f t="shared" si="72"/>
        <v>12134533.815177172</v>
      </c>
      <c r="G193" s="1337">
        <f t="shared" si="73"/>
        <v>7867432.8782159192</v>
      </c>
      <c r="H193" s="1338">
        <f t="shared" si="73"/>
        <v>6357214.6830243776</v>
      </c>
      <c r="I193" s="1412">
        <f t="shared" si="74"/>
        <v>0</v>
      </c>
      <c r="J193" s="1413">
        <f t="shared" si="74"/>
        <v>0</v>
      </c>
      <c r="K193" s="1414">
        <f t="shared" si="75"/>
        <v>0</v>
      </c>
      <c r="L193" s="1339">
        <f t="shared" si="75"/>
        <v>0</v>
      </c>
      <c r="M193" s="1415">
        <f t="shared" si="70"/>
        <v>0</v>
      </c>
      <c r="N193" s="1414">
        <f t="shared" si="70"/>
        <v>0</v>
      </c>
      <c r="O193" s="1416">
        <f t="shared" si="76"/>
        <v>0</v>
      </c>
      <c r="P193" s="1417">
        <f t="shared" si="76"/>
        <v>0</v>
      </c>
      <c r="Q193" s="1373">
        <f t="shared" si="76"/>
        <v>0</v>
      </c>
      <c r="R193" s="1326">
        <f t="shared" si="76"/>
        <v>0</v>
      </c>
      <c r="S193" s="1322">
        <f t="shared" ref="S193:T193" si="81">S55*S124</f>
        <v>0</v>
      </c>
      <c r="T193" s="1327">
        <f t="shared" si="81"/>
        <v>0</v>
      </c>
      <c r="AB193" s="67"/>
    </row>
    <row r="194" spans="1:28" ht="12.45" customHeight="1">
      <c r="A194" s="1313" t="str">
        <f t="shared" ref="A194:D204" si="82">A56</f>
        <v>100GbE</v>
      </c>
      <c r="B194" s="782" t="str">
        <f t="shared" si="82"/>
        <v>100 GbE LR4</v>
      </c>
      <c r="C194" s="786" t="str">
        <f t="shared" si="82"/>
        <v>10 km</v>
      </c>
      <c r="D194" s="368" t="str">
        <f t="shared" si="82"/>
        <v>QSFP28</v>
      </c>
      <c r="E194" s="1371">
        <f t="shared" si="72"/>
        <v>79692080.386683106</v>
      </c>
      <c r="F194" s="1372">
        <f t="shared" si="72"/>
        <v>131048172.1069124</v>
      </c>
      <c r="G194" s="1337">
        <f t="shared" si="73"/>
        <v>122081920.16414446</v>
      </c>
      <c r="H194" s="1338">
        <f t="shared" si="73"/>
        <v>113073539.03520399</v>
      </c>
      <c r="I194" s="1412">
        <f t="shared" si="74"/>
        <v>0</v>
      </c>
      <c r="J194" s="1413">
        <f t="shared" si="74"/>
        <v>0</v>
      </c>
      <c r="K194" s="1414">
        <f t="shared" si="75"/>
        <v>0</v>
      </c>
      <c r="L194" s="1339">
        <f t="shared" si="75"/>
        <v>0</v>
      </c>
      <c r="M194" s="1415">
        <f t="shared" si="70"/>
        <v>0</v>
      </c>
      <c r="N194" s="1414">
        <f t="shared" si="70"/>
        <v>0</v>
      </c>
      <c r="O194" s="1416">
        <f t="shared" si="76"/>
        <v>0</v>
      </c>
      <c r="P194" s="1417">
        <f t="shared" si="76"/>
        <v>0</v>
      </c>
      <c r="Q194" s="1373">
        <f t="shared" si="76"/>
        <v>0</v>
      </c>
      <c r="R194" s="1326">
        <f t="shared" si="76"/>
        <v>0</v>
      </c>
      <c r="S194" s="1322">
        <f t="shared" ref="S194:T194" si="83">S56*S125</f>
        <v>0</v>
      </c>
      <c r="T194" s="1327">
        <f t="shared" si="83"/>
        <v>0</v>
      </c>
    </row>
    <row r="195" spans="1:28" ht="12.45" customHeight="1">
      <c r="A195" s="1313" t="str">
        <f t="shared" si="82"/>
        <v>100GbE</v>
      </c>
      <c r="B195" s="1032" t="str">
        <f t="shared" si="82"/>
        <v>100 GbE 4WDM10</v>
      </c>
      <c r="C195" s="1001" t="str">
        <f t="shared" si="82"/>
        <v>10 km</v>
      </c>
      <c r="D195" s="211" t="str">
        <f t="shared" si="82"/>
        <v>QSFP28</v>
      </c>
      <c r="E195" s="1374"/>
      <c r="F195" s="1375"/>
      <c r="G195" s="1337"/>
      <c r="H195" s="1376"/>
      <c r="I195" s="1418"/>
      <c r="J195" s="1419"/>
      <c r="K195" s="1414"/>
      <c r="L195" s="1377"/>
      <c r="M195" s="1415">
        <f t="shared" si="70"/>
        <v>0</v>
      </c>
      <c r="N195" s="1414">
        <f t="shared" si="70"/>
        <v>0</v>
      </c>
      <c r="O195" s="1416">
        <f t="shared" si="76"/>
        <v>0</v>
      </c>
      <c r="P195" s="1417">
        <f t="shared" si="76"/>
        <v>0</v>
      </c>
      <c r="Q195" s="1373">
        <f t="shared" si="76"/>
        <v>0</v>
      </c>
      <c r="R195" s="1326">
        <f t="shared" si="76"/>
        <v>0</v>
      </c>
      <c r="S195" s="1322">
        <f t="shared" ref="S195:T195" si="84">S57*S126</f>
        <v>0</v>
      </c>
      <c r="T195" s="1327">
        <f t="shared" si="84"/>
        <v>0</v>
      </c>
    </row>
    <row r="196" spans="1:28" ht="12.45" customHeight="1">
      <c r="A196" s="1313" t="str">
        <f t="shared" si="82"/>
        <v>100GbE</v>
      </c>
      <c r="B196" s="1032" t="str">
        <f t="shared" si="82"/>
        <v>100 GbE 4WDM20</v>
      </c>
      <c r="C196" s="1001" t="str">
        <f t="shared" si="82"/>
        <v>20 km</v>
      </c>
      <c r="D196" s="211" t="str">
        <f t="shared" si="82"/>
        <v>QSFP28</v>
      </c>
      <c r="E196" s="1374"/>
      <c r="F196" s="1375"/>
      <c r="G196" s="1337"/>
      <c r="H196" s="1376"/>
      <c r="I196" s="1418"/>
      <c r="J196" s="1419"/>
      <c r="K196" s="1414"/>
      <c r="L196" s="1377"/>
      <c r="M196" s="1415">
        <f t="shared" si="70"/>
        <v>0</v>
      </c>
      <c r="N196" s="1414">
        <f t="shared" si="70"/>
        <v>0</v>
      </c>
      <c r="O196" s="1416">
        <f t="shared" si="76"/>
        <v>0</v>
      </c>
      <c r="P196" s="1417">
        <f t="shared" si="76"/>
        <v>0</v>
      </c>
      <c r="Q196" s="1373">
        <f t="shared" si="76"/>
        <v>0</v>
      </c>
      <c r="R196" s="1326">
        <f t="shared" si="76"/>
        <v>0</v>
      </c>
      <c r="S196" s="1322">
        <f t="shared" ref="S196:T196" si="85">S58*S127</f>
        <v>0</v>
      </c>
      <c r="T196" s="1327">
        <f t="shared" si="85"/>
        <v>0</v>
      </c>
    </row>
    <row r="197" spans="1:28" ht="13.05" customHeight="1" thickBot="1">
      <c r="A197" s="1313" t="str">
        <f t="shared" si="82"/>
        <v>100GbE</v>
      </c>
      <c r="B197" s="688" t="str">
        <f t="shared" si="82"/>
        <v>100 GbE ER4 - Lite</v>
      </c>
      <c r="C197" s="1318" t="str">
        <f t="shared" si="82"/>
        <v>40 km</v>
      </c>
      <c r="D197" s="432" t="str">
        <f t="shared" si="82"/>
        <v>All</v>
      </c>
      <c r="E197" s="1378"/>
      <c r="F197" s="1379"/>
      <c r="G197" s="1337">
        <f t="shared" ref="G197:H202" si="86">G59*G128</f>
        <v>2632000</v>
      </c>
      <c r="H197" s="1376">
        <f t="shared" si="86"/>
        <v>4475000</v>
      </c>
      <c r="I197" s="1378">
        <f t="shared" ref="I197:J202" si="87">I128*I59</f>
        <v>0</v>
      </c>
      <c r="J197" s="1379">
        <f t="shared" si="87"/>
        <v>0</v>
      </c>
      <c r="K197" s="1337">
        <f t="shared" ref="K197:L202" si="88">K59*K128</f>
        <v>0</v>
      </c>
      <c r="L197" s="1377">
        <f t="shared" si="88"/>
        <v>0</v>
      </c>
      <c r="M197" s="1370">
        <f t="shared" si="70"/>
        <v>0</v>
      </c>
      <c r="N197" s="1337">
        <f t="shared" si="70"/>
        <v>0</v>
      </c>
      <c r="O197" s="1397">
        <f t="shared" si="76"/>
        <v>0</v>
      </c>
      <c r="P197" s="1401">
        <f t="shared" si="76"/>
        <v>0</v>
      </c>
      <c r="Q197" s="1340">
        <f t="shared" si="76"/>
        <v>0</v>
      </c>
      <c r="R197" s="1326">
        <f t="shared" si="76"/>
        <v>0</v>
      </c>
      <c r="S197" s="1322">
        <f t="shared" ref="S197:T197" si="89">S59*S128</f>
        <v>0</v>
      </c>
      <c r="T197" s="1327">
        <f t="shared" si="89"/>
        <v>0</v>
      </c>
    </row>
    <row r="198" spans="1:28" ht="13.05" customHeight="1" thickBot="1">
      <c r="A198" s="1314" t="str">
        <f t="shared" si="82"/>
        <v>100GbE</v>
      </c>
      <c r="B198" s="437" t="str">
        <f t="shared" si="82"/>
        <v>100 GbE ER4</v>
      </c>
      <c r="C198" s="1275" t="str">
        <f t="shared" si="82"/>
        <v>40 km</v>
      </c>
      <c r="D198" s="431" t="str">
        <f t="shared" si="82"/>
        <v>All</v>
      </c>
      <c r="E198" s="1365">
        <f t="shared" ref="E198:F202" si="90">E129*E60</f>
        <v>23686474.701282401</v>
      </c>
      <c r="F198" s="1366">
        <f t="shared" si="90"/>
        <v>9414157.3956058212</v>
      </c>
      <c r="G198" s="1342">
        <f t="shared" si="86"/>
        <v>11267371.417408032</v>
      </c>
      <c r="H198" s="1343">
        <f t="shared" si="86"/>
        <v>10597944.648749176</v>
      </c>
      <c r="I198" s="1365">
        <f t="shared" si="87"/>
        <v>0</v>
      </c>
      <c r="J198" s="1366">
        <f t="shared" si="87"/>
        <v>0</v>
      </c>
      <c r="K198" s="1342">
        <f t="shared" si="88"/>
        <v>0</v>
      </c>
      <c r="L198" s="1345">
        <f t="shared" si="88"/>
        <v>0</v>
      </c>
      <c r="M198" s="1410">
        <f t="shared" si="70"/>
        <v>0</v>
      </c>
      <c r="N198" s="1379">
        <f t="shared" si="70"/>
        <v>0</v>
      </c>
      <c r="O198" s="1406">
        <f t="shared" si="76"/>
        <v>0</v>
      </c>
      <c r="P198" s="1407">
        <f t="shared" si="76"/>
        <v>0</v>
      </c>
      <c r="Q198" s="1368">
        <f t="shared" si="76"/>
        <v>0</v>
      </c>
      <c r="R198" s="1329">
        <f t="shared" si="76"/>
        <v>0</v>
      </c>
      <c r="S198" s="1578">
        <f t="shared" ref="S198:T198" si="91">S60*S129</f>
        <v>0</v>
      </c>
      <c r="T198" s="1330">
        <f t="shared" si="91"/>
        <v>0</v>
      </c>
    </row>
    <row r="199" spans="1:28" ht="12.45" customHeight="1">
      <c r="A199" s="1319" t="str">
        <f t="shared" si="82"/>
        <v>200GbE</v>
      </c>
      <c r="B199" s="788" t="str">
        <f t="shared" si="82"/>
        <v>200GbE</v>
      </c>
      <c r="C199" s="792" t="str">
        <f t="shared" si="82"/>
        <v>100 m</v>
      </c>
      <c r="D199" s="813" t="str">
        <f t="shared" si="82"/>
        <v>all</v>
      </c>
      <c r="E199" s="1354">
        <f t="shared" si="90"/>
        <v>0</v>
      </c>
      <c r="F199" s="1355">
        <f t="shared" si="90"/>
        <v>0</v>
      </c>
      <c r="G199" s="1337">
        <f t="shared" si="86"/>
        <v>0</v>
      </c>
      <c r="H199" s="1338">
        <f t="shared" si="86"/>
        <v>0</v>
      </c>
      <c r="I199" s="1354">
        <f t="shared" si="87"/>
        <v>0</v>
      </c>
      <c r="J199" s="1355">
        <f t="shared" si="87"/>
        <v>0</v>
      </c>
      <c r="K199" s="1397">
        <f t="shared" si="88"/>
        <v>0</v>
      </c>
      <c r="L199" s="1339">
        <f t="shared" si="88"/>
        <v>0</v>
      </c>
      <c r="M199" s="1369">
        <f t="shared" si="70"/>
        <v>0</v>
      </c>
      <c r="N199" s="1398">
        <f t="shared" si="70"/>
        <v>0</v>
      </c>
      <c r="O199" s="1399">
        <f t="shared" si="76"/>
        <v>0</v>
      </c>
      <c r="P199" s="1400">
        <f t="shared" si="76"/>
        <v>0</v>
      </c>
      <c r="Q199" s="1384">
        <f t="shared" si="76"/>
        <v>0</v>
      </c>
      <c r="R199" s="1333">
        <f t="shared" si="76"/>
        <v>0</v>
      </c>
      <c r="S199" s="1576">
        <f t="shared" ref="S199:T199" si="92">S61*S130</f>
        <v>0</v>
      </c>
      <c r="T199" s="1334">
        <f t="shared" si="92"/>
        <v>0</v>
      </c>
    </row>
    <row r="200" spans="1:28" ht="12.45" customHeight="1">
      <c r="A200" s="1311" t="str">
        <f t="shared" si="82"/>
        <v>200GbE</v>
      </c>
      <c r="B200" s="784" t="str">
        <f t="shared" si="82"/>
        <v>200GbE</v>
      </c>
      <c r="C200" s="426" t="str">
        <f t="shared" si="82"/>
        <v>2 km</v>
      </c>
      <c r="D200" s="811" t="str">
        <f t="shared" si="82"/>
        <v>all</v>
      </c>
      <c r="E200" s="1354">
        <f t="shared" si="90"/>
        <v>0</v>
      </c>
      <c r="F200" s="1355">
        <f t="shared" si="90"/>
        <v>0</v>
      </c>
      <c r="G200" s="1337">
        <f t="shared" si="86"/>
        <v>0</v>
      </c>
      <c r="H200" s="1338">
        <f t="shared" si="86"/>
        <v>0</v>
      </c>
      <c r="I200" s="1354">
        <f t="shared" si="87"/>
        <v>0</v>
      </c>
      <c r="J200" s="1355">
        <f t="shared" si="87"/>
        <v>0</v>
      </c>
      <c r="K200" s="1397">
        <f t="shared" si="88"/>
        <v>0</v>
      </c>
      <c r="L200" s="1339">
        <f t="shared" si="88"/>
        <v>0</v>
      </c>
      <c r="M200" s="1408">
        <f t="shared" si="70"/>
        <v>0</v>
      </c>
      <c r="N200" s="1337">
        <f t="shared" si="70"/>
        <v>0</v>
      </c>
      <c r="O200" s="1397">
        <f t="shared" si="76"/>
        <v>0</v>
      </c>
      <c r="P200" s="1401">
        <f t="shared" si="76"/>
        <v>0</v>
      </c>
      <c r="Q200" s="1356">
        <f t="shared" si="76"/>
        <v>0</v>
      </c>
      <c r="R200" s="1326">
        <f t="shared" si="76"/>
        <v>0</v>
      </c>
      <c r="S200" s="1322">
        <f t="shared" ref="S200:T200" si="93">S62*S131</f>
        <v>0</v>
      </c>
      <c r="T200" s="1327">
        <f t="shared" si="93"/>
        <v>0</v>
      </c>
    </row>
    <row r="201" spans="1:28" ht="13.05" customHeight="1" thickBot="1">
      <c r="A201" s="1157" t="str">
        <f t="shared" si="82"/>
        <v>2x200GbE</v>
      </c>
      <c r="B201" s="790" t="str">
        <f t="shared" si="82"/>
        <v>2x200GbE</v>
      </c>
      <c r="C201" s="790" t="str">
        <f t="shared" si="82"/>
        <v>2 km</v>
      </c>
      <c r="D201" s="814" t="str">
        <f t="shared" si="82"/>
        <v>OSFP</v>
      </c>
      <c r="E201" s="1341">
        <f t="shared" si="90"/>
        <v>0</v>
      </c>
      <c r="F201" s="1342">
        <f t="shared" si="90"/>
        <v>0</v>
      </c>
      <c r="G201" s="1342">
        <f t="shared" si="86"/>
        <v>0</v>
      </c>
      <c r="H201" s="1343">
        <f t="shared" si="86"/>
        <v>0</v>
      </c>
      <c r="I201" s="1341">
        <f t="shared" si="87"/>
        <v>0</v>
      </c>
      <c r="J201" s="1342">
        <f t="shared" si="87"/>
        <v>0</v>
      </c>
      <c r="K201" s="1402">
        <f t="shared" si="88"/>
        <v>0</v>
      </c>
      <c r="L201" s="1345">
        <f t="shared" si="88"/>
        <v>0</v>
      </c>
      <c r="M201" s="1388">
        <f t="shared" si="70"/>
        <v>0</v>
      </c>
      <c r="N201" s="1342">
        <f t="shared" si="70"/>
        <v>0</v>
      </c>
      <c r="O201" s="1402">
        <f t="shared" si="76"/>
        <v>0</v>
      </c>
      <c r="P201" s="1403">
        <f t="shared" si="76"/>
        <v>0</v>
      </c>
      <c r="Q201" s="1346">
        <f t="shared" si="76"/>
        <v>0</v>
      </c>
      <c r="R201" s="1344">
        <f t="shared" si="76"/>
        <v>0</v>
      </c>
      <c r="S201" s="1328">
        <f t="shared" ref="S201:T201" si="94">S63*S132</f>
        <v>0</v>
      </c>
      <c r="T201" s="1347">
        <f t="shared" si="94"/>
        <v>0</v>
      </c>
    </row>
    <row r="202" spans="1:28" ht="12.45" customHeight="1">
      <c r="A202" s="1311" t="str">
        <f t="shared" si="82"/>
        <v>400GbE</v>
      </c>
      <c r="B202" s="784" t="str">
        <f t="shared" si="82"/>
        <v>400GbE SR8</v>
      </c>
      <c r="C202" s="426" t="str">
        <f t="shared" si="82"/>
        <v>100 m</v>
      </c>
      <c r="D202" s="811" t="str">
        <f t="shared" si="82"/>
        <v>all</v>
      </c>
      <c r="E202" s="1354">
        <f t="shared" si="90"/>
        <v>0</v>
      </c>
      <c r="F202" s="1355">
        <f t="shared" si="90"/>
        <v>0</v>
      </c>
      <c r="G202" s="1337">
        <f t="shared" si="86"/>
        <v>0</v>
      </c>
      <c r="H202" s="1338">
        <f t="shared" si="86"/>
        <v>0</v>
      </c>
      <c r="I202" s="1354">
        <f t="shared" si="87"/>
        <v>0</v>
      </c>
      <c r="J202" s="1355">
        <f t="shared" si="87"/>
        <v>0</v>
      </c>
      <c r="K202" s="1337">
        <f t="shared" si="88"/>
        <v>0</v>
      </c>
      <c r="L202" s="1339">
        <f t="shared" si="88"/>
        <v>0</v>
      </c>
      <c r="M202" s="1380">
        <f t="shared" ref="M202:N202" si="95">M133*M64</f>
        <v>0</v>
      </c>
      <c r="N202" s="1350">
        <f t="shared" si="95"/>
        <v>0</v>
      </c>
      <c r="O202" s="1404">
        <f t="shared" si="76"/>
        <v>0</v>
      </c>
      <c r="P202" s="1405">
        <f t="shared" si="76"/>
        <v>0</v>
      </c>
      <c r="Q202" s="1353">
        <f t="shared" si="76"/>
        <v>0</v>
      </c>
      <c r="R202" s="1323">
        <f t="shared" si="76"/>
        <v>0</v>
      </c>
      <c r="S202" s="1352">
        <f t="shared" ref="S202:T203" si="96">S64*S133</f>
        <v>0</v>
      </c>
      <c r="T202" s="1324">
        <f t="shared" si="96"/>
        <v>0</v>
      </c>
    </row>
    <row r="203" spans="1:28" ht="12.45" customHeight="1">
      <c r="A203" s="1311" t="str">
        <f t="shared" si="82"/>
        <v>400GbE</v>
      </c>
      <c r="B203" s="784" t="str">
        <f t="shared" si="82"/>
        <v>400GbE SR4.2</v>
      </c>
      <c r="C203" s="426" t="str">
        <f t="shared" si="82"/>
        <v>100 m</v>
      </c>
      <c r="D203" s="811" t="str">
        <f t="shared" si="82"/>
        <v>all</v>
      </c>
      <c r="E203" s="1354"/>
      <c r="F203" s="1355"/>
      <c r="G203" s="1337"/>
      <c r="H203" s="1338"/>
      <c r="I203" s="1354"/>
      <c r="J203" s="1355"/>
      <c r="K203" s="1337"/>
      <c r="L203" s="1339"/>
      <c r="M203" s="1380"/>
      <c r="N203" s="1350"/>
      <c r="O203" s="1404"/>
      <c r="P203" s="1405"/>
      <c r="Q203" s="1353"/>
      <c r="R203" s="1323"/>
      <c r="S203" s="1352">
        <f t="shared" si="96"/>
        <v>0</v>
      </c>
      <c r="T203" s="1324">
        <f t="shared" si="96"/>
        <v>0</v>
      </c>
    </row>
    <row r="204" spans="1:28" ht="12.45" customHeight="1">
      <c r="A204" s="1311" t="str">
        <f t="shared" si="82"/>
        <v>400GbE</v>
      </c>
      <c r="B204" s="784" t="str">
        <f t="shared" si="82"/>
        <v>400GbE DR4</v>
      </c>
      <c r="C204" s="426" t="str">
        <f t="shared" si="82"/>
        <v>0.5, 2 km</v>
      </c>
      <c r="D204" s="811" t="str">
        <f t="shared" si="82"/>
        <v>all</v>
      </c>
      <c r="E204" s="1354">
        <f t="shared" ref="E204:F204" si="97">E135*E66</f>
        <v>0</v>
      </c>
      <c r="F204" s="1355">
        <f t="shared" si="97"/>
        <v>0</v>
      </c>
      <c r="G204" s="1337">
        <f t="shared" ref="G204:H204" si="98">G66*G135</f>
        <v>0</v>
      </c>
      <c r="H204" s="1338">
        <f t="shared" si="98"/>
        <v>0</v>
      </c>
      <c r="I204" s="1354">
        <f t="shared" ref="I204:J204" si="99">I135*I66</f>
        <v>0</v>
      </c>
      <c r="J204" s="1355">
        <f t="shared" si="99"/>
        <v>0</v>
      </c>
      <c r="K204" s="1337">
        <f t="shared" ref="K204:L204" si="100">K66*K135</f>
        <v>0</v>
      </c>
      <c r="L204" s="1339">
        <f t="shared" si="100"/>
        <v>0</v>
      </c>
      <c r="M204" s="1408">
        <f t="shared" ref="M204:P209" si="101">M135*M66</f>
        <v>0</v>
      </c>
      <c r="N204" s="1355">
        <f t="shared" si="101"/>
        <v>0</v>
      </c>
      <c r="O204" s="1420">
        <f t="shared" si="101"/>
        <v>0</v>
      </c>
      <c r="P204" s="1421">
        <f t="shared" si="101"/>
        <v>0</v>
      </c>
      <c r="Q204" s="1356">
        <f>Q66*Q135</f>
        <v>0</v>
      </c>
      <c r="R204" s="1580">
        <f>R66*R135</f>
        <v>0</v>
      </c>
      <c r="S204" s="1434">
        <f t="shared" ref="S204:T204" si="102">S66*S135</f>
        <v>0</v>
      </c>
      <c r="T204" s="1435">
        <f t="shared" si="102"/>
        <v>0</v>
      </c>
    </row>
    <row r="205" spans="1:28" ht="12.45" customHeight="1">
      <c r="A205" s="1311" t="str">
        <f>A136</f>
        <v>400GbE</v>
      </c>
      <c r="B205" s="1155" t="s">
        <v>569</v>
      </c>
      <c r="C205" s="1155" t="s">
        <v>231</v>
      </c>
      <c r="D205" s="811" t="str">
        <f>D136</f>
        <v>all</v>
      </c>
      <c r="E205" s="1387"/>
      <c r="F205" s="1386"/>
      <c r="G205" s="1379"/>
      <c r="H205" s="1376"/>
      <c r="I205" s="1387"/>
      <c r="J205" s="1386"/>
      <c r="K205" s="1379"/>
      <c r="L205" s="1377"/>
      <c r="M205" s="1408">
        <f t="shared" si="101"/>
        <v>0</v>
      </c>
      <c r="N205" s="1355">
        <f t="shared" si="101"/>
        <v>0</v>
      </c>
      <c r="O205" s="1420">
        <f t="shared" si="101"/>
        <v>0</v>
      </c>
      <c r="P205" s="1421">
        <f t="shared" si="101"/>
        <v>0</v>
      </c>
      <c r="Q205" s="1356">
        <f t="shared" ref="Q205:R207" si="103">Q67*Q136</f>
        <v>0</v>
      </c>
      <c r="R205" s="1580">
        <f t="shared" si="103"/>
        <v>0</v>
      </c>
      <c r="S205" s="1434">
        <f t="shared" ref="S205:T205" si="104">S67*S136</f>
        <v>0</v>
      </c>
      <c r="T205" s="1435">
        <f t="shared" si="104"/>
        <v>0</v>
      </c>
    </row>
    <row r="206" spans="1:28" ht="12.45" customHeight="1">
      <c r="A206" s="1311" t="str">
        <f>A137</f>
        <v>400GbE</v>
      </c>
      <c r="B206" s="1155" t="s">
        <v>570</v>
      </c>
      <c r="C206" s="1155" t="s">
        <v>237</v>
      </c>
      <c r="D206" s="811" t="str">
        <f>D137</f>
        <v>all</v>
      </c>
      <c r="E206" s="1387"/>
      <c r="F206" s="1386"/>
      <c r="G206" s="1379"/>
      <c r="H206" s="1376"/>
      <c r="I206" s="1387"/>
      <c r="J206" s="1386"/>
      <c r="K206" s="1379"/>
      <c r="L206" s="1377"/>
      <c r="M206" s="1408">
        <f t="shared" si="101"/>
        <v>0</v>
      </c>
      <c r="N206" s="1355">
        <f t="shared" si="101"/>
        <v>0</v>
      </c>
      <c r="O206" s="1420">
        <f t="shared" si="101"/>
        <v>0</v>
      </c>
      <c r="P206" s="1421">
        <f t="shared" si="101"/>
        <v>0</v>
      </c>
      <c r="Q206" s="1356">
        <f t="shared" si="103"/>
        <v>0</v>
      </c>
      <c r="R206" s="1580">
        <f t="shared" si="103"/>
        <v>0</v>
      </c>
      <c r="S206" s="1434">
        <f t="shared" ref="S206:T206" si="105">S68*S137</f>
        <v>0</v>
      </c>
      <c r="T206" s="1435">
        <f t="shared" si="105"/>
        <v>0</v>
      </c>
    </row>
    <row r="207" spans="1:28" ht="12.45" customHeight="1">
      <c r="A207" s="1311" t="str">
        <f>A138</f>
        <v>400GbE</v>
      </c>
      <c r="B207" s="1155" t="s">
        <v>571</v>
      </c>
      <c r="C207" s="1154" t="s">
        <v>237</v>
      </c>
      <c r="D207" s="811" t="str">
        <f>D138</f>
        <v>all</v>
      </c>
      <c r="E207" s="1387"/>
      <c r="F207" s="1386"/>
      <c r="G207" s="1379"/>
      <c r="H207" s="1376"/>
      <c r="I207" s="1387"/>
      <c r="J207" s="1386"/>
      <c r="K207" s="1379"/>
      <c r="L207" s="1377"/>
      <c r="M207" s="1408">
        <f t="shared" si="101"/>
        <v>0</v>
      </c>
      <c r="N207" s="1355">
        <f t="shared" si="101"/>
        <v>0</v>
      </c>
      <c r="O207" s="1420">
        <f t="shared" si="101"/>
        <v>0</v>
      </c>
      <c r="P207" s="1421">
        <f t="shared" si="101"/>
        <v>0</v>
      </c>
      <c r="Q207" s="1356">
        <f t="shared" si="103"/>
        <v>0</v>
      </c>
      <c r="R207" s="1580">
        <f t="shared" si="103"/>
        <v>0</v>
      </c>
      <c r="S207" s="1434">
        <f t="shared" ref="S207:T207" si="106">S69*S138</f>
        <v>0</v>
      </c>
      <c r="T207" s="1435">
        <f t="shared" si="106"/>
        <v>0</v>
      </c>
    </row>
    <row r="208" spans="1:28" ht="13.05" customHeight="1" thickBot="1">
      <c r="A208" s="1157" t="s">
        <v>574</v>
      </c>
      <c r="B208" s="790" t="s">
        <v>476</v>
      </c>
      <c r="C208" s="790" t="s">
        <v>235</v>
      </c>
      <c r="D208" s="814" t="s">
        <v>235</v>
      </c>
      <c r="E208" s="1341">
        <f>E139*E70</f>
        <v>0</v>
      </c>
      <c r="F208" s="1342">
        <f>F139*F70</f>
        <v>0</v>
      </c>
      <c r="G208" s="1342">
        <f>G70*G139</f>
        <v>0</v>
      </c>
      <c r="H208" s="1343">
        <f>H70*H139</f>
        <v>0</v>
      </c>
      <c r="I208" s="1341">
        <f>I139*I70</f>
        <v>0</v>
      </c>
      <c r="J208" s="1342">
        <f>J139*J70</f>
        <v>0</v>
      </c>
      <c r="K208" s="1342">
        <f>K70*K139</f>
        <v>0</v>
      </c>
      <c r="L208" s="1345">
        <f>L70*L139</f>
        <v>0</v>
      </c>
      <c r="M208" s="1422">
        <f t="shared" si="101"/>
        <v>0</v>
      </c>
      <c r="N208" s="1423">
        <f t="shared" si="101"/>
        <v>0</v>
      </c>
      <c r="O208" s="1424">
        <f t="shared" si="101"/>
        <v>0</v>
      </c>
      <c r="P208" s="1425">
        <f t="shared" si="101"/>
        <v>0</v>
      </c>
      <c r="Q208" s="1581">
        <f>Q70*Q139</f>
        <v>0</v>
      </c>
      <c r="R208" s="1582">
        <f>R70*R139</f>
        <v>0</v>
      </c>
      <c r="S208" s="1583">
        <f t="shared" ref="S208:T208" si="107">S70*S139</f>
        <v>0</v>
      </c>
      <c r="T208" s="1584">
        <f t="shared" si="107"/>
        <v>0</v>
      </c>
    </row>
    <row r="209" spans="1:20" ht="13.8" thickBot="1">
      <c r="A209" s="212" t="str">
        <f t="shared" ref="A209:D210" si="108">A71</f>
        <v>Ethernet</v>
      </c>
      <c r="B209" s="438" t="str">
        <f t="shared" si="108"/>
        <v>all</v>
      </c>
      <c r="C209" s="425" t="str">
        <f t="shared" si="108"/>
        <v>Miscellaneous</v>
      </c>
      <c r="D209" s="424" t="str">
        <f t="shared" si="108"/>
        <v>all</v>
      </c>
      <c r="E209" s="810">
        <f>E140*E71</f>
        <v>15254121.529098228</v>
      </c>
      <c r="F209" s="423">
        <f>F140*F71</f>
        <v>14704320.436017115</v>
      </c>
      <c r="G209" s="1337">
        <f>G71*G140</f>
        <v>13800000</v>
      </c>
      <c r="H209" s="1339">
        <f>H71*H140</f>
        <v>13800000</v>
      </c>
      <c r="I209" s="810">
        <f>I140*I71</f>
        <v>0</v>
      </c>
      <c r="J209" s="423">
        <f>J140*J71</f>
        <v>0</v>
      </c>
      <c r="K209" s="1426">
        <f>K71*K140</f>
        <v>0</v>
      </c>
      <c r="L209" s="1339">
        <f>L71*L140</f>
        <v>0</v>
      </c>
      <c r="M209" s="1208">
        <f t="shared" si="101"/>
        <v>0</v>
      </c>
      <c r="N209" s="1394">
        <f t="shared" si="101"/>
        <v>0</v>
      </c>
      <c r="O209" s="1396">
        <f>O71*O140</f>
        <v>0</v>
      </c>
      <c r="P209" s="1395">
        <f>P71*P140</f>
        <v>0</v>
      </c>
      <c r="Q209" s="1585">
        <f>Q71*Q140</f>
        <v>0</v>
      </c>
      <c r="R209" s="1586">
        <f>R71*R140</f>
        <v>0</v>
      </c>
      <c r="S209" s="1587">
        <f t="shared" ref="S209:T209" si="109">S71*S140</f>
        <v>0</v>
      </c>
      <c r="T209" s="1588">
        <f t="shared" si="109"/>
        <v>0</v>
      </c>
    </row>
    <row r="210" spans="1:20" ht="13.8" thickBot="1">
      <c r="A210" s="829" t="str">
        <f t="shared" si="108"/>
        <v>Total - EXCLUDING GigE over Copper</v>
      </c>
      <c r="B210" s="215">
        <f t="shared" si="108"/>
        <v>0</v>
      </c>
      <c r="C210" s="215">
        <f t="shared" si="108"/>
        <v>0</v>
      </c>
      <c r="D210" s="828">
        <f t="shared" si="108"/>
        <v>0</v>
      </c>
      <c r="E210" s="1393">
        <f t="shared" ref="E210:Q210" si="110">SUM(E147:E209)</f>
        <v>715726467.77793813</v>
      </c>
      <c r="F210" s="1304">
        <f t="shared" si="110"/>
        <v>820496407.26121473</v>
      </c>
      <c r="G210" s="1304">
        <f t="shared" si="110"/>
        <v>809587249.73224449</v>
      </c>
      <c r="H210" s="1304">
        <f t="shared" si="110"/>
        <v>814824506.27820528</v>
      </c>
      <c r="I210" s="1304">
        <f t="shared" si="110"/>
        <v>0</v>
      </c>
      <c r="J210" s="1304">
        <f t="shared" si="110"/>
        <v>0</v>
      </c>
      <c r="K210" s="1304">
        <f t="shared" si="110"/>
        <v>0</v>
      </c>
      <c r="L210" s="1303">
        <f t="shared" si="110"/>
        <v>0</v>
      </c>
      <c r="M210" s="1302">
        <f t="shared" si="110"/>
        <v>0</v>
      </c>
      <c r="N210" s="1304">
        <f>SUM(N147:N209)</f>
        <v>0</v>
      </c>
      <c r="O210" s="1427">
        <f>SUM(O147:O209)</f>
        <v>0</v>
      </c>
      <c r="P210" s="1307">
        <f t="shared" si="110"/>
        <v>0</v>
      </c>
      <c r="Q210" s="1475">
        <f t="shared" si="110"/>
        <v>0</v>
      </c>
      <c r="R210" s="1473">
        <f>SUM(R147:R209)</f>
        <v>0</v>
      </c>
      <c r="S210" s="1589">
        <f t="shared" ref="S210:T210" si="111">SUM(S147:S209)</f>
        <v>0</v>
      </c>
      <c r="T210" s="1474">
        <f t="shared" si="111"/>
        <v>0</v>
      </c>
    </row>
    <row r="211" spans="1:20" ht="15.6">
      <c r="A211" s="1321"/>
      <c r="L211" s="125"/>
      <c r="P211" s="125"/>
      <c r="Q211" s="125"/>
      <c r="R211" s="125"/>
      <c r="S211" s="125"/>
      <c r="T211" s="125"/>
    </row>
    <row r="212" spans="1:20">
      <c r="P212" s="133"/>
      <c r="Q212" s="133"/>
      <c r="R212" s="133"/>
      <c r="S212" s="133"/>
      <c r="T212" s="133"/>
    </row>
    <row r="213" spans="1:20">
      <c r="Q213" s="133"/>
      <c r="R213" s="133"/>
      <c r="S213" s="133"/>
      <c r="T213" s="133"/>
    </row>
  </sheetData>
  <mergeCells count="4">
    <mergeCell ref="A5:D5"/>
    <mergeCell ref="S6:T6"/>
    <mergeCell ref="S75:T75"/>
    <mergeCell ref="S144:T144"/>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AG159"/>
  <sheetViews>
    <sheetView showGridLines="0" zoomScale="70" zoomScaleNormal="70" zoomScalePageLayoutView="80" workbookViewId="0">
      <pane xSplit="3" ySplit="8" topLeftCell="G11" activePane="bottomRight" state="frozen"/>
      <selection activeCell="B6" sqref="B6"/>
      <selection pane="topRight" activeCell="B6" sqref="B6"/>
      <selection pane="bottomLeft" activeCell="B6" sqref="B6"/>
      <selection pane="bottomRight" activeCell="A4" sqref="A4"/>
    </sheetView>
  </sheetViews>
  <sheetFormatPr defaultColWidth="8.6640625" defaultRowHeight="13.2"/>
  <cols>
    <col min="1" max="1" width="14.33203125" style="45" customWidth="1"/>
    <col min="2" max="2" width="14.44140625" style="45" customWidth="1"/>
    <col min="3" max="3" width="12.6640625" style="45" customWidth="1"/>
    <col min="4" max="13" width="14.33203125" style="45" customWidth="1"/>
    <col min="14" max="19" width="15.44140625" style="45" customWidth="1"/>
    <col min="20" max="29" width="13.77734375" style="45" customWidth="1"/>
    <col min="30" max="30" width="12.33203125" style="45" customWidth="1"/>
    <col min="31" max="31" width="12.44140625" style="45" customWidth="1"/>
    <col min="32" max="16384" width="8.6640625" style="45"/>
  </cols>
  <sheetData>
    <row r="1" spans="1:33" ht="24.45" customHeight="1">
      <c r="A1" s="136" t="str">
        <f>Introduction!$B$1</f>
        <v xml:space="preserve">Vendor Survey Results through Q4 2021 </v>
      </c>
    </row>
    <row r="2" spans="1:33" ht="17.55" customHeight="1">
      <c r="A2" s="388" t="str">
        <f>Introduction!$B$2</f>
        <v>Sample template as of March 2022</v>
      </c>
    </row>
    <row r="3" spans="1:33" ht="25.05" customHeight="1">
      <c r="A3" s="825" t="s">
        <v>388</v>
      </c>
    </row>
    <row r="4" spans="1:33">
      <c r="H4" s="14"/>
      <c r="I4" s="14"/>
      <c r="J4" s="14"/>
      <c r="L4" s="14"/>
    </row>
    <row r="5" spans="1:33" ht="19.95" customHeight="1">
      <c r="A5" s="1113" t="s">
        <v>526</v>
      </c>
      <c r="B5" s="1112"/>
      <c r="C5" s="1112"/>
      <c r="H5" s="14"/>
      <c r="I5" s="14"/>
      <c r="J5" s="14"/>
      <c r="L5" s="14"/>
      <c r="N5" s="1115"/>
    </row>
    <row r="6" spans="1:33" customFormat="1" ht="16.2" thickBot="1">
      <c r="A6" s="1112"/>
      <c r="B6" s="1112"/>
      <c r="C6" s="1112"/>
      <c r="L6" s="1115"/>
      <c r="N6" s="1115"/>
      <c r="P6" s="1115"/>
      <c r="Q6" s="14"/>
      <c r="R6" s="1115"/>
      <c r="S6" s="14"/>
    </row>
    <row r="7" spans="1:33" s="72" customFormat="1" ht="16.2" thickBot="1">
      <c r="A7" s="840" t="str">
        <f>A3</f>
        <v>Fibre Channel Transceivers</v>
      </c>
      <c r="E7" s="834"/>
      <c r="F7" s="834"/>
      <c r="G7" s="834"/>
      <c r="H7" s="804" t="s">
        <v>209</v>
      </c>
      <c r="I7" s="834"/>
      <c r="J7" s="834"/>
      <c r="K7" s="834"/>
      <c r="L7" s="45"/>
      <c r="M7" s="45"/>
      <c r="N7" s="804" t="str">
        <f>H7</f>
        <v>Shipments: Actual Data</v>
      </c>
      <c r="O7" s="45"/>
      <c r="P7"/>
      <c r="Q7"/>
      <c r="R7" s="1862" t="s">
        <v>352</v>
      </c>
      <c r="S7" s="1863"/>
      <c r="AG7" s="45"/>
    </row>
    <row r="8" spans="1:33" s="72" customFormat="1" ht="15.75" customHeight="1" thickBot="1">
      <c r="A8" s="780" t="s">
        <v>211</v>
      </c>
      <c r="B8" s="780" t="s">
        <v>224</v>
      </c>
      <c r="C8" s="1034" t="s">
        <v>225</v>
      </c>
      <c r="D8" s="405" t="s">
        <v>130</v>
      </c>
      <c r="E8" s="144" t="s">
        <v>131</v>
      </c>
      <c r="F8" s="144" t="s">
        <v>132</v>
      </c>
      <c r="G8" s="152" t="s">
        <v>133</v>
      </c>
      <c r="H8" s="405" t="s">
        <v>134</v>
      </c>
      <c r="I8" s="144" t="s">
        <v>135</v>
      </c>
      <c r="J8" s="144" t="s">
        <v>136</v>
      </c>
      <c r="K8" s="192" t="s">
        <v>137</v>
      </c>
      <c r="L8" s="143" t="s">
        <v>138</v>
      </c>
      <c r="M8" s="144" t="s">
        <v>139</v>
      </c>
      <c r="N8" s="1149" t="s">
        <v>140</v>
      </c>
      <c r="O8" s="152" t="s">
        <v>141</v>
      </c>
      <c r="P8" s="771" t="s">
        <v>142</v>
      </c>
      <c r="Q8" s="771" t="s">
        <v>143</v>
      </c>
      <c r="R8" s="774" t="s">
        <v>621</v>
      </c>
      <c r="S8" s="774" t="s">
        <v>622</v>
      </c>
      <c r="AF8" s="45"/>
      <c r="AG8" s="45"/>
    </row>
    <row r="9" spans="1:33" s="72" customFormat="1" ht="12.45" customHeight="1">
      <c r="A9" s="425" t="s">
        <v>599</v>
      </c>
      <c r="B9" s="425" t="s">
        <v>267</v>
      </c>
      <c r="C9" s="217" t="s">
        <v>268</v>
      </c>
      <c r="D9" s="404">
        <v>333909</v>
      </c>
      <c r="E9" s="241">
        <v>266484</v>
      </c>
      <c r="F9" s="241">
        <v>276435</v>
      </c>
      <c r="G9" s="242">
        <v>223467</v>
      </c>
      <c r="H9" s="695"/>
      <c r="I9" s="696"/>
      <c r="J9" s="698"/>
      <c r="K9" s="982"/>
      <c r="L9" s="696"/>
      <c r="M9" s="696"/>
      <c r="N9" s="696"/>
      <c r="O9" s="1151"/>
      <c r="P9" s="1716"/>
      <c r="Q9" s="1541"/>
      <c r="R9" s="597"/>
      <c r="S9" s="1542"/>
    </row>
    <row r="10" spans="1:33" s="72" customFormat="1">
      <c r="A10" s="837" t="s">
        <v>599</v>
      </c>
      <c r="B10" s="225" t="s">
        <v>269</v>
      </c>
      <c r="C10" s="226" t="s">
        <v>268</v>
      </c>
      <c r="D10" s="406"/>
      <c r="E10" s="219"/>
      <c r="F10" s="219"/>
      <c r="G10" s="220"/>
      <c r="H10" s="697"/>
      <c r="I10" s="698"/>
      <c r="J10" s="698"/>
      <c r="K10" s="982"/>
      <c r="L10" s="698"/>
      <c r="M10" s="698"/>
      <c r="N10" s="698"/>
      <c r="O10" s="982"/>
      <c r="P10" s="597"/>
      <c r="Q10" s="597"/>
      <c r="R10" s="597"/>
      <c r="S10" s="1542"/>
    </row>
    <row r="11" spans="1:33" s="72" customFormat="1">
      <c r="A11" s="837" t="s">
        <v>599</v>
      </c>
      <c r="B11" s="225" t="s">
        <v>237</v>
      </c>
      <c r="C11" s="226" t="s">
        <v>268</v>
      </c>
      <c r="D11" s="218">
        <v>3441</v>
      </c>
      <c r="E11" s="219">
        <v>4886</v>
      </c>
      <c r="F11" s="219">
        <v>2264</v>
      </c>
      <c r="G11" s="220">
        <v>6587</v>
      </c>
      <c r="H11" s="699"/>
      <c r="I11" s="698"/>
      <c r="J11" s="698"/>
      <c r="K11" s="982"/>
      <c r="L11" s="698"/>
      <c r="M11" s="698"/>
      <c r="N11" s="698"/>
      <c r="O11" s="982"/>
      <c r="P11" s="597"/>
      <c r="Q11" s="597"/>
      <c r="R11" s="597"/>
      <c r="S11" s="1542"/>
    </row>
    <row r="12" spans="1:33" s="72" customFormat="1">
      <c r="A12" s="231" t="s">
        <v>600</v>
      </c>
      <c r="B12" s="231" t="s">
        <v>267</v>
      </c>
      <c r="C12" s="232" t="s">
        <v>229</v>
      </c>
      <c r="D12" s="218">
        <v>682702</v>
      </c>
      <c r="E12" s="219">
        <v>560399</v>
      </c>
      <c r="F12" s="219">
        <v>546601</v>
      </c>
      <c r="G12" s="220">
        <v>613648</v>
      </c>
      <c r="H12" s="699"/>
      <c r="I12" s="698"/>
      <c r="J12" s="698"/>
      <c r="K12" s="982"/>
      <c r="L12" s="698"/>
      <c r="M12" s="698"/>
      <c r="N12" s="698"/>
      <c r="O12" s="982"/>
      <c r="P12" s="219"/>
      <c r="Q12" s="219"/>
      <c r="R12" s="219"/>
      <c r="S12" s="220"/>
    </row>
    <row r="13" spans="1:33" s="72" customFormat="1">
      <c r="A13" s="837" t="s">
        <v>600</v>
      </c>
      <c r="B13" s="225" t="s">
        <v>237</v>
      </c>
      <c r="C13" s="226" t="s">
        <v>229</v>
      </c>
      <c r="D13" s="227">
        <v>12146</v>
      </c>
      <c r="E13" s="228">
        <v>13096</v>
      </c>
      <c r="F13" s="228">
        <v>10391</v>
      </c>
      <c r="G13" s="234">
        <v>8022</v>
      </c>
      <c r="H13" s="700"/>
      <c r="I13" s="701"/>
      <c r="J13" s="701"/>
      <c r="K13" s="983"/>
      <c r="L13" s="701"/>
      <c r="M13" s="701"/>
      <c r="N13" s="701"/>
      <c r="O13" s="983"/>
      <c r="P13" s="228"/>
      <c r="Q13" s="228"/>
      <c r="R13" s="219"/>
      <c r="S13" s="220"/>
    </row>
    <row r="14" spans="1:33" s="72" customFormat="1">
      <c r="A14" s="837" t="s">
        <v>601</v>
      </c>
      <c r="B14" s="213" t="s">
        <v>267</v>
      </c>
      <c r="C14" s="237" t="s">
        <v>229</v>
      </c>
      <c r="D14" s="227">
        <v>897090</v>
      </c>
      <c r="E14" s="228">
        <v>1221235</v>
      </c>
      <c r="F14" s="228">
        <v>1300923</v>
      </c>
      <c r="G14" s="234">
        <v>1173258</v>
      </c>
      <c r="H14" s="700"/>
      <c r="I14" s="701"/>
      <c r="J14" s="701"/>
      <c r="K14" s="983"/>
      <c r="L14" s="701"/>
      <c r="M14" s="701"/>
      <c r="N14" s="701"/>
      <c r="O14" s="983"/>
      <c r="P14" s="228"/>
      <c r="Q14" s="228"/>
      <c r="R14" s="219"/>
      <c r="S14" s="220"/>
    </row>
    <row r="15" spans="1:33" s="72" customFormat="1">
      <c r="A15" s="837" t="s">
        <v>601</v>
      </c>
      <c r="B15" s="238" t="s">
        <v>237</v>
      </c>
      <c r="C15" s="237" t="s">
        <v>229</v>
      </c>
      <c r="D15" s="227">
        <v>34171</v>
      </c>
      <c r="E15" s="228">
        <v>50607</v>
      </c>
      <c r="F15" s="228">
        <v>64419</v>
      </c>
      <c r="G15" s="234">
        <v>82005</v>
      </c>
      <c r="H15" s="700"/>
      <c r="I15" s="701"/>
      <c r="J15" s="701"/>
      <c r="K15" s="983"/>
      <c r="L15" s="701"/>
      <c r="M15" s="701"/>
      <c r="N15" s="701"/>
      <c r="O15" s="983"/>
      <c r="P15" s="228"/>
      <c r="Q15" s="228"/>
      <c r="R15" s="219"/>
      <c r="S15" s="220"/>
    </row>
    <row r="16" spans="1:33" s="72" customFormat="1">
      <c r="A16" s="838" t="s">
        <v>602</v>
      </c>
      <c r="B16" s="213" t="s">
        <v>267</v>
      </c>
      <c r="C16" s="534" t="s">
        <v>355</v>
      </c>
      <c r="D16" s="528">
        <v>80746</v>
      </c>
      <c r="E16" s="528">
        <v>78784</v>
      </c>
      <c r="F16" s="529">
        <v>109263</v>
      </c>
      <c r="G16" s="530">
        <v>152028</v>
      </c>
      <c r="H16" s="702"/>
      <c r="I16" s="702"/>
      <c r="J16" s="984"/>
      <c r="K16" s="985"/>
      <c r="L16" s="984"/>
      <c r="M16" s="701"/>
      <c r="N16" s="701"/>
      <c r="O16" s="985"/>
      <c r="P16" s="529"/>
      <c r="Q16" s="228"/>
      <c r="R16" s="219"/>
      <c r="S16" s="220"/>
    </row>
    <row r="17" spans="1:32" s="72" customFormat="1">
      <c r="A17" s="838" t="s">
        <v>602</v>
      </c>
      <c r="B17" s="238" t="s">
        <v>237</v>
      </c>
      <c r="C17" s="534" t="s">
        <v>355</v>
      </c>
      <c r="D17" s="528">
        <v>3069</v>
      </c>
      <c r="E17" s="528">
        <v>2836</v>
      </c>
      <c r="F17" s="529">
        <v>2959</v>
      </c>
      <c r="G17" s="530">
        <v>4499</v>
      </c>
      <c r="H17" s="702"/>
      <c r="I17" s="702"/>
      <c r="J17" s="984"/>
      <c r="K17" s="985"/>
      <c r="L17" s="984"/>
      <c r="M17" s="701"/>
      <c r="N17" s="701"/>
      <c r="O17" s="985"/>
      <c r="P17" s="529"/>
      <c r="Q17" s="228"/>
      <c r="R17" s="219"/>
      <c r="S17" s="220"/>
    </row>
    <row r="18" spans="1:32" s="72" customFormat="1">
      <c r="A18" s="838" t="s">
        <v>603</v>
      </c>
      <c r="B18" s="213" t="s">
        <v>251</v>
      </c>
      <c r="C18" s="534" t="s">
        <v>235</v>
      </c>
      <c r="D18" s="528"/>
      <c r="E18" s="528"/>
      <c r="F18" s="529"/>
      <c r="G18" s="530"/>
      <c r="H18" s="702"/>
      <c r="I18" s="702"/>
      <c r="J18" s="984"/>
      <c r="K18" s="985"/>
      <c r="L18" s="984"/>
      <c r="M18" s="984"/>
      <c r="N18" s="984"/>
      <c r="O18" s="985"/>
      <c r="P18" s="529"/>
      <c r="Q18" s="529"/>
      <c r="R18" s="219"/>
      <c r="S18" s="220"/>
    </row>
    <row r="19" spans="1:32" s="72" customFormat="1">
      <c r="A19" s="838" t="s">
        <v>603</v>
      </c>
      <c r="B19" s="1491" t="s">
        <v>237</v>
      </c>
      <c r="C19" s="534" t="s">
        <v>235</v>
      </c>
      <c r="D19" s="528"/>
      <c r="E19" s="528"/>
      <c r="F19" s="529"/>
      <c r="G19" s="530"/>
      <c r="H19" s="702"/>
      <c r="I19" s="702"/>
      <c r="J19" s="984"/>
      <c r="K19" s="985"/>
      <c r="L19" s="984"/>
      <c r="M19" s="984"/>
      <c r="N19" s="984"/>
      <c r="O19" s="985"/>
      <c r="P19" s="529"/>
      <c r="Q19" s="529"/>
      <c r="R19" s="219"/>
      <c r="S19" s="220"/>
    </row>
    <row r="20" spans="1:32" s="72" customFormat="1" ht="13.8" thickBot="1">
      <c r="A20" s="839" t="s">
        <v>265</v>
      </c>
      <c r="B20" s="835" t="s">
        <v>260</v>
      </c>
      <c r="C20" s="836" t="s">
        <v>260</v>
      </c>
      <c r="D20" s="239">
        <v>137</v>
      </c>
      <c r="E20" s="1428">
        <v>260</v>
      </c>
      <c r="F20" s="1428">
        <v>0</v>
      </c>
      <c r="G20" s="1429">
        <v>0</v>
      </c>
      <c r="H20" s="703"/>
      <c r="I20" s="1430"/>
      <c r="J20" s="1430"/>
      <c r="K20" s="1431"/>
      <c r="L20" s="984"/>
      <c r="M20" s="984"/>
      <c r="N20" s="984"/>
      <c r="O20" s="985"/>
      <c r="P20" s="529"/>
      <c r="Q20" s="529"/>
      <c r="R20" s="219"/>
      <c r="S20" s="220"/>
    </row>
    <row r="21" spans="1:32" ht="13.8" thickBot="1">
      <c r="A21" s="777" t="s">
        <v>19</v>
      </c>
      <c r="B21" s="535"/>
      <c r="C21" s="536"/>
      <c r="D21" s="275">
        <f t="shared" ref="D21:O21" si="0">SUM(D9:D20)</f>
        <v>2047411</v>
      </c>
      <c r="E21" s="276">
        <f t="shared" si="0"/>
        <v>2198587</v>
      </c>
      <c r="F21" s="276">
        <f t="shared" si="0"/>
        <v>2313255</v>
      </c>
      <c r="G21" s="347">
        <f t="shared" si="0"/>
        <v>2263514</v>
      </c>
      <c r="H21" s="275">
        <f>SUM(H9:H20)</f>
        <v>0</v>
      </c>
      <c r="I21" s="276">
        <f>SUM(I9:I20)</f>
        <v>0</v>
      </c>
      <c r="J21" s="276">
        <f t="shared" si="0"/>
        <v>0</v>
      </c>
      <c r="K21" s="347">
        <f t="shared" si="0"/>
        <v>0</v>
      </c>
      <c r="L21" s="275">
        <f>SUM(L9:L20)</f>
        <v>0</v>
      </c>
      <c r="M21" s="276">
        <f>SUM(M9:M20)</f>
        <v>0</v>
      </c>
      <c r="N21" s="276">
        <f>SUM(N9:N20)</f>
        <v>0</v>
      </c>
      <c r="O21" s="347">
        <f t="shared" si="0"/>
        <v>0</v>
      </c>
      <c r="P21" s="275">
        <f>SUM(P9:P20)</f>
        <v>0</v>
      </c>
      <c r="Q21" s="276">
        <f>SUM(Q9:Q20)</f>
        <v>0</v>
      </c>
      <c r="R21" s="276">
        <f>SUM(R9:R20)</f>
        <v>0</v>
      </c>
      <c r="S21" s="347">
        <f t="shared" ref="S21" si="1">SUM(S9:S20)</f>
        <v>0</v>
      </c>
      <c r="AF21" s="244"/>
    </row>
    <row r="22" spans="1:32">
      <c r="N22" s="1028"/>
      <c r="V22" s="1009"/>
      <c r="W22" s="1009"/>
      <c r="AA22" s="97"/>
    </row>
    <row r="23" spans="1:32" ht="16.2" thickBot="1">
      <c r="A23" s="126"/>
      <c r="B23" s="126"/>
      <c r="C23" s="126"/>
      <c r="D23" s="126"/>
      <c r="E23" s="126"/>
      <c r="F23" s="126"/>
      <c r="G23" s="126"/>
      <c r="H23" s="126"/>
      <c r="I23" s="126"/>
      <c r="J23" s="126"/>
      <c r="K23" s="126"/>
      <c r="L23" s="126"/>
      <c r="M23" s="126"/>
      <c r="N23" s="1115"/>
      <c r="O23"/>
      <c r="P23" s="1115"/>
      <c r="Q23" s="14"/>
      <c r="R23" s="1115"/>
      <c r="S23" s="14"/>
      <c r="T23" s="126"/>
      <c r="U23" s="126"/>
      <c r="V23" s="126"/>
      <c r="W23" s="126"/>
      <c r="X23" s="126"/>
      <c r="Y23" s="126"/>
      <c r="Z23" s="126"/>
      <c r="AA23" s="126"/>
      <c r="AB23" s="126"/>
      <c r="AC23" s="126"/>
      <c r="AD23" s="126"/>
      <c r="AE23" s="126"/>
      <c r="AF23" s="126"/>
    </row>
    <row r="24" spans="1:32" ht="16.2" thickBot="1">
      <c r="A24" s="840" t="str">
        <f t="shared" ref="A24:C38" si="2">A7</f>
        <v>Fibre Channel Transceivers</v>
      </c>
      <c r="B24" s="126"/>
      <c r="C24" s="126"/>
      <c r="E24" s="834"/>
      <c r="F24" s="834"/>
      <c r="G24" s="834"/>
      <c r="H24" s="804" t="s">
        <v>226</v>
      </c>
      <c r="I24" s="834"/>
      <c r="J24" s="834"/>
      <c r="K24" s="834"/>
      <c r="L24" s="769"/>
      <c r="M24" s="769"/>
      <c r="N24" s="804" t="str">
        <f>H24</f>
        <v>ASP: Actual Data</v>
      </c>
      <c r="P24"/>
      <c r="Q24"/>
      <c r="R24" s="1862" t="s">
        <v>623</v>
      </c>
      <c r="S24" s="1863"/>
      <c r="T24" s="126"/>
      <c r="U24" s="126"/>
      <c r="V24" s="126"/>
      <c r="W24" s="126"/>
      <c r="X24" s="126"/>
      <c r="Y24" s="126"/>
      <c r="Z24" s="126"/>
      <c r="AA24" s="126"/>
      <c r="AB24" s="126"/>
      <c r="AC24" s="126"/>
      <c r="AD24" s="126"/>
      <c r="AE24" s="126"/>
      <c r="AF24" s="126"/>
    </row>
    <row r="25" spans="1:32" ht="13.8" thickBot="1">
      <c r="A25" s="780" t="str">
        <f t="shared" si="2"/>
        <v>Data Rate</v>
      </c>
      <c r="B25" s="780" t="str">
        <f t="shared" si="2"/>
        <v>Reach</v>
      </c>
      <c r="C25" s="616" t="str">
        <f t="shared" si="2"/>
        <v>Form Factor</v>
      </c>
      <c r="D25" s="143" t="s">
        <v>130</v>
      </c>
      <c r="E25" s="144" t="s">
        <v>131</v>
      </c>
      <c r="F25" s="144" t="s">
        <v>132</v>
      </c>
      <c r="G25" s="192" t="s">
        <v>133</v>
      </c>
      <c r="H25" s="143" t="str">
        <f>H8</f>
        <v>1Q 18</v>
      </c>
      <c r="I25" s="144" t="str">
        <f>I8</f>
        <v>2Q 18</v>
      </c>
      <c r="J25" s="144" t="str">
        <f>J8</f>
        <v>3Q 18</v>
      </c>
      <c r="K25" s="192" t="str">
        <f>K8</f>
        <v>4Q 18</v>
      </c>
      <c r="L25" s="143" t="str">
        <f t="shared" ref="L25:M25" si="3">L8</f>
        <v>1Q 19</v>
      </c>
      <c r="M25" s="144" t="str">
        <f t="shared" si="3"/>
        <v>2Q 19</v>
      </c>
      <c r="N25" s="1149" t="s">
        <v>140</v>
      </c>
      <c r="O25" s="152" t="s">
        <v>141</v>
      </c>
      <c r="P25" s="771" t="s">
        <v>142</v>
      </c>
      <c r="Q25" s="771" t="s">
        <v>143</v>
      </c>
      <c r="R25" s="774" t="s">
        <v>621</v>
      </c>
      <c r="S25" s="774" t="s">
        <v>622</v>
      </c>
      <c r="T25" s="126"/>
      <c r="U25" s="126"/>
      <c r="V25" s="126"/>
      <c r="W25" s="126"/>
      <c r="X25" s="126"/>
      <c r="Y25" s="126"/>
      <c r="Z25" s="126"/>
      <c r="AA25" s="126"/>
      <c r="AB25" s="126"/>
      <c r="AC25" s="126"/>
      <c r="AD25" s="126"/>
      <c r="AE25" s="126"/>
      <c r="AF25" s="126"/>
    </row>
    <row r="26" spans="1:32" ht="12.45" customHeight="1">
      <c r="A26" s="425" t="str">
        <f t="shared" si="2"/>
        <v>4 Gbps</v>
      </c>
      <c r="B26" s="425" t="str">
        <f t="shared" si="2"/>
        <v>MMF</v>
      </c>
      <c r="C26" s="217" t="str">
        <f t="shared" si="2"/>
        <v>SFF/SFP</v>
      </c>
      <c r="D26" s="221">
        <v>11.945122772971079</v>
      </c>
      <c r="E26" s="222">
        <v>13.083310817910268</v>
      </c>
      <c r="F26" s="223">
        <v>12.099509830520713</v>
      </c>
      <c r="G26" s="224">
        <v>13.585822515181203</v>
      </c>
      <c r="H26" s="704"/>
      <c r="I26" s="705"/>
      <c r="J26" s="705"/>
      <c r="K26" s="986"/>
      <c r="L26" s="710"/>
      <c r="M26" s="710"/>
      <c r="N26" s="1432"/>
      <c r="O26" s="1433"/>
      <c r="P26" s="1716"/>
      <c r="Q26" s="1543"/>
      <c r="R26" s="1544"/>
      <c r="S26" s="1545"/>
      <c r="T26" s="126"/>
      <c r="U26" s="126"/>
      <c r="V26" s="126"/>
      <c r="W26" s="126"/>
      <c r="X26" s="126"/>
      <c r="Y26" s="126"/>
      <c r="Z26" s="126"/>
      <c r="AA26" s="126"/>
      <c r="AB26" s="126"/>
      <c r="AC26" s="126"/>
      <c r="AD26" s="126"/>
      <c r="AE26" s="126"/>
      <c r="AF26" s="126"/>
    </row>
    <row r="27" spans="1:32">
      <c r="A27" s="837" t="str">
        <f t="shared" si="2"/>
        <v>4 Gbps</v>
      </c>
      <c r="B27" s="225" t="str">
        <f t="shared" si="2"/>
        <v>4 km</v>
      </c>
      <c r="C27" s="226" t="str">
        <f t="shared" si="2"/>
        <v>SFF/SFP</v>
      </c>
      <c r="D27" s="221"/>
      <c r="E27" s="222"/>
      <c r="F27" s="223"/>
      <c r="G27" s="224"/>
      <c r="H27" s="704"/>
      <c r="I27" s="705"/>
      <c r="J27" s="705"/>
      <c r="K27" s="986"/>
      <c r="L27" s="705"/>
      <c r="M27" s="705"/>
      <c r="N27" s="1434"/>
      <c r="O27" s="1435"/>
      <c r="P27" s="1546"/>
      <c r="Q27" s="1546"/>
      <c r="R27" s="1544"/>
      <c r="S27" s="1545"/>
      <c r="T27" s="126"/>
      <c r="U27" s="126"/>
      <c r="V27" s="126"/>
      <c r="W27" s="126"/>
      <c r="X27" s="126"/>
      <c r="Y27" s="126"/>
      <c r="Z27" s="126"/>
      <c r="AA27" s="126"/>
      <c r="AB27" s="126"/>
      <c r="AC27" s="126"/>
      <c r="AD27" s="126"/>
      <c r="AE27" s="126"/>
      <c r="AF27" s="126"/>
    </row>
    <row r="28" spans="1:32">
      <c r="A28" s="837" t="str">
        <f t="shared" si="2"/>
        <v>4 Gbps</v>
      </c>
      <c r="B28" s="225" t="str">
        <f t="shared" si="2"/>
        <v>10 km</v>
      </c>
      <c r="C28" s="226" t="str">
        <f t="shared" si="2"/>
        <v>SFF/SFP</v>
      </c>
      <c r="D28" s="221">
        <v>68.404242952630042</v>
      </c>
      <c r="E28" s="222">
        <v>67.082275890298817</v>
      </c>
      <c r="F28" s="223">
        <v>64.331713780918705</v>
      </c>
      <c r="G28" s="224">
        <v>60.247760740853217</v>
      </c>
      <c r="H28" s="704"/>
      <c r="I28" s="705"/>
      <c r="J28" s="705"/>
      <c r="K28" s="986"/>
      <c r="L28" s="705"/>
      <c r="M28" s="705"/>
      <c r="N28" s="1434"/>
      <c r="O28" s="1435"/>
      <c r="P28" s="1546"/>
      <c r="Q28" s="1546"/>
      <c r="R28" s="1544"/>
      <c r="S28" s="1545"/>
      <c r="T28" s="126"/>
      <c r="U28" s="126"/>
      <c r="V28" s="126"/>
      <c r="W28" s="126"/>
      <c r="X28" s="126"/>
      <c r="Y28" s="126"/>
      <c r="Z28" s="126"/>
      <c r="AA28" s="126"/>
      <c r="AB28" s="126"/>
      <c r="AC28" s="126"/>
      <c r="AD28" s="126"/>
      <c r="AE28" s="126"/>
      <c r="AF28" s="126"/>
    </row>
    <row r="29" spans="1:32">
      <c r="A29" s="231" t="str">
        <f t="shared" si="2"/>
        <v>8 Gbps</v>
      </c>
      <c r="B29" s="231" t="str">
        <f t="shared" si="2"/>
        <v>MMF</v>
      </c>
      <c r="C29" s="232" t="str">
        <f t="shared" si="2"/>
        <v>SFP+</v>
      </c>
      <c r="D29" s="221">
        <v>13.623687934120598</v>
      </c>
      <c r="E29" s="222">
        <v>12.825179916452385</v>
      </c>
      <c r="F29" s="223">
        <v>12.621513681826405</v>
      </c>
      <c r="G29" s="224">
        <v>12.142027677104778</v>
      </c>
      <c r="H29" s="704"/>
      <c r="I29" s="705"/>
      <c r="J29" s="705"/>
      <c r="K29" s="986"/>
      <c r="L29" s="705"/>
      <c r="M29" s="705"/>
      <c r="N29" s="1434"/>
      <c r="O29" s="1435"/>
      <c r="P29" s="223"/>
      <c r="Q29" s="223"/>
      <c r="R29" s="1795"/>
      <c r="S29" s="1421"/>
      <c r="T29" s="126"/>
      <c r="U29" s="126"/>
      <c r="V29" s="126"/>
      <c r="W29" s="126"/>
      <c r="X29" s="126"/>
      <c r="Y29" s="126"/>
      <c r="Z29" s="126"/>
      <c r="AA29" s="126"/>
      <c r="AB29" s="126"/>
      <c r="AC29" s="126"/>
      <c r="AD29" s="126"/>
      <c r="AE29" s="126"/>
      <c r="AF29" s="126"/>
    </row>
    <row r="30" spans="1:32">
      <c r="A30" s="837" t="str">
        <f t="shared" si="2"/>
        <v>8 Gbps</v>
      </c>
      <c r="B30" s="225" t="str">
        <f t="shared" si="2"/>
        <v>10 km</v>
      </c>
      <c r="C30" s="226" t="str">
        <f t="shared" si="2"/>
        <v>SFP+</v>
      </c>
      <c r="D30" s="229">
        <v>91.17223777375267</v>
      </c>
      <c r="E30" s="230">
        <v>83.110109957238848</v>
      </c>
      <c r="F30" s="235">
        <v>87.927533442402108</v>
      </c>
      <c r="G30" s="236">
        <v>84.755796559461487</v>
      </c>
      <c r="H30" s="706"/>
      <c r="I30" s="707"/>
      <c r="J30" s="707"/>
      <c r="K30" s="987"/>
      <c r="L30" s="707"/>
      <c r="M30" s="707"/>
      <c r="N30" s="1436"/>
      <c r="O30" s="1437"/>
      <c r="P30" s="235"/>
      <c r="Q30" s="235"/>
      <c r="R30" s="1795"/>
      <c r="S30" s="1421"/>
      <c r="T30" s="126"/>
      <c r="U30" s="126"/>
      <c r="V30" s="126"/>
      <c r="W30" s="126"/>
      <c r="X30" s="126"/>
      <c r="Y30" s="126"/>
      <c r="Z30" s="126"/>
      <c r="AA30" s="126"/>
      <c r="AB30" s="126"/>
      <c r="AC30" s="126"/>
      <c r="AD30" s="126"/>
      <c r="AE30" s="126"/>
      <c r="AF30" s="126"/>
    </row>
    <row r="31" spans="1:32">
      <c r="A31" s="837" t="str">
        <f t="shared" si="2"/>
        <v>16 Gbps</v>
      </c>
      <c r="B31" s="213" t="str">
        <f t="shared" si="2"/>
        <v>MMF</v>
      </c>
      <c r="C31" s="237" t="str">
        <f t="shared" si="2"/>
        <v>SFP+</v>
      </c>
      <c r="D31" s="229">
        <v>29.413886009207548</v>
      </c>
      <c r="E31" s="230">
        <v>27.432960077298802</v>
      </c>
      <c r="F31" s="235">
        <v>26.214657593108871</v>
      </c>
      <c r="G31" s="236">
        <v>25.419042529435128</v>
      </c>
      <c r="H31" s="706"/>
      <c r="I31" s="707"/>
      <c r="J31" s="707"/>
      <c r="K31" s="987"/>
      <c r="L31" s="707"/>
      <c r="M31" s="707"/>
      <c r="N31" s="1436"/>
      <c r="O31" s="1437"/>
      <c r="P31" s="235"/>
      <c r="Q31" s="235"/>
      <c r="R31" s="1795"/>
      <c r="S31" s="1421"/>
      <c r="T31" s="126"/>
      <c r="U31" s="126"/>
      <c r="V31" s="126"/>
      <c r="W31" s="126"/>
      <c r="X31" s="126"/>
      <c r="Y31" s="126"/>
      <c r="Z31" s="126"/>
      <c r="AA31" s="126"/>
      <c r="AB31" s="126"/>
      <c r="AC31" s="126"/>
      <c r="AD31" s="126"/>
      <c r="AE31" s="126"/>
      <c r="AF31" s="126"/>
    </row>
    <row r="32" spans="1:32">
      <c r="A32" s="837" t="str">
        <f t="shared" si="2"/>
        <v>16 Gbps</v>
      </c>
      <c r="B32" s="238" t="str">
        <f t="shared" si="2"/>
        <v>10 km</v>
      </c>
      <c r="C32" s="237" t="str">
        <f t="shared" si="2"/>
        <v>SFP+</v>
      </c>
      <c r="D32" s="229">
        <v>117.03064001638816</v>
      </c>
      <c r="E32" s="230">
        <v>128.79378346869009</v>
      </c>
      <c r="F32" s="235">
        <v>106.11040221052772</v>
      </c>
      <c r="G32" s="236">
        <v>103.75171026156941</v>
      </c>
      <c r="H32" s="706"/>
      <c r="I32" s="707"/>
      <c r="J32" s="707"/>
      <c r="K32" s="987"/>
      <c r="L32" s="707"/>
      <c r="M32" s="707"/>
      <c r="N32" s="1436"/>
      <c r="O32" s="1437"/>
      <c r="P32" s="235"/>
      <c r="Q32" s="235"/>
      <c r="R32" s="1795"/>
      <c r="S32" s="1421"/>
      <c r="T32" s="126"/>
      <c r="U32" s="126"/>
      <c r="V32" s="126"/>
      <c r="W32" s="126"/>
      <c r="X32" s="126"/>
      <c r="Y32" s="126"/>
      <c r="Z32" s="126"/>
      <c r="AA32" s="126"/>
      <c r="AB32" s="126"/>
      <c r="AC32" s="126"/>
      <c r="AD32" s="126"/>
      <c r="AE32" s="126"/>
      <c r="AF32" s="126"/>
    </row>
    <row r="33" spans="1:32">
      <c r="A33" s="838" t="str">
        <f t="shared" si="2"/>
        <v>32 Gbps</v>
      </c>
      <c r="B33" s="213" t="str">
        <f t="shared" si="2"/>
        <v>MMF</v>
      </c>
      <c r="C33" s="534" t="str">
        <f t="shared" si="2"/>
        <v>SFP28</v>
      </c>
      <c r="D33" s="229">
        <v>132.54818814554281</v>
      </c>
      <c r="E33" s="229">
        <v>122.64614642567018</v>
      </c>
      <c r="F33" s="602">
        <v>93.273166579720467</v>
      </c>
      <c r="G33" s="602">
        <v>80.884343673533792</v>
      </c>
      <c r="H33" s="706"/>
      <c r="I33" s="706"/>
      <c r="J33" s="988"/>
      <c r="K33" s="989"/>
      <c r="L33" s="988"/>
      <c r="M33" s="707"/>
      <c r="N33" s="1438"/>
      <c r="O33" s="1439"/>
      <c r="P33" s="532"/>
      <c r="Q33" s="235"/>
      <c r="R33" s="1795"/>
      <c r="S33" s="1421"/>
      <c r="T33" s="126"/>
      <c r="U33" s="126"/>
      <c r="V33" s="126"/>
      <c r="W33" s="126"/>
      <c r="X33" s="126"/>
      <c r="Y33" s="126"/>
      <c r="Z33" s="126"/>
      <c r="AA33" s="126"/>
      <c r="AB33" s="126"/>
      <c r="AC33" s="126"/>
      <c r="AD33" s="126"/>
      <c r="AE33" s="126"/>
      <c r="AF33" s="126"/>
    </row>
    <row r="34" spans="1:32">
      <c r="A34" s="838" t="str">
        <f t="shared" si="2"/>
        <v>32 Gbps</v>
      </c>
      <c r="B34" s="238" t="str">
        <f t="shared" si="2"/>
        <v>10 km</v>
      </c>
      <c r="C34" s="534" t="str">
        <f t="shared" si="2"/>
        <v>SFP28</v>
      </c>
      <c r="D34" s="229">
        <v>304.33691756272401</v>
      </c>
      <c r="E34" s="229">
        <v>331.58568406205922</v>
      </c>
      <c r="F34" s="602">
        <v>316.86245353159887</v>
      </c>
      <c r="G34" s="602">
        <v>267.74616581462539</v>
      </c>
      <c r="H34" s="706"/>
      <c r="I34" s="706"/>
      <c r="J34" s="988"/>
      <c r="K34" s="989"/>
      <c r="L34" s="988"/>
      <c r="M34" s="707"/>
      <c r="N34" s="1438"/>
      <c r="O34" s="1439"/>
      <c r="P34" s="532"/>
      <c r="Q34" s="235"/>
      <c r="R34" s="1795"/>
      <c r="S34" s="1421"/>
      <c r="T34" s="126"/>
      <c r="U34" s="126"/>
      <c r="V34" s="126"/>
      <c r="W34" s="126"/>
      <c r="X34" s="126"/>
      <c r="Y34" s="126"/>
      <c r="Z34" s="126"/>
      <c r="AA34" s="126"/>
      <c r="AB34" s="126"/>
      <c r="AC34" s="126"/>
      <c r="AD34" s="126"/>
      <c r="AE34" s="126"/>
      <c r="AF34" s="126"/>
    </row>
    <row r="35" spans="1:32">
      <c r="A35" s="838" t="str">
        <f t="shared" si="2"/>
        <v>64 Gbps</v>
      </c>
      <c r="B35" s="238" t="str">
        <f t="shared" si="2"/>
        <v>100 m</v>
      </c>
      <c r="C35" s="534" t="str">
        <f t="shared" si="2"/>
        <v>all</v>
      </c>
      <c r="D35" s="531"/>
      <c r="E35" s="531"/>
      <c r="F35" s="1440"/>
      <c r="G35" s="1441"/>
      <c r="H35" s="1442"/>
      <c r="I35" s="1442"/>
      <c r="J35" s="988"/>
      <c r="K35" s="989"/>
      <c r="L35" s="988"/>
      <c r="M35" s="988"/>
      <c r="N35" s="1438"/>
      <c r="O35" s="1439"/>
      <c r="P35" s="532"/>
      <c r="Q35" s="532"/>
      <c r="R35" s="1795"/>
      <c r="S35" s="1421"/>
      <c r="T35" s="126"/>
      <c r="U35" s="126"/>
      <c r="V35" s="126"/>
      <c r="W35" s="126"/>
      <c r="X35" s="126"/>
      <c r="Y35" s="126"/>
      <c r="Z35" s="126"/>
      <c r="AA35" s="126"/>
      <c r="AB35" s="126"/>
      <c r="AC35" s="126"/>
      <c r="AD35" s="126"/>
      <c r="AE35" s="126"/>
      <c r="AF35" s="126"/>
    </row>
    <row r="36" spans="1:32">
      <c r="A36" s="838" t="str">
        <f t="shared" si="2"/>
        <v>64 Gbps</v>
      </c>
      <c r="B36" s="238" t="str">
        <f t="shared" si="2"/>
        <v>10 km</v>
      </c>
      <c r="C36" s="534" t="str">
        <f t="shared" si="2"/>
        <v>all</v>
      </c>
      <c r="D36" s="531"/>
      <c r="E36" s="531"/>
      <c r="F36" s="1440"/>
      <c r="G36" s="1441"/>
      <c r="H36" s="1442"/>
      <c r="I36" s="1442"/>
      <c r="J36" s="988"/>
      <c r="K36" s="989"/>
      <c r="L36" s="988"/>
      <c r="M36" s="988"/>
      <c r="N36" s="1438"/>
      <c r="O36" s="1439"/>
      <c r="P36" s="532"/>
      <c r="Q36" s="532"/>
      <c r="R36" s="1795"/>
      <c r="S36" s="1421"/>
      <c r="T36" s="126"/>
      <c r="U36" s="126"/>
      <c r="V36" s="126"/>
      <c r="W36" s="126"/>
      <c r="X36" s="126"/>
      <c r="Y36" s="126"/>
      <c r="Z36" s="126"/>
      <c r="AA36" s="126"/>
      <c r="AB36" s="126"/>
      <c r="AC36" s="126"/>
      <c r="AD36" s="126"/>
      <c r="AE36" s="126"/>
      <c r="AF36" s="126"/>
    </row>
    <row r="37" spans="1:32" ht="13.8" thickBot="1">
      <c r="A37" s="838" t="str">
        <f t="shared" si="2"/>
        <v>Miscellaneous</v>
      </c>
      <c r="B37" s="238" t="str">
        <f t="shared" si="2"/>
        <v>All</v>
      </c>
      <c r="C37" s="534" t="str">
        <f t="shared" si="2"/>
        <v>All</v>
      </c>
      <c r="D37" s="240">
        <v>615.42919790958467</v>
      </c>
      <c r="E37" s="1443">
        <v>612.00166168391547</v>
      </c>
      <c r="F37" s="1444">
        <v>410.13562011131933</v>
      </c>
      <c r="G37" s="1445">
        <v>348.63050948815919</v>
      </c>
      <c r="H37" s="708"/>
      <c r="I37" s="1446"/>
      <c r="J37" s="1446"/>
      <c r="K37" s="1447"/>
      <c r="L37" s="988"/>
      <c r="M37" s="988"/>
      <c r="N37" s="1438"/>
      <c r="O37" s="1439"/>
      <c r="P37" s="532"/>
      <c r="Q37" s="532"/>
      <c r="R37" s="1795"/>
      <c r="S37" s="1421"/>
    </row>
    <row r="38" spans="1:32" ht="13.8" thickBot="1">
      <c r="A38" s="777" t="str">
        <f t="shared" si="2"/>
        <v>Total</v>
      </c>
      <c r="B38" s="535">
        <f t="shared" si="2"/>
        <v>0</v>
      </c>
      <c r="C38" s="536">
        <f t="shared" si="2"/>
        <v>0</v>
      </c>
      <c r="D38" s="1448">
        <f t="shared" ref="D38:S38" si="4">D55/D21</f>
        <v>27.712695106216394</v>
      </c>
      <c r="E38" s="1304">
        <f t="shared" si="4"/>
        <v>28.596500585165753</v>
      </c>
      <c r="F38" s="1304">
        <f t="shared" si="4"/>
        <v>27.394576473410819</v>
      </c>
      <c r="G38" s="1449">
        <f t="shared" si="4"/>
        <v>28.00787006398016</v>
      </c>
      <c r="H38" s="1448" t="e">
        <f t="shared" si="4"/>
        <v>#DIV/0!</v>
      </c>
      <c r="I38" s="1304" t="e">
        <f t="shared" si="4"/>
        <v>#DIV/0!</v>
      </c>
      <c r="J38" s="278" t="e">
        <f t="shared" si="4"/>
        <v>#DIV/0!</v>
      </c>
      <c r="K38" s="279" t="e">
        <f t="shared" si="4"/>
        <v>#DIV/0!</v>
      </c>
      <c r="L38" s="1448" t="e">
        <f t="shared" si="4"/>
        <v>#DIV/0!</v>
      </c>
      <c r="M38" s="1304" t="e">
        <f t="shared" si="4"/>
        <v>#DIV/0!</v>
      </c>
      <c r="N38" s="278" t="e">
        <f t="shared" si="4"/>
        <v>#DIV/0!</v>
      </c>
      <c r="O38" s="279" t="e">
        <f t="shared" si="4"/>
        <v>#DIV/0!</v>
      </c>
      <c r="P38" s="277" t="e">
        <f t="shared" si="4"/>
        <v>#DIV/0!</v>
      </c>
      <c r="Q38" s="278" t="e">
        <f t="shared" si="4"/>
        <v>#DIV/0!</v>
      </c>
      <c r="R38" s="278" t="e">
        <f t="shared" si="4"/>
        <v>#DIV/0!</v>
      </c>
      <c r="S38" s="279" t="e">
        <f t="shared" si="4"/>
        <v>#DIV/0!</v>
      </c>
    </row>
    <row r="39" spans="1:32">
      <c r="A39" s="126"/>
      <c r="B39" s="126"/>
      <c r="C39" s="126"/>
      <c r="J39" s="72"/>
      <c r="K39" s="72"/>
      <c r="L39" s="72"/>
      <c r="M39" s="72"/>
      <c r="N39" s="126"/>
      <c r="O39" s="126"/>
      <c r="P39" s="126"/>
      <c r="Q39" s="126"/>
      <c r="R39" s="126"/>
      <c r="S39" s="126"/>
    </row>
    <row r="40" spans="1:32" ht="16.2" thickBot="1">
      <c r="A40" s="126"/>
      <c r="B40" s="126"/>
      <c r="C40" s="126"/>
      <c r="D40" s="126"/>
      <c r="E40" s="126"/>
      <c r="F40" s="126"/>
      <c r="G40" s="126"/>
      <c r="H40" s="126"/>
      <c r="I40" s="126"/>
      <c r="J40" s="126"/>
      <c r="K40" s="126"/>
      <c r="L40" s="126"/>
      <c r="M40" s="126"/>
      <c r="N40" s="1115"/>
      <c r="O40"/>
      <c r="P40" s="1115"/>
      <c r="Q40" s="14"/>
      <c r="R40" s="1115"/>
      <c r="S40" s="14"/>
    </row>
    <row r="41" spans="1:32" ht="16.2" thickBot="1">
      <c r="A41" s="840" t="str">
        <f>A3</f>
        <v>Fibre Channel Transceivers</v>
      </c>
      <c r="B41" s="126"/>
      <c r="C41" s="126"/>
      <c r="E41" s="834"/>
      <c r="F41" s="834"/>
      <c r="G41" s="834"/>
      <c r="H41" s="804" t="s">
        <v>210</v>
      </c>
      <c r="I41" s="834"/>
      <c r="J41" s="834"/>
      <c r="K41" s="834"/>
      <c r="L41" s="769"/>
      <c r="M41" s="769"/>
      <c r="N41" s="804" t="str">
        <f>H41</f>
        <v>Sales: Actual Data</v>
      </c>
      <c r="P41"/>
      <c r="Q41"/>
      <c r="R41" s="1862" t="s">
        <v>624</v>
      </c>
      <c r="S41" s="1863"/>
    </row>
    <row r="42" spans="1:32" ht="13.8" thickBot="1">
      <c r="A42" s="780" t="str">
        <f t="shared" ref="A42:C53" si="5">A8</f>
        <v>Data Rate</v>
      </c>
      <c r="B42" s="780" t="str">
        <f t="shared" si="5"/>
        <v>Reach</v>
      </c>
      <c r="C42" s="616" t="str">
        <f t="shared" si="5"/>
        <v>Form Factor</v>
      </c>
      <c r="D42" s="143" t="s">
        <v>130</v>
      </c>
      <c r="E42" s="144" t="s">
        <v>131</v>
      </c>
      <c r="F42" s="144" t="s">
        <v>132</v>
      </c>
      <c r="G42" s="152" t="s">
        <v>133</v>
      </c>
      <c r="H42" s="143" t="str">
        <f>H8</f>
        <v>1Q 18</v>
      </c>
      <c r="I42" s="144" t="str">
        <f>I8</f>
        <v>2Q 18</v>
      </c>
      <c r="J42" s="144" t="str">
        <f>J8</f>
        <v>3Q 18</v>
      </c>
      <c r="K42" s="192" t="str">
        <f>K8</f>
        <v>4Q 18</v>
      </c>
      <c r="L42" s="143" t="str">
        <f t="shared" ref="L42:M42" si="6">L8</f>
        <v>1Q 19</v>
      </c>
      <c r="M42" s="144" t="str">
        <f t="shared" si="6"/>
        <v>2Q 19</v>
      </c>
      <c r="N42" s="144" t="s">
        <v>140</v>
      </c>
      <c r="O42" s="152" t="s">
        <v>141</v>
      </c>
      <c r="P42" s="771" t="s">
        <v>142</v>
      </c>
      <c r="Q42" s="771" t="s">
        <v>143</v>
      </c>
      <c r="R42" s="774" t="s">
        <v>621</v>
      </c>
      <c r="S42" s="774" t="s">
        <v>622</v>
      </c>
    </row>
    <row r="43" spans="1:32" ht="12.45" customHeight="1">
      <c r="A43" s="425" t="str">
        <f t="shared" si="5"/>
        <v>4 Gbps</v>
      </c>
      <c r="B43" s="425" t="str">
        <f t="shared" si="5"/>
        <v>MMF</v>
      </c>
      <c r="C43" s="217" t="str">
        <f t="shared" si="5"/>
        <v>SFF/SFP</v>
      </c>
      <c r="D43" s="221">
        <f t="shared" ref="D43:Q53" si="7">D26*D9</f>
        <v>3988584</v>
      </c>
      <c r="E43" s="222">
        <f t="shared" si="7"/>
        <v>3486493</v>
      </c>
      <c r="F43" s="223">
        <f t="shared" si="7"/>
        <v>3344727.9999999935</v>
      </c>
      <c r="G43" s="224">
        <f t="shared" si="7"/>
        <v>3035982.9999999977</v>
      </c>
      <c r="H43" s="221">
        <f t="shared" si="7"/>
        <v>0</v>
      </c>
      <c r="I43" s="222">
        <f t="shared" si="7"/>
        <v>0</v>
      </c>
      <c r="J43" s="223">
        <f t="shared" si="7"/>
        <v>0</v>
      </c>
      <c r="K43" s="224">
        <f t="shared" si="7"/>
        <v>0</v>
      </c>
      <c r="L43" s="243">
        <f t="shared" si="7"/>
        <v>0</v>
      </c>
      <c r="M43" s="243">
        <f t="shared" si="7"/>
        <v>0</v>
      </c>
      <c r="N43" s="243">
        <f t="shared" ref="N43" si="8">N26*N9</f>
        <v>0</v>
      </c>
      <c r="O43" s="243">
        <f t="shared" ref="O43:S51" si="9">O26*O9</f>
        <v>0</v>
      </c>
      <c r="P43" s="1716" t="s">
        <v>638</v>
      </c>
      <c r="Q43" s="243"/>
      <c r="R43" s="243"/>
      <c r="S43" s="243"/>
    </row>
    <row r="44" spans="1:32">
      <c r="A44" s="837" t="str">
        <f t="shared" si="5"/>
        <v>4 Gbps</v>
      </c>
      <c r="B44" s="225" t="str">
        <f t="shared" si="5"/>
        <v>4 km</v>
      </c>
      <c r="C44" s="226" t="str">
        <f t="shared" si="5"/>
        <v>SFF/SFP</v>
      </c>
      <c r="D44" s="221">
        <f t="shared" si="7"/>
        <v>0</v>
      </c>
      <c r="E44" s="222">
        <f t="shared" si="7"/>
        <v>0</v>
      </c>
      <c r="F44" s="223">
        <f t="shared" si="7"/>
        <v>0</v>
      </c>
      <c r="G44" s="224">
        <f t="shared" si="7"/>
        <v>0</v>
      </c>
      <c r="H44" s="221">
        <f t="shared" si="7"/>
        <v>0</v>
      </c>
      <c r="I44" s="222">
        <f t="shared" si="7"/>
        <v>0</v>
      </c>
      <c r="J44" s="223">
        <f t="shared" si="7"/>
        <v>0</v>
      </c>
      <c r="K44" s="224">
        <f t="shared" si="7"/>
        <v>0</v>
      </c>
      <c r="L44" s="222">
        <f t="shared" si="7"/>
        <v>0</v>
      </c>
      <c r="M44" s="222">
        <f t="shared" si="7"/>
        <v>0</v>
      </c>
      <c r="N44" s="222">
        <f t="shared" ref="N44" si="10">N27*N10</f>
        <v>0</v>
      </c>
      <c r="O44" s="243">
        <f t="shared" si="7"/>
        <v>0</v>
      </c>
      <c r="P44" s="243">
        <f t="shared" si="7"/>
        <v>0</v>
      </c>
      <c r="Q44" s="243">
        <f t="shared" si="7"/>
        <v>0</v>
      </c>
      <c r="R44" s="222">
        <f t="shared" si="9"/>
        <v>0</v>
      </c>
      <c r="S44" s="243">
        <f t="shared" si="9"/>
        <v>0</v>
      </c>
    </row>
    <row r="45" spans="1:32">
      <c r="A45" s="837" t="str">
        <f t="shared" si="5"/>
        <v>4 Gbps</v>
      </c>
      <c r="B45" s="225" t="str">
        <f t="shared" si="5"/>
        <v>10 km</v>
      </c>
      <c r="C45" s="226" t="str">
        <f t="shared" si="5"/>
        <v>SFF/SFP</v>
      </c>
      <c r="D45" s="221">
        <f t="shared" si="7"/>
        <v>235378.99999999997</v>
      </c>
      <c r="E45" s="222">
        <f t="shared" si="7"/>
        <v>327764</v>
      </c>
      <c r="F45" s="223">
        <f t="shared" si="7"/>
        <v>145646.99999999994</v>
      </c>
      <c r="G45" s="224">
        <f t="shared" si="7"/>
        <v>396852.00000000012</v>
      </c>
      <c r="H45" s="221">
        <f t="shared" si="7"/>
        <v>0</v>
      </c>
      <c r="I45" s="222">
        <f t="shared" si="7"/>
        <v>0</v>
      </c>
      <c r="J45" s="223">
        <f t="shared" si="7"/>
        <v>0</v>
      </c>
      <c r="K45" s="224">
        <f t="shared" si="7"/>
        <v>0</v>
      </c>
      <c r="L45" s="222">
        <f t="shared" si="7"/>
        <v>0</v>
      </c>
      <c r="M45" s="222">
        <f t="shared" si="7"/>
        <v>0</v>
      </c>
      <c r="N45" s="222">
        <f t="shared" ref="N45" si="11">N28*N11</f>
        <v>0</v>
      </c>
      <c r="O45" s="243">
        <f t="shared" si="7"/>
        <v>0</v>
      </c>
      <c r="P45" s="243">
        <f t="shared" si="7"/>
        <v>0</v>
      </c>
      <c r="Q45" s="243">
        <f t="shared" si="7"/>
        <v>0</v>
      </c>
      <c r="R45" s="222">
        <f t="shared" si="9"/>
        <v>0</v>
      </c>
      <c r="S45" s="243">
        <f t="shared" si="9"/>
        <v>0</v>
      </c>
    </row>
    <row r="46" spans="1:32">
      <c r="A46" s="231" t="str">
        <f t="shared" si="5"/>
        <v>8 Gbps</v>
      </c>
      <c r="B46" s="231" t="str">
        <f t="shared" si="5"/>
        <v>MMF</v>
      </c>
      <c r="C46" s="232" t="str">
        <f t="shared" si="5"/>
        <v>SFP+</v>
      </c>
      <c r="D46" s="221">
        <f t="shared" si="7"/>
        <v>9300919</v>
      </c>
      <c r="E46" s="222">
        <f t="shared" si="7"/>
        <v>7187218</v>
      </c>
      <c r="F46" s="223">
        <f t="shared" si="7"/>
        <v>6898931.9999999953</v>
      </c>
      <c r="G46" s="224">
        <f t="shared" si="7"/>
        <v>7450930.9999999925</v>
      </c>
      <c r="H46" s="221">
        <f t="shared" si="7"/>
        <v>0</v>
      </c>
      <c r="I46" s="222">
        <f t="shared" si="7"/>
        <v>0</v>
      </c>
      <c r="J46" s="223">
        <f t="shared" si="7"/>
        <v>0</v>
      </c>
      <c r="K46" s="224">
        <f t="shared" si="7"/>
        <v>0</v>
      </c>
      <c r="L46" s="221">
        <f t="shared" si="7"/>
        <v>0</v>
      </c>
      <c r="M46" s="222">
        <f t="shared" si="7"/>
        <v>0</v>
      </c>
      <c r="N46" s="222">
        <f t="shared" ref="N46" si="12">N29*N12</f>
        <v>0</v>
      </c>
      <c r="O46" s="243">
        <f t="shared" si="7"/>
        <v>0</v>
      </c>
      <c r="P46" s="243">
        <f t="shared" si="7"/>
        <v>0</v>
      </c>
      <c r="Q46" s="243">
        <f t="shared" si="7"/>
        <v>0</v>
      </c>
      <c r="R46" s="222">
        <f t="shared" si="9"/>
        <v>0</v>
      </c>
      <c r="S46" s="243">
        <f t="shared" si="9"/>
        <v>0</v>
      </c>
    </row>
    <row r="47" spans="1:32">
      <c r="A47" s="837" t="str">
        <f t="shared" si="5"/>
        <v>8 Gbps</v>
      </c>
      <c r="B47" s="225" t="str">
        <f t="shared" si="5"/>
        <v>10 km</v>
      </c>
      <c r="C47" s="226" t="str">
        <f t="shared" si="5"/>
        <v>SFP+</v>
      </c>
      <c r="D47" s="229">
        <f t="shared" si="7"/>
        <v>1107378</v>
      </c>
      <c r="E47" s="230">
        <f t="shared" si="7"/>
        <v>1088410</v>
      </c>
      <c r="F47" s="235">
        <f t="shared" si="7"/>
        <v>913655.00000000035</v>
      </c>
      <c r="G47" s="236">
        <f t="shared" si="7"/>
        <v>679911</v>
      </c>
      <c r="H47" s="229">
        <f t="shared" si="7"/>
        <v>0</v>
      </c>
      <c r="I47" s="230">
        <f t="shared" si="7"/>
        <v>0</v>
      </c>
      <c r="J47" s="235">
        <f t="shared" si="7"/>
        <v>0</v>
      </c>
      <c r="K47" s="236">
        <f t="shared" si="7"/>
        <v>0</v>
      </c>
      <c r="L47" s="229">
        <f t="shared" si="7"/>
        <v>0</v>
      </c>
      <c r="M47" s="230">
        <f t="shared" si="7"/>
        <v>0</v>
      </c>
      <c r="N47" s="230">
        <f t="shared" ref="N47" si="13">N30*N13</f>
        <v>0</v>
      </c>
      <c r="O47" s="243">
        <f t="shared" si="7"/>
        <v>0</v>
      </c>
      <c r="P47" s="243">
        <f t="shared" si="7"/>
        <v>0</v>
      </c>
      <c r="Q47" s="243">
        <f t="shared" si="7"/>
        <v>0</v>
      </c>
      <c r="R47" s="230">
        <f t="shared" si="9"/>
        <v>0</v>
      </c>
      <c r="S47" s="243">
        <f t="shared" si="9"/>
        <v>0</v>
      </c>
    </row>
    <row r="48" spans="1:32">
      <c r="A48" s="837" t="str">
        <f t="shared" si="5"/>
        <v>16 Gbps</v>
      </c>
      <c r="B48" s="213" t="str">
        <f t="shared" si="5"/>
        <v>MMF</v>
      </c>
      <c r="C48" s="237" t="str">
        <f t="shared" si="5"/>
        <v>SFP+</v>
      </c>
      <c r="D48" s="229">
        <f t="shared" si="7"/>
        <v>26386903</v>
      </c>
      <c r="E48" s="230">
        <f t="shared" si="7"/>
        <v>33502091.000000004</v>
      </c>
      <c r="F48" s="235">
        <f t="shared" si="7"/>
        <v>34103250.99999997</v>
      </c>
      <c r="G48" s="236">
        <f t="shared" si="7"/>
        <v>29823095</v>
      </c>
      <c r="H48" s="229">
        <f t="shared" si="7"/>
        <v>0</v>
      </c>
      <c r="I48" s="230">
        <f t="shared" si="7"/>
        <v>0</v>
      </c>
      <c r="J48" s="235">
        <f t="shared" si="7"/>
        <v>0</v>
      </c>
      <c r="K48" s="236">
        <f t="shared" si="7"/>
        <v>0</v>
      </c>
      <c r="L48" s="229">
        <f t="shared" si="7"/>
        <v>0</v>
      </c>
      <c r="M48" s="230">
        <f t="shared" si="7"/>
        <v>0</v>
      </c>
      <c r="N48" s="230">
        <f t="shared" ref="N48" si="14">N31*N14</f>
        <v>0</v>
      </c>
      <c r="O48" s="243">
        <f t="shared" si="7"/>
        <v>0</v>
      </c>
      <c r="P48" s="243">
        <f t="shared" si="7"/>
        <v>0</v>
      </c>
      <c r="Q48" s="243">
        <f t="shared" si="7"/>
        <v>0</v>
      </c>
      <c r="R48" s="230">
        <f t="shared" si="9"/>
        <v>0</v>
      </c>
      <c r="S48" s="243">
        <f t="shared" si="9"/>
        <v>0</v>
      </c>
    </row>
    <row r="49" spans="1:19">
      <c r="A49" s="837" t="str">
        <f t="shared" si="5"/>
        <v>16 Gbps</v>
      </c>
      <c r="B49" s="238" t="str">
        <f t="shared" si="5"/>
        <v>10 km</v>
      </c>
      <c r="C49" s="237" t="str">
        <f t="shared" si="5"/>
        <v>SFP+</v>
      </c>
      <c r="D49" s="229">
        <f t="shared" si="7"/>
        <v>3999054</v>
      </c>
      <c r="E49" s="230">
        <f t="shared" si="7"/>
        <v>6517867</v>
      </c>
      <c r="F49" s="235">
        <f t="shared" si="7"/>
        <v>6835525.9999999851</v>
      </c>
      <c r="G49" s="236">
        <f t="shared" si="7"/>
        <v>8508159</v>
      </c>
      <c r="H49" s="229">
        <f t="shared" si="7"/>
        <v>0</v>
      </c>
      <c r="I49" s="230">
        <f t="shared" si="7"/>
        <v>0</v>
      </c>
      <c r="J49" s="235">
        <f t="shared" si="7"/>
        <v>0</v>
      </c>
      <c r="K49" s="236">
        <f t="shared" si="7"/>
        <v>0</v>
      </c>
      <c r="L49" s="229">
        <f t="shared" si="7"/>
        <v>0</v>
      </c>
      <c r="M49" s="230">
        <f t="shared" si="7"/>
        <v>0</v>
      </c>
      <c r="N49" s="230">
        <f t="shared" ref="N49" si="15">N32*N15</f>
        <v>0</v>
      </c>
      <c r="O49" s="243">
        <f t="shared" si="7"/>
        <v>0</v>
      </c>
      <c r="P49" s="243">
        <f t="shared" si="7"/>
        <v>0</v>
      </c>
      <c r="Q49" s="243">
        <f t="shared" si="7"/>
        <v>0</v>
      </c>
      <c r="R49" s="230">
        <f t="shared" si="9"/>
        <v>0</v>
      </c>
      <c r="S49" s="243">
        <f t="shared" si="9"/>
        <v>0</v>
      </c>
    </row>
    <row r="50" spans="1:19">
      <c r="A50" s="838" t="str">
        <f t="shared" si="5"/>
        <v>32 Gbps</v>
      </c>
      <c r="B50" s="213" t="str">
        <f t="shared" si="5"/>
        <v>MMF</v>
      </c>
      <c r="C50" s="534" t="str">
        <f t="shared" si="5"/>
        <v>SFP28</v>
      </c>
      <c r="D50" s="531">
        <f t="shared" si="7"/>
        <v>10702736</v>
      </c>
      <c r="E50" s="531">
        <f t="shared" si="7"/>
        <v>9662554</v>
      </c>
      <c r="F50" s="532">
        <f t="shared" si="7"/>
        <v>10191305.999999998</v>
      </c>
      <c r="G50" s="533">
        <f t="shared" si="7"/>
        <v>12296684.999999994</v>
      </c>
      <c r="H50" s="531">
        <f t="shared" si="7"/>
        <v>0</v>
      </c>
      <c r="I50" s="531">
        <f t="shared" si="7"/>
        <v>0</v>
      </c>
      <c r="J50" s="532">
        <f t="shared" si="7"/>
        <v>0</v>
      </c>
      <c r="K50" s="533">
        <f t="shared" si="7"/>
        <v>0</v>
      </c>
      <c r="L50" s="531">
        <f t="shared" si="7"/>
        <v>0</v>
      </c>
      <c r="M50" s="531">
        <f t="shared" si="7"/>
        <v>0</v>
      </c>
      <c r="N50" s="531">
        <f t="shared" ref="N50" si="16">N33*N16</f>
        <v>0</v>
      </c>
      <c r="O50" s="243">
        <f t="shared" si="7"/>
        <v>0</v>
      </c>
      <c r="P50" s="243">
        <f t="shared" si="7"/>
        <v>0</v>
      </c>
      <c r="Q50" s="243">
        <f t="shared" si="7"/>
        <v>0</v>
      </c>
      <c r="R50" s="531">
        <f t="shared" si="9"/>
        <v>0</v>
      </c>
      <c r="S50" s="243">
        <f t="shared" si="9"/>
        <v>0</v>
      </c>
    </row>
    <row r="51" spans="1:19">
      <c r="A51" s="838" t="str">
        <f t="shared" si="5"/>
        <v>32 Gbps</v>
      </c>
      <c r="B51" s="238" t="str">
        <f t="shared" si="5"/>
        <v>10 km</v>
      </c>
      <c r="C51" s="534" t="str">
        <f t="shared" si="5"/>
        <v>SFP28</v>
      </c>
      <c r="D51" s="531">
        <f t="shared" si="7"/>
        <v>934010</v>
      </c>
      <c r="E51" s="531">
        <f t="shared" si="7"/>
        <v>940376.99999999988</v>
      </c>
      <c r="F51" s="532">
        <f t="shared" si="7"/>
        <v>937596.00000000105</v>
      </c>
      <c r="G51" s="533">
        <f t="shared" si="7"/>
        <v>1204589.9999999995</v>
      </c>
      <c r="H51" s="531">
        <f t="shared" si="7"/>
        <v>0</v>
      </c>
      <c r="I51" s="531">
        <f t="shared" si="7"/>
        <v>0</v>
      </c>
      <c r="J51" s="532">
        <f t="shared" si="7"/>
        <v>0</v>
      </c>
      <c r="K51" s="533">
        <f t="shared" si="7"/>
        <v>0</v>
      </c>
      <c r="L51" s="531">
        <f t="shared" si="7"/>
        <v>0</v>
      </c>
      <c r="M51" s="531">
        <f t="shared" si="7"/>
        <v>0</v>
      </c>
      <c r="N51" s="531">
        <f t="shared" ref="N51" si="17">N34*N17</f>
        <v>0</v>
      </c>
      <c r="O51" s="243">
        <f t="shared" si="7"/>
        <v>0</v>
      </c>
      <c r="P51" s="243">
        <f t="shared" si="7"/>
        <v>0</v>
      </c>
      <c r="Q51" s="243">
        <f t="shared" si="7"/>
        <v>0</v>
      </c>
      <c r="R51" s="531">
        <f t="shared" si="9"/>
        <v>0</v>
      </c>
      <c r="S51" s="243">
        <f t="shared" si="9"/>
        <v>0</v>
      </c>
    </row>
    <row r="52" spans="1:19">
      <c r="A52" s="838" t="str">
        <f t="shared" si="5"/>
        <v>64 Gbps</v>
      </c>
      <c r="B52" s="238" t="str">
        <f t="shared" si="5"/>
        <v>100 m</v>
      </c>
      <c r="C52" s="534" t="str">
        <f t="shared" si="5"/>
        <v>all</v>
      </c>
      <c r="D52" s="531"/>
      <c r="E52" s="531"/>
      <c r="F52" s="532"/>
      <c r="G52" s="533"/>
      <c r="H52" s="531"/>
      <c r="I52" s="531"/>
      <c r="J52" s="532"/>
      <c r="K52" s="533"/>
      <c r="L52" s="531"/>
      <c r="M52" s="531"/>
      <c r="N52" s="531"/>
      <c r="O52" s="243">
        <f t="shared" si="7"/>
        <v>0</v>
      </c>
      <c r="P52" s="243">
        <f t="shared" si="7"/>
        <v>0</v>
      </c>
      <c r="Q52" s="243">
        <f t="shared" si="7"/>
        <v>0</v>
      </c>
      <c r="R52" s="222">
        <f t="shared" ref="R52" si="18">R35*R18</f>
        <v>0</v>
      </c>
      <c r="S52" s="243">
        <f t="shared" ref="S52" si="19">S35*S18</f>
        <v>0</v>
      </c>
    </row>
    <row r="53" spans="1:19">
      <c r="A53" s="838" t="str">
        <f t="shared" si="5"/>
        <v>64 Gbps</v>
      </c>
      <c r="B53" s="238" t="str">
        <f t="shared" si="5"/>
        <v>10 km</v>
      </c>
      <c r="C53" s="534" t="str">
        <f t="shared" si="5"/>
        <v>all</v>
      </c>
      <c r="D53" s="531"/>
      <c r="E53" s="531"/>
      <c r="F53" s="532"/>
      <c r="G53" s="533"/>
      <c r="H53" s="531"/>
      <c r="I53" s="531"/>
      <c r="J53" s="532"/>
      <c r="K53" s="533"/>
      <c r="L53" s="531"/>
      <c r="M53" s="531"/>
      <c r="N53" s="531"/>
      <c r="O53" s="243">
        <f t="shared" si="7"/>
        <v>0</v>
      </c>
      <c r="P53" s="243">
        <f t="shared" si="7"/>
        <v>0</v>
      </c>
      <c r="Q53" s="243">
        <f t="shared" si="7"/>
        <v>0</v>
      </c>
      <c r="R53" s="243">
        <f t="shared" ref="R53" si="20">R36*R19</f>
        <v>0</v>
      </c>
      <c r="S53" s="243">
        <f t="shared" ref="S53" si="21">S36*S19</f>
        <v>0</v>
      </c>
    </row>
    <row r="54" spans="1:19" ht="13.8" thickBot="1">
      <c r="A54" s="839" t="str">
        <f>A20</f>
        <v>Miscellaneous</v>
      </c>
      <c r="B54" s="835" t="s">
        <v>260</v>
      </c>
      <c r="C54" s="836" t="s">
        <v>260</v>
      </c>
      <c r="D54" s="240">
        <f t="shared" ref="D54:R54" si="22">D37*D20</f>
        <v>84313.800113613106</v>
      </c>
      <c r="E54" s="1443">
        <f t="shared" si="22"/>
        <v>159120.43203781801</v>
      </c>
      <c r="F54" s="1444">
        <f t="shared" si="22"/>
        <v>0</v>
      </c>
      <c r="G54" s="1445">
        <f t="shared" si="22"/>
        <v>0</v>
      </c>
      <c r="H54" s="240">
        <f t="shared" si="22"/>
        <v>0</v>
      </c>
      <c r="I54" s="1443">
        <f t="shared" si="22"/>
        <v>0</v>
      </c>
      <c r="J54" s="1444">
        <f t="shared" si="22"/>
        <v>0</v>
      </c>
      <c r="K54" s="1445">
        <f t="shared" si="22"/>
        <v>0</v>
      </c>
      <c r="L54" s="531">
        <f t="shared" si="22"/>
        <v>0</v>
      </c>
      <c r="M54" s="1153">
        <f t="shared" si="22"/>
        <v>0</v>
      </c>
      <c r="N54" s="1153">
        <f t="shared" ref="N54" si="23">N37*N20</f>
        <v>0</v>
      </c>
      <c r="O54" s="243">
        <f t="shared" si="22"/>
        <v>0</v>
      </c>
      <c r="P54" s="243">
        <f t="shared" si="22"/>
        <v>0</v>
      </c>
      <c r="Q54" s="243">
        <f t="shared" si="22"/>
        <v>0</v>
      </c>
      <c r="R54" s="1153">
        <f t="shared" si="22"/>
        <v>0</v>
      </c>
      <c r="S54" s="243">
        <f t="shared" ref="S54" si="24">S37*S20</f>
        <v>0</v>
      </c>
    </row>
    <row r="55" spans="1:19" ht="13.8" thickBot="1">
      <c r="A55" s="777" t="str">
        <f>A21</f>
        <v>Total</v>
      </c>
      <c r="B55" s="535">
        <f>B21</f>
        <v>0</v>
      </c>
      <c r="C55" s="536">
        <f>C21</f>
        <v>0</v>
      </c>
      <c r="D55" s="277">
        <f t="shared" ref="D55:I55" si="25">SUM(D43:D54)</f>
        <v>56739276.800113611</v>
      </c>
      <c r="E55" s="278">
        <f t="shared" si="25"/>
        <v>62871894.432037815</v>
      </c>
      <c r="F55" s="278">
        <f t="shared" si="25"/>
        <v>63370640.99999994</v>
      </c>
      <c r="G55" s="279">
        <f t="shared" si="25"/>
        <v>63396205.999999985</v>
      </c>
      <c r="H55" s="277">
        <f t="shared" si="25"/>
        <v>0</v>
      </c>
      <c r="I55" s="278">
        <f t="shared" si="25"/>
        <v>0</v>
      </c>
      <c r="J55" s="278">
        <f t="shared" ref="J55:S55" si="26">SUM(J43:J54)</f>
        <v>0</v>
      </c>
      <c r="K55" s="1152">
        <f t="shared" si="26"/>
        <v>0</v>
      </c>
      <c r="L55" s="277">
        <f t="shared" si="26"/>
        <v>0</v>
      </c>
      <c r="M55" s="278">
        <f t="shared" si="26"/>
        <v>0</v>
      </c>
      <c r="N55" s="278">
        <f t="shared" ref="N55" si="27">SUM(N43:N54)</f>
        <v>0</v>
      </c>
      <c r="O55" s="279">
        <f t="shared" si="26"/>
        <v>0</v>
      </c>
      <c r="P55" s="277">
        <f t="shared" si="26"/>
        <v>0</v>
      </c>
      <c r="Q55" s="278">
        <f t="shared" si="26"/>
        <v>0</v>
      </c>
      <c r="R55" s="278">
        <f t="shared" si="26"/>
        <v>0</v>
      </c>
      <c r="S55" s="279">
        <f t="shared" si="26"/>
        <v>0</v>
      </c>
    </row>
    <row r="56" spans="1:19">
      <c r="A56" s="126"/>
      <c r="B56" s="126"/>
      <c r="C56" s="126"/>
      <c r="D56" s="126"/>
      <c r="E56" s="126"/>
      <c r="F56" s="126"/>
      <c r="G56" s="126"/>
      <c r="H56" s="126"/>
      <c r="I56" s="126"/>
      <c r="J56" s="126"/>
      <c r="K56" s="126"/>
      <c r="L56" s="126"/>
      <c r="M56" s="126"/>
      <c r="N56" s="126"/>
      <c r="O56" s="126"/>
      <c r="P56" s="126"/>
      <c r="Q56" s="126"/>
      <c r="R56" s="126"/>
      <c r="S56" s="126"/>
    </row>
    <row r="57" spans="1:19">
      <c r="A57" s="126"/>
      <c r="B57" s="126"/>
      <c r="C57" s="126"/>
      <c r="D57" s="126"/>
      <c r="E57" s="126"/>
      <c r="F57" s="126"/>
      <c r="G57" s="126"/>
      <c r="H57" s="126"/>
      <c r="I57" s="126"/>
      <c r="J57" s="126"/>
      <c r="K57" s="126"/>
      <c r="L57" s="126"/>
      <c r="M57" s="126"/>
      <c r="N57" s="126"/>
      <c r="O57" s="126"/>
      <c r="P57" s="126"/>
      <c r="Q57" s="126"/>
      <c r="R57" s="126"/>
      <c r="S57" s="126"/>
    </row>
    <row r="58" spans="1:19">
      <c r="A58" s="126"/>
      <c r="B58" s="126"/>
      <c r="C58" s="126"/>
      <c r="D58" s="126"/>
      <c r="E58" s="126"/>
      <c r="F58" s="126"/>
      <c r="G58" s="126"/>
      <c r="H58" s="126"/>
      <c r="I58" s="126"/>
      <c r="J58" s="126"/>
      <c r="K58" s="126"/>
      <c r="L58" s="126"/>
      <c r="M58" s="126"/>
      <c r="N58" s="126"/>
      <c r="O58" s="126"/>
      <c r="P58" s="126"/>
      <c r="Q58" s="126"/>
      <c r="R58" s="126"/>
      <c r="S58" s="126"/>
    </row>
    <row r="59" spans="1:19">
      <c r="A59" s="126"/>
      <c r="B59" s="126"/>
      <c r="C59" s="126"/>
      <c r="D59" s="126"/>
      <c r="E59" s="126"/>
      <c r="F59" s="126"/>
      <c r="G59" s="126"/>
      <c r="H59" s="126"/>
      <c r="I59" s="126"/>
      <c r="J59" s="126"/>
      <c r="K59" s="126"/>
      <c r="L59" s="126"/>
      <c r="M59" s="126"/>
      <c r="N59" s="126"/>
      <c r="O59" s="126"/>
      <c r="P59" s="126"/>
      <c r="Q59" s="126"/>
      <c r="R59" s="126"/>
      <c r="S59" s="126"/>
    </row>
    <row r="60" spans="1:19">
      <c r="A60" s="126"/>
      <c r="B60" s="126"/>
      <c r="C60" s="126"/>
      <c r="D60" s="126"/>
      <c r="E60" s="126"/>
      <c r="F60" s="126"/>
      <c r="G60" s="126"/>
      <c r="H60" s="126"/>
      <c r="I60" s="126"/>
      <c r="J60" s="126"/>
      <c r="K60" s="126"/>
      <c r="L60" s="126"/>
      <c r="M60" s="126"/>
      <c r="N60" s="126"/>
      <c r="O60" s="126"/>
      <c r="P60" s="126"/>
      <c r="Q60" s="126"/>
      <c r="R60" s="126"/>
      <c r="S60" s="126"/>
    </row>
    <row r="61" spans="1:19">
      <c r="A61" s="126"/>
      <c r="B61" s="126"/>
      <c r="C61" s="126"/>
      <c r="D61" s="126"/>
      <c r="E61" s="126"/>
      <c r="F61" s="126"/>
      <c r="G61" s="126"/>
      <c r="H61" s="126"/>
      <c r="I61" s="126"/>
      <c r="J61" s="126"/>
      <c r="K61" s="126"/>
      <c r="L61" s="126"/>
      <c r="M61" s="126"/>
      <c r="N61" s="126"/>
      <c r="O61" s="126"/>
      <c r="P61" s="126"/>
      <c r="Q61" s="126"/>
      <c r="R61" s="126"/>
      <c r="S61" s="126"/>
    </row>
    <row r="62" spans="1:19">
      <c r="A62" s="126"/>
      <c r="B62" s="126"/>
      <c r="C62" s="126"/>
      <c r="D62" s="126"/>
      <c r="E62" s="126"/>
      <c r="F62" s="126"/>
      <c r="G62" s="126"/>
      <c r="H62" s="126"/>
      <c r="I62" s="126"/>
      <c r="J62" s="126"/>
      <c r="K62" s="126"/>
      <c r="L62" s="126"/>
      <c r="M62" s="126"/>
      <c r="N62" s="126"/>
      <c r="O62" s="126"/>
      <c r="P62" s="126"/>
      <c r="Q62" s="126"/>
      <c r="R62" s="126"/>
      <c r="S62" s="126"/>
    </row>
    <row r="63" spans="1:19">
      <c r="A63" s="126"/>
      <c r="B63" s="126"/>
      <c r="C63" s="126"/>
      <c r="D63" s="126"/>
      <c r="E63" s="126"/>
      <c r="F63" s="126"/>
      <c r="G63" s="126"/>
      <c r="H63" s="126"/>
      <c r="I63" s="126"/>
      <c r="J63" s="126"/>
      <c r="K63" s="126"/>
      <c r="L63" s="126"/>
      <c r="M63" s="126"/>
      <c r="N63" s="126"/>
      <c r="O63" s="126"/>
      <c r="P63" s="126"/>
      <c r="Q63" s="126"/>
      <c r="R63" s="126"/>
      <c r="S63" s="126"/>
    </row>
    <row r="64" spans="1:19">
      <c r="A64" s="126"/>
      <c r="B64" s="126"/>
      <c r="C64" s="126"/>
      <c r="D64" s="126"/>
      <c r="E64" s="126"/>
      <c r="F64" s="126"/>
      <c r="G64" s="126"/>
      <c r="H64" s="126"/>
      <c r="I64" s="126"/>
      <c r="J64" s="126"/>
      <c r="K64" s="126"/>
      <c r="L64" s="126"/>
      <c r="M64" s="126"/>
      <c r="N64" s="126"/>
      <c r="O64" s="126"/>
      <c r="P64" s="126"/>
      <c r="Q64" s="126"/>
      <c r="R64" s="126"/>
      <c r="S64" s="126"/>
    </row>
    <row r="65" spans="1:19">
      <c r="A65" s="126"/>
      <c r="B65" s="126"/>
      <c r="C65" s="126"/>
      <c r="D65" s="126"/>
      <c r="E65" s="126"/>
      <c r="F65" s="126"/>
      <c r="G65" s="126"/>
      <c r="H65" s="126"/>
      <c r="I65" s="126"/>
      <c r="J65" s="126"/>
      <c r="K65" s="126"/>
      <c r="L65" s="126"/>
      <c r="M65" s="126"/>
      <c r="N65" s="126"/>
      <c r="O65" s="126"/>
      <c r="P65" s="126"/>
      <c r="Q65" s="126"/>
      <c r="R65" s="126"/>
      <c r="S65" s="126"/>
    </row>
    <row r="66" spans="1:19">
      <c r="A66" s="126"/>
      <c r="B66" s="126"/>
      <c r="C66" s="126"/>
      <c r="D66" s="126"/>
      <c r="E66" s="126"/>
      <c r="F66" s="126"/>
      <c r="G66" s="126"/>
      <c r="H66" s="126"/>
      <c r="I66" s="126"/>
      <c r="J66" s="126"/>
      <c r="K66" s="126"/>
      <c r="L66" s="126"/>
      <c r="M66" s="126"/>
      <c r="N66" s="126"/>
      <c r="O66" s="126"/>
      <c r="P66" s="126"/>
      <c r="Q66" s="126"/>
      <c r="R66" s="126"/>
      <c r="S66" s="126"/>
    </row>
    <row r="67" spans="1:19">
      <c r="A67" s="126"/>
      <c r="B67" s="126"/>
      <c r="C67" s="126"/>
      <c r="D67" s="126"/>
      <c r="E67" s="126"/>
      <c r="F67" s="126"/>
      <c r="G67" s="126"/>
      <c r="H67" s="126"/>
      <c r="I67" s="126"/>
      <c r="J67" s="126"/>
      <c r="K67" s="126"/>
      <c r="L67" s="126"/>
      <c r="M67" s="126"/>
      <c r="N67" s="126"/>
      <c r="O67" s="126"/>
      <c r="P67" s="126"/>
      <c r="Q67" s="126"/>
      <c r="R67" s="126"/>
      <c r="S67" s="126"/>
    </row>
    <row r="68" spans="1:19">
      <c r="A68" s="126"/>
      <c r="B68" s="126"/>
      <c r="C68" s="126"/>
      <c r="D68" s="126"/>
      <c r="E68" s="126"/>
      <c r="F68" s="126"/>
      <c r="G68" s="126"/>
      <c r="H68" s="126"/>
      <c r="I68" s="126"/>
      <c r="J68" s="126"/>
      <c r="K68" s="126"/>
      <c r="L68" s="126"/>
      <c r="M68" s="126"/>
      <c r="N68" s="126"/>
      <c r="O68" s="126"/>
      <c r="P68" s="126"/>
      <c r="Q68" s="126"/>
      <c r="R68" s="126"/>
      <c r="S68" s="126"/>
    </row>
    <row r="69" spans="1:19">
      <c r="A69" s="126"/>
      <c r="B69" s="126"/>
      <c r="C69" s="126"/>
      <c r="D69" s="126"/>
      <c r="E69" s="126"/>
      <c r="F69" s="126"/>
      <c r="G69" s="126"/>
      <c r="H69" s="126"/>
      <c r="I69" s="126"/>
      <c r="J69" s="126"/>
      <c r="K69" s="126"/>
      <c r="L69" s="126"/>
      <c r="M69" s="126"/>
      <c r="N69" s="126"/>
      <c r="O69" s="126"/>
      <c r="P69" s="126"/>
      <c r="Q69" s="126"/>
      <c r="R69" s="126"/>
      <c r="S69" s="126"/>
    </row>
    <row r="70" spans="1:19">
      <c r="A70" s="126"/>
      <c r="B70" s="126"/>
      <c r="C70" s="126"/>
      <c r="D70" s="126"/>
      <c r="E70" s="126"/>
      <c r="F70" s="126"/>
      <c r="G70" s="126"/>
      <c r="H70" s="126"/>
      <c r="I70" s="126"/>
      <c r="J70" s="126"/>
      <c r="K70" s="126"/>
      <c r="L70" s="126"/>
      <c r="M70" s="126"/>
      <c r="N70" s="126"/>
      <c r="O70" s="126"/>
      <c r="P70" s="126"/>
      <c r="Q70" s="126"/>
      <c r="R70" s="126"/>
      <c r="S70" s="126"/>
    </row>
    <row r="71" spans="1:19">
      <c r="A71" s="126"/>
      <c r="B71" s="126"/>
      <c r="C71" s="126"/>
      <c r="D71" s="126"/>
      <c r="E71" s="126"/>
      <c r="F71" s="126"/>
      <c r="G71" s="126"/>
      <c r="H71" s="126"/>
      <c r="I71" s="126"/>
      <c r="J71" s="126"/>
      <c r="K71" s="126"/>
      <c r="L71" s="126"/>
      <c r="M71" s="126"/>
      <c r="N71" s="126"/>
      <c r="O71" s="126"/>
      <c r="P71" s="126"/>
      <c r="Q71" s="126"/>
      <c r="R71" s="126"/>
      <c r="S71" s="126"/>
    </row>
    <row r="72" spans="1:19">
      <c r="A72" s="126"/>
      <c r="B72" s="126"/>
      <c r="C72" s="126"/>
      <c r="D72" s="126"/>
      <c r="E72" s="126"/>
      <c r="F72" s="126"/>
      <c r="G72" s="126"/>
      <c r="H72" s="126"/>
      <c r="I72" s="126"/>
      <c r="J72" s="126"/>
      <c r="K72" s="126"/>
      <c r="L72" s="126"/>
      <c r="M72" s="126"/>
      <c r="N72" s="126"/>
      <c r="O72" s="126"/>
      <c r="P72" s="126"/>
      <c r="Q72" s="126"/>
      <c r="R72" s="126"/>
      <c r="S72" s="126"/>
    </row>
    <row r="73" spans="1:19">
      <c r="A73" s="126"/>
      <c r="B73" s="126"/>
      <c r="C73" s="126"/>
      <c r="D73" s="126"/>
      <c r="E73" s="126"/>
      <c r="F73" s="126"/>
      <c r="G73" s="126"/>
      <c r="H73" s="126"/>
      <c r="I73" s="126"/>
      <c r="J73" s="126"/>
      <c r="K73" s="126"/>
      <c r="L73" s="126"/>
      <c r="M73" s="126"/>
      <c r="N73" s="126"/>
      <c r="O73" s="126"/>
      <c r="P73" s="126"/>
      <c r="Q73" s="126"/>
      <c r="R73" s="126"/>
      <c r="S73" s="126"/>
    </row>
    <row r="74" spans="1:19">
      <c r="A74" s="126"/>
      <c r="B74" s="126"/>
      <c r="C74" s="126"/>
      <c r="D74" s="126"/>
      <c r="E74" s="126"/>
      <c r="F74" s="126"/>
      <c r="G74" s="126"/>
      <c r="H74" s="126"/>
      <c r="I74" s="126"/>
      <c r="J74" s="126"/>
      <c r="K74" s="126"/>
      <c r="L74" s="126"/>
      <c r="M74" s="126"/>
      <c r="N74" s="126"/>
      <c r="O74" s="126"/>
      <c r="P74" s="126"/>
      <c r="Q74" s="126"/>
      <c r="R74" s="126"/>
      <c r="S74" s="126"/>
    </row>
    <row r="75" spans="1:19">
      <c r="A75" s="126"/>
      <c r="B75" s="126"/>
      <c r="C75" s="126"/>
      <c r="D75" s="126"/>
      <c r="E75" s="126"/>
      <c r="F75" s="126"/>
      <c r="G75" s="126"/>
      <c r="H75" s="126"/>
      <c r="I75" s="126"/>
      <c r="J75" s="126"/>
      <c r="K75" s="126"/>
      <c r="L75" s="126"/>
      <c r="M75" s="126"/>
      <c r="N75" s="126"/>
      <c r="O75" s="126"/>
      <c r="P75" s="126"/>
      <c r="Q75" s="126"/>
      <c r="R75" s="126"/>
      <c r="S75" s="126"/>
    </row>
    <row r="76" spans="1:19">
      <c r="A76" s="126"/>
      <c r="B76" s="126"/>
      <c r="C76" s="126"/>
      <c r="D76" s="126"/>
      <c r="E76" s="126"/>
      <c r="F76" s="126"/>
      <c r="G76" s="126"/>
      <c r="H76" s="126"/>
      <c r="I76" s="126"/>
      <c r="J76" s="126"/>
      <c r="K76" s="126"/>
      <c r="L76" s="126"/>
      <c r="M76" s="126"/>
      <c r="N76" s="126"/>
      <c r="O76" s="126"/>
      <c r="P76" s="126"/>
      <c r="Q76" s="126"/>
      <c r="R76" s="126"/>
      <c r="S76" s="126"/>
    </row>
    <row r="77" spans="1:19">
      <c r="A77" s="126"/>
      <c r="B77" s="126"/>
      <c r="C77" s="126"/>
      <c r="D77" s="126"/>
      <c r="E77" s="126"/>
      <c r="F77" s="126"/>
      <c r="G77" s="126"/>
      <c r="H77" s="126"/>
      <c r="I77" s="126"/>
      <c r="J77" s="126"/>
      <c r="K77" s="126"/>
      <c r="L77" s="126"/>
      <c r="M77" s="126"/>
      <c r="N77" s="126"/>
      <c r="O77" s="126"/>
      <c r="P77" s="126"/>
      <c r="Q77" s="126"/>
      <c r="R77" s="126"/>
      <c r="S77" s="126"/>
    </row>
    <row r="78" spans="1:19">
      <c r="A78" s="126"/>
      <c r="B78" s="126"/>
      <c r="C78" s="126"/>
      <c r="D78" s="126"/>
      <c r="E78" s="126"/>
      <c r="F78" s="126"/>
      <c r="G78" s="126"/>
      <c r="H78" s="126"/>
      <c r="I78" s="126"/>
      <c r="J78" s="126"/>
      <c r="K78" s="126"/>
      <c r="L78" s="126"/>
      <c r="M78" s="126"/>
      <c r="N78" s="126"/>
      <c r="O78" s="126"/>
      <c r="P78" s="126"/>
      <c r="Q78" s="126"/>
      <c r="R78" s="126"/>
      <c r="S78" s="126"/>
    </row>
    <row r="79" spans="1:19">
      <c r="A79" s="126"/>
      <c r="B79" s="126"/>
      <c r="C79" s="126"/>
      <c r="D79" s="126"/>
      <c r="E79" s="126"/>
      <c r="F79" s="126"/>
      <c r="G79" s="126"/>
      <c r="H79" s="126"/>
      <c r="I79" s="126"/>
      <c r="J79" s="126"/>
      <c r="K79" s="126"/>
      <c r="L79" s="126"/>
      <c r="M79" s="126"/>
      <c r="N79" s="126"/>
      <c r="O79" s="126"/>
      <c r="P79" s="126"/>
      <c r="Q79" s="126"/>
      <c r="R79" s="126"/>
      <c r="S79" s="126"/>
    </row>
    <row r="80" spans="1:19">
      <c r="A80" s="126"/>
      <c r="B80" s="126"/>
      <c r="C80" s="126"/>
      <c r="D80" s="126"/>
      <c r="E80" s="126"/>
      <c r="F80" s="126"/>
      <c r="G80" s="126"/>
      <c r="H80" s="126"/>
      <c r="I80" s="126"/>
      <c r="J80" s="126"/>
      <c r="K80" s="126"/>
      <c r="L80" s="126"/>
      <c r="M80" s="126"/>
      <c r="N80" s="126"/>
      <c r="O80" s="126"/>
      <c r="P80" s="126"/>
      <c r="Q80" s="126"/>
      <c r="R80" s="126"/>
      <c r="S80" s="126"/>
    </row>
    <row r="81" spans="1:19">
      <c r="A81" s="126"/>
      <c r="B81" s="126"/>
      <c r="C81" s="126"/>
      <c r="D81" s="126"/>
      <c r="E81" s="126"/>
      <c r="F81" s="126"/>
      <c r="G81" s="126"/>
      <c r="H81" s="126"/>
      <c r="I81" s="126"/>
      <c r="J81" s="126"/>
      <c r="K81" s="126"/>
      <c r="L81" s="126"/>
      <c r="M81" s="126"/>
      <c r="N81" s="126"/>
      <c r="O81" s="126"/>
      <c r="P81" s="126"/>
      <c r="Q81" s="126"/>
      <c r="R81" s="126"/>
      <c r="S81" s="126"/>
    </row>
    <row r="82" spans="1:19">
      <c r="A82" s="126"/>
      <c r="B82" s="126"/>
      <c r="C82" s="126"/>
      <c r="D82" s="126"/>
      <c r="E82" s="126"/>
      <c r="F82" s="126"/>
      <c r="G82" s="126"/>
      <c r="H82" s="126"/>
      <c r="I82" s="126"/>
      <c r="J82" s="126"/>
      <c r="K82" s="126"/>
      <c r="L82" s="126"/>
      <c r="M82" s="126"/>
      <c r="N82" s="126"/>
      <c r="O82" s="126"/>
      <c r="P82" s="126"/>
      <c r="Q82" s="126"/>
      <c r="R82" s="126"/>
      <c r="S82" s="126"/>
    </row>
    <row r="83" spans="1:19">
      <c r="A83" s="126"/>
      <c r="B83" s="126"/>
      <c r="C83" s="126"/>
      <c r="D83" s="126"/>
      <c r="E83" s="126"/>
      <c r="F83" s="126"/>
      <c r="G83" s="126"/>
      <c r="H83" s="126"/>
      <c r="I83" s="126"/>
      <c r="J83" s="126"/>
      <c r="K83" s="126"/>
      <c r="L83" s="126"/>
      <c r="M83" s="126"/>
      <c r="N83" s="126"/>
      <c r="O83" s="126"/>
      <c r="P83" s="126"/>
      <c r="Q83" s="126"/>
      <c r="R83" s="126"/>
      <c r="S83" s="126"/>
    </row>
    <row r="84" spans="1:19">
      <c r="A84" s="126"/>
      <c r="B84" s="126"/>
      <c r="C84" s="126"/>
      <c r="D84" s="126"/>
      <c r="E84" s="126"/>
      <c r="F84" s="126"/>
      <c r="G84" s="126"/>
      <c r="H84" s="126"/>
      <c r="I84" s="126"/>
      <c r="J84" s="126"/>
      <c r="K84" s="126"/>
      <c r="L84" s="126"/>
      <c r="M84" s="126"/>
      <c r="N84" s="126"/>
      <c r="O84" s="126"/>
      <c r="P84" s="126"/>
      <c r="Q84" s="126"/>
      <c r="R84" s="126"/>
      <c r="S84" s="126"/>
    </row>
    <row r="85" spans="1:19">
      <c r="A85" s="126"/>
      <c r="B85" s="126"/>
      <c r="C85" s="126"/>
      <c r="D85" s="126"/>
      <c r="E85" s="126"/>
      <c r="F85" s="126"/>
      <c r="G85" s="126"/>
      <c r="H85" s="126"/>
      <c r="I85" s="126"/>
      <c r="J85" s="126"/>
      <c r="K85" s="126"/>
      <c r="L85" s="126"/>
      <c r="M85" s="126"/>
      <c r="N85" s="126"/>
      <c r="O85" s="126"/>
      <c r="P85" s="126"/>
      <c r="Q85" s="126"/>
      <c r="R85" s="126"/>
      <c r="S85" s="126"/>
    </row>
    <row r="86" spans="1:19">
      <c r="A86" s="126"/>
      <c r="B86" s="126"/>
      <c r="C86" s="126"/>
      <c r="D86" s="126"/>
      <c r="E86" s="126"/>
      <c r="F86" s="126"/>
      <c r="G86" s="126"/>
      <c r="H86" s="126"/>
      <c r="I86" s="126"/>
      <c r="J86" s="126"/>
      <c r="K86" s="126"/>
      <c r="L86" s="126"/>
      <c r="M86" s="126"/>
      <c r="N86" s="126"/>
      <c r="O86" s="126"/>
      <c r="P86" s="126"/>
      <c r="Q86" s="126"/>
      <c r="R86" s="126"/>
      <c r="S86" s="126"/>
    </row>
    <row r="87" spans="1:19">
      <c r="A87" s="126"/>
      <c r="B87" s="126"/>
      <c r="C87" s="126"/>
      <c r="D87" s="126"/>
      <c r="E87" s="126"/>
      <c r="F87" s="126"/>
      <c r="G87" s="126"/>
      <c r="H87" s="126"/>
      <c r="I87" s="126"/>
      <c r="J87" s="126"/>
      <c r="K87" s="126"/>
      <c r="L87" s="126"/>
      <c r="M87" s="126"/>
      <c r="N87" s="126"/>
      <c r="O87" s="126"/>
      <c r="P87" s="126"/>
      <c r="Q87" s="126"/>
      <c r="R87" s="126"/>
      <c r="S87" s="126"/>
    </row>
    <row r="88" spans="1:19">
      <c r="A88" s="126"/>
      <c r="B88" s="126"/>
      <c r="C88" s="126"/>
      <c r="D88" s="126"/>
      <c r="E88" s="126"/>
      <c r="F88" s="126"/>
      <c r="G88" s="126"/>
      <c r="H88" s="126"/>
      <c r="I88" s="126"/>
      <c r="J88" s="126"/>
      <c r="K88" s="126"/>
      <c r="L88" s="126"/>
      <c r="M88" s="126"/>
      <c r="N88" s="126"/>
      <c r="O88" s="126"/>
      <c r="P88" s="126"/>
      <c r="Q88" s="126"/>
      <c r="R88" s="126"/>
      <c r="S88" s="126"/>
    </row>
    <row r="89" spans="1:19">
      <c r="A89" s="126"/>
      <c r="B89" s="126"/>
      <c r="C89" s="126"/>
      <c r="D89" s="126"/>
      <c r="E89" s="126"/>
      <c r="F89" s="126"/>
      <c r="G89" s="126"/>
      <c r="H89" s="126"/>
      <c r="I89" s="126"/>
      <c r="J89" s="126"/>
      <c r="K89" s="126"/>
      <c r="L89" s="126"/>
      <c r="M89" s="126"/>
      <c r="N89" s="126"/>
      <c r="O89" s="126"/>
      <c r="P89" s="126"/>
      <c r="Q89" s="126"/>
      <c r="R89" s="126"/>
      <c r="S89" s="126"/>
    </row>
    <row r="90" spans="1:19">
      <c r="A90" s="126"/>
      <c r="B90" s="126"/>
      <c r="C90" s="126"/>
      <c r="D90" s="126"/>
      <c r="E90" s="126"/>
      <c r="F90" s="126"/>
      <c r="G90" s="126"/>
      <c r="H90" s="126"/>
      <c r="I90" s="126"/>
      <c r="J90" s="126"/>
      <c r="K90" s="126"/>
      <c r="L90" s="126"/>
      <c r="M90" s="126"/>
      <c r="N90" s="126"/>
      <c r="O90" s="126"/>
      <c r="P90" s="126"/>
      <c r="Q90" s="126"/>
      <c r="R90" s="126"/>
      <c r="S90" s="126"/>
    </row>
    <row r="91" spans="1:19">
      <c r="A91" s="126"/>
      <c r="B91" s="126"/>
      <c r="C91" s="126"/>
      <c r="D91" s="126"/>
      <c r="E91" s="126"/>
      <c r="F91" s="126"/>
      <c r="G91" s="126"/>
      <c r="H91" s="126"/>
      <c r="I91" s="126"/>
      <c r="J91" s="126"/>
      <c r="K91" s="126"/>
      <c r="L91" s="126"/>
      <c r="M91" s="126"/>
      <c r="N91" s="126"/>
      <c r="O91" s="126"/>
      <c r="P91" s="126"/>
      <c r="Q91" s="126"/>
      <c r="R91" s="126"/>
      <c r="S91" s="126"/>
    </row>
    <row r="92" spans="1:19">
      <c r="A92" s="126"/>
      <c r="B92" s="126"/>
      <c r="C92" s="126"/>
      <c r="D92" s="126"/>
      <c r="E92" s="126"/>
      <c r="F92" s="126"/>
      <c r="G92" s="126"/>
      <c r="H92" s="126"/>
      <c r="I92" s="126"/>
      <c r="J92" s="126"/>
      <c r="K92" s="126"/>
      <c r="L92" s="126"/>
      <c r="M92" s="126"/>
      <c r="N92" s="126"/>
      <c r="O92" s="126"/>
      <c r="P92" s="126"/>
      <c r="Q92" s="126"/>
      <c r="R92" s="126"/>
      <c r="S92" s="126"/>
    </row>
    <row r="93" spans="1:19">
      <c r="A93" s="126"/>
      <c r="B93" s="126"/>
      <c r="C93" s="126"/>
      <c r="D93" s="126"/>
      <c r="E93" s="126"/>
      <c r="F93" s="126"/>
      <c r="G93" s="126"/>
      <c r="H93" s="126"/>
      <c r="I93" s="126"/>
      <c r="J93" s="126"/>
      <c r="K93" s="126"/>
      <c r="L93" s="126"/>
      <c r="M93" s="126"/>
      <c r="N93" s="126"/>
      <c r="O93" s="126"/>
      <c r="P93" s="126"/>
      <c r="Q93" s="126"/>
      <c r="R93" s="126"/>
      <c r="S93" s="126"/>
    </row>
    <row r="94" spans="1:19">
      <c r="A94" s="126"/>
      <c r="B94" s="126"/>
      <c r="C94" s="126"/>
      <c r="D94" s="126"/>
      <c r="E94" s="126"/>
      <c r="F94" s="126"/>
      <c r="G94" s="126"/>
      <c r="H94" s="126"/>
      <c r="I94" s="126"/>
      <c r="J94" s="126"/>
      <c r="K94" s="126"/>
      <c r="L94" s="126"/>
      <c r="M94" s="126"/>
      <c r="N94" s="126"/>
      <c r="O94" s="126"/>
      <c r="P94" s="126"/>
      <c r="Q94" s="126"/>
      <c r="R94" s="126"/>
      <c r="S94" s="126"/>
    </row>
    <row r="95" spans="1:19">
      <c r="A95" s="126"/>
      <c r="B95" s="126"/>
      <c r="C95" s="126"/>
      <c r="D95" s="126"/>
      <c r="E95" s="126"/>
      <c r="F95" s="126"/>
      <c r="G95" s="126"/>
      <c r="H95" s="126"/>
      <c r="I95" s="126"/>
      <c r="J95" s="126"/>
      <c r="K95" s="126"/>
      <c r="L95" s="126"/>
      <c r="M95" s="126"/>
      <c r="N95" s="126"/>
      <c r="O95" s="126"/>
      <c r="P95" s="126"/>
      <c r="Q95" s="126"/>
      <c r="R95" s="126"/>
      <c r="S95" s="126"/>
    </row>
    <row r="96" spans="1:19">
      <c r="A96" s="126"/>
      <c r="B96" s="126"/>
      <c r="C96" s="126"/>
      <c r="D96" s="126"/>
      <c r="E96" s="126"/>
      <c r="F96" s="126"/>
      <c r="G96" s="126"/>
      <c r="H96" s="126"/>
      <c r="I96" s="126"/>
      <c r="J96" s="126"/>
      <c r="K96" s="126"/>
      <c r="L96" s="126"/>
      <c r="M96" s="126"/>
      <c r="N96" s="126"/>
      <c r="O96" s="126"/>
      <c r="P96" s="126"/>
      <c r="Q96" s="126"/>
      <c r="R96" s="126"/>
      <c r="S96" s="126"/>
    </row>
    <row r="97" spans="1:19">
      <c r="A97" s="126"/>
      <c r="B97" s="126"/>
      <c r="C97" s="126"/>
      <c r="D97" s="126"/>
      <c r="E97" s="126"/>
      <c r="F97" s="126"/>
      <c r="G97" s="126"/>
      <c r="H97" s="126"/>
      <c r="I97" s="126"/>
      <c r="J97" s="126"/>
      <c r="K97" s="126"/>
      <c r="L97" s="126"/>
      <c r="M97" s="126"/>
      <c r="N97" s="126"/>
      <c r="O97" s="126"/>
      <c r="P97" s="126"/>
      <c r="Q97" s="126"/>
      <c r="R97" s="126"/>
      <c r="S97" s="126"/>
    </row>
    <row r="98" spans="1:19">
      <c r="A98" s="126"/>
      <c r="B98" s="126"/>
      <c r="C98" s="126"/>
      <c r="D98" s="126"/>
      <c r="E98" s="126"/>
      <c r="F98" s="126"/>
      <c r="G98" s="126"/>
      <c r="H98" s="126"/>
      <c r="I98" s="126"/>
      <c r="J98" s="126"/>
      <c r="K98" s="126"/>
      <c r="L98" s="126"/>
      <c r="M98" s="126"/>
      <c r="N98" s="126"/>
      <c r="O98" s="126"/>
      <c r="P98" s="126"/>
      <c r="Q98" s="126"/>
      <c r="R98" s="126"/>
      <c r="S98" s="126"/>
    </row>
    <row r="99" spans="1:19">
      <c r="A99" s="126"/>
      <c r="B99" s="126"/>
      <c r="C99" s="126"/>
      <c r="D99" s="126"/>
      <c r="E99" s="126"/>
      <c r="F99" s="126"/>
      <c r="G99" s="126"/>
      <c r="H99" s="126"/>
      <c r="I99" s="126"/>
      <c r="J99" s="126"/>
      <c r="K99" s="126"/>
      <c r="L99" s="126"/>
      <c r="M99" s="126"/>
      <c r="N99" s="126"/>
      <c r="O99" s="126"/>
      <c r="P99" s="126"/>
      <c r="Q99" s="126"/>
      <c r="R99" s="126"/>
      <c r="S99" s="126"/>
    </row>
    <row r="100" spans="1:19">
      <c r="A100" s="126"/>
      <c r="B100" s="126"/>
      <c r="C100" s="126"/>
      <c r="D100" s="126"/>
      <c r="E100" s="126"/>
      <c r="F100" s="126"/>
      <c r="G100" s="126"/>
      <c r="H100" s="126"/>
      <c r="I100" s="126"/>
      <c r="J100" s="126"/>
      <c r="K100" s="126"/>
      <c r="L100" s="126"/>
      <c r="M100" s="126"/>
      <c r="N100" s="126"/>
      <c r="O100" s="126"/>
      <c r="P100" s="126"/>
      <c r="Q100" s="126"/>
      <c r="R100" s="126"/>
      <c r="S100" s="126"/>
    </row>
    <row r="101" spans="1:19">
      <c r="A101" s="126"/>
      <c r="B101" s="126"/>
      <c r="C101" s="126"/>
      <c r="D101" s="126"/>
      <c r="E101" s="126"/>
      <c r="F101" s="126"/>
      <c r="G101" s="126"/>
      <c r="H101" s="126"/>
      <c r="I101" s="126"/>
      <c r="J101" s="126"/>
      <c r="K101" s="126"/>
      <c r="L101" s="126"/>
      <c r="M101" s="126"/>
      <c r="N101" s="126"/>
      <c r="O101" s="126"/>
      <c r="P101" s="126"/>
      <c r="Q101" s="126"/>
      <c r="R101" s="126"/>
      <c r="S101" s="126"/>
    </row>
    <row r="102" spans="1:19">
      <c r="A102" s="126"/>
      <c r="B102" s="126"/>
      <c r="C102" s="126"/>
      <c r="D102" s="126"/>
      <c r="E102" s="126"/>
      <c r="F102" s="126"/>
      <c r="G102" s="126"/>
      <c r="H102" s="126"/>
      <c r="I102" s="126"/>
      <c r="J102" s="126"/>
      <c r="K102" s="126"/>
      <c r="L102" s="126"/>
      <c r="M102" s="126"/>
      <c r="N102" s="126"/>
      <c r="O102" s="126"/>
      <c r="P102" s="126"/>
      <c r="Q102" s="126"/>
      <c r="R102" s="126"/>
      <c r="S102" s="126"/>
    </row>
    <row r="103" spans="1:19">
      <c r="A103" s="126"/>
      <c r="B103" s="126"/>
      <c r="C103" s="126"/>
      <c r="D103" s="126"/>
      <c r="E103" s="126"/>
      <c r="F103" s="126"/>
      <c r="G103" s="126"/>
      <c r="H103" s="126"/>
      <c r="I103" s="126"/>
      <c r="J103" s="126"/>
      <c r="K103" s="126"/>
      <c r="L103" s="126"/>
      <c r="M103" s="126"/>
      <c r="N103" s="126"/>
      <c r="O103" s="126"/>
      <c r="P103" s="126"/>
      <c r="Q103" s="126"/>
      <c r="R103" s="126"/>
      <c r="S103" s="126"/>
    </row>
    <row r="104" spans="1:19">
      <c r="A104" s="126"/>
      <c r="B104" s="126"/>
      <c r="C104" s="126"/>
      <c r="D104" s="126"/>
      <c r="E104" s="126"/>
      <c r="F104" s="126"/>
      <c r="G104" s="126"/>
      <c r="H104" s="126"/>
      <c r="I104" s="126"/>
      <c r="J104" s="126"/>
      <c r="K104" s="126"/>
      <c r="L104" s="126"/>
      <c r="M104" s="126"/>
      <c r="N104" s="126"/>
      <c r="O104" s="126"/>
      <c r="P104" s="126"/>
      <c r="Q104" s="126"/>
      <c r="R104" s="126"/>
      <c r="S104" s="126"/>
    </row>
    <row r="105" spans="1:19">
      <c r="A105" s="126"/>
      <c r="B105" s="126"/>
      <c r="C105" s="126"/>
      <c r="D105" s="126"/>
      <c r="E105" s="126"/>
      <c r="F105" s="126"/>
      <c r="G105" s="126"/>
      <c r="H105" s="126"/>
      <c r="I105" s="126"/>
      <c r="J105" s="126"/>
      <c r="K105" s="126"/>
      <c r="L105" s="126"/>
      <c r="M105" s="126"/>
      <c r="N105" s="126"/>
      <c r="O105" s="126"/>
      <c r="P105" s="126"/>
      <c r="Q105" s="126"/>
      <c r="R105" s="126"/>
      <c r="S105" s="126"/>
    </row>
    <row r="106" spans="1:19">
      <c r="A106" s="126"/>
      <c r="B106" s="126"/>
      <c r="C106" s="126"/>
      <c r="D106" s="126"/>
      <c r="E106" s="126"/>
      <c r="F106" s="126"/>
      <c r="G106" s="126"/>
      <c r="H106" s="126"/>
      <c r="I106" s="126"/>
      <c r="J106" s="126"/>
      <c r="K106" s="126"/>
      <c r="L106" s="126"/>
      <c r="M106" s="126"/>
      <c r="N106" s="126"/>
      <c r="O106" s="126"/>
      <c r="P106" s="126"/>
      <c r="Q106" s="126"/>
      <c r="R106" s="126"/>
      <c r="S106" s="126"/>
    </row>
    <row r="107" spans="1:19">
      <c r="A107" s="126"/>
      <c r="B107" s="126"/>
      <c r="C107" s="126"/>
      <c r="D107" s="126"/>
      <c r="E107" s="126"/>
      <c r="F107" s="126"/>
      <c r="G107" s="126"/>
      <c r="H107" s="126"/>
      <c r="I107" s="126"/>
      <c r="J107" s="126"/>
      <c r="K107" s="126"/>
      <c r="L107" s="126"/>
      <c r="M107" s="126"/>
      <c r="N107" s="126"/>
      <c r="O107" s="126"/>
      <c r="P107" s="126"/>
      <c r="Q107" s="126"/>
      <c r="R107" s="126"/>
      <c r="S107" s="126"/>
    </row>
    <row r="108" spans="1:19">
      <c r="A108" s="126"/>
      <c r="B108" s="126"/>
      <c r="C108" s="126"/>
      <c r="D108" s="126"/>
      <c r="E108" s="126"/>
      <c r="F108" s="126"/>
      <c r="G108" s="126"/>
      <c r="H108" s="126"/>
      <c r="I108" s="126"/>
      <c r="J108" s="126"/>
      <c r="K108" s="126"/>
      <c r="L108" s="126"/>
      <c r="M108" s="126"/>
      <c r="N108" s="126"/>
      <c r="O108" s="126"/>
      <c r="P108" s="126"/>
      <c r="Q108" s="126"/>
      <c r="R108" s="126"/>
      <c r="S108" s="126"/>
    </row>
    <row r="109" spans="1:19">
      <c r="A109" s="126"/>
      <c r="B109" s="126"/>
      <c r="C109" s="126"/>
      <c r="D109" s="126"/>
      <c r="E109" s="126"/>
      <c r="F109" s="126"/>
      <c r="G109" s="126"/>
      <c r="H109" s="126"/>
      <c r="I109" s="126"/>
      <c r="J109" s="126"/>
      <c r="K109" s="126"/>
      <c r="L109" s="126"/>
      <c r="M109" s="126"/>
      <c r="N109" s="126"/>
      <c r="O109" s="126"/>
      <c r="P109" s="126"/>
      <c r="Q109" s="126"/>
      <c r="R109" s="126"/>
      <c r="S109" s="126"/>
    </row>
    <row r="110" spans="1:19">
      <c r="A110" s="126"/>
      <c r="B110" s="126"/>
      <c r="C110" s="126"/>
      <c r="D110" s="126"/>
      <c r="E110" s="126"/>
      <c r="F110" s="126"/>
      <c r="G110" s="126"/>
      <c r="H110" s="126"/>
      <c r="I110" s="126"/>
      <c r="J110" s="126"/>
      <c r="K110" s="126"/>
      <c r="L110" s="126"/>
      <c r="M110" s="126"/>
      <c r="N110" s="126"/>
      <c r="O110" s="126"/>
      <c r="P110" s="126"/>
      <c r="Q110" s="126"/>
      <c r="R110" s="126"/>
      <c r="S110" s="126"/>
    </row>
    <row r="111" spans="1:19">
      <c r="A111" s="126"/>
      <c r="B111" s="126"/>
      <c r="C111" s="126"/>
      <c r="D111" s="126"/>
      <c r="E111" s="126"/>
      <c r="F111" s="126"/>
      <c r="G111" s="126"/>
      <c r="H111" s="126"/>
      <c r="I111" s="126"/>
      <c r="J111" s="126"/>
      <c r="K111" s="126"/>
      <c r="L111" s="126"/>
      <c r="M111" s="126"/>
      <c r="N111" s="126"/>
      <c r="O111" s="126"/>
      <c r="P111" s="126"/>
      <c r="Q111" s="126"/>
      <c r="R111" s="126"/>
      <c r="S111" s="126"/>
    </row>
    <row r="112" spans="1:19">
      <c r="A112" s="126"/>
      <c r="B112" s="126"/>
      <c r="C112" s="126"/>
      <c r="D112" s="126"/>
      <c r="E112" s="126"/>
      <c r="F112" s="126"/>
      <c r="G112" s="126"/>
      <c r="H112" s="126"/>
      <c r="I112" s="126"/>
      <c r="J112" s="126"/>
      <c r="K112" s="126"/>
      <c r="L112" s="126"/>
      <c r="M112" s="126"/>
      <c r="N112" s="126"/>
      <c r="O112" s="126"/>
      <c r="P112" s="126"/>
      <c r="Q112" s="126"/>
      <c r="R112" s="126"/>
      <c r="S112" s="126"/>
    </row>
    <row r="113" spans="1:19">
      <c r="A113" s="126"/>
      <c r="B113" s="126"/>
      <c r="C113" s="126"/>
      <c r="D113" s="126"/>
      <c r="E113" s="126"/>
      <c r="F113" s="126"/>
      <c r="G113" s="126"/>
      <c r="H113" s="126"/>
      <c r="I113" s="126"/>
      <c r="J113" s="126"/>
      <c r="K113" s="126"/>
      <c r="L113" s="126"/>
      <c r="M113" s="126"/>
      <c r="N113" s="126"/>
      <c r="O113" s="126"/>
      <c r="P113" s="126"/>
      <c r="Q113" s="126"/>
      <c r="R113" s="126"/>
      <c r="S113" s="126"/>
    </row>
    <row r="114" spans="1:19">
      <c r="A114" s="126"/>
      <c r="B114" s="126"/>
      <c r="C114" s="126"/>
      <c r="D114" s="126"/>
      <c r="E114" s="126"/>
      <c r="F114" s="126"/>
      <c r="G114" s="126"/>
      <c r="H114" s="126"/>
      <c r="I114" s="126"/>
      <c r="J114" s="126"/>
      <c r="K114" s="126"/>
      <c r="L114" s="126"/>
      <c r="M114" s="126"/>
      <c r="N114" s="126"/>
      <c r="O114" s="126"/>
      <c r="P114" s="126"/>
      <c r="Q114" s="126"/>
      <c r="R114" s="126"/>
      <c r="S114" s="126"/>
    </row>
    <row r="115" spans="1:19">
      <c r="A115" s="126"/>
      <c r="B115" s="126"/>
      <c r="C115" s="126"/>
      <c r="D115" s="126"/>
      <c r="E115" s="126"/>
      <c r="F115" s="126"/>
      <c r="G115" s="126"/>
      <c r="H115" s="126"/>
      <c r="I115" s="126"/>
      <c r="J115" s="126"/>
      <c r="K115" s="126"/>
      <c r="L115" s="126"/>
      <c r="M115" s="126"/>
      <c r="N115" s="126"/>
      <c r="O115" s="126"/>
      <c r="P115" s="126"/>
      <c r="Q115" s="126"/>
      <c r="R115" s="126"/>
      <c r="S115" s="126"/>
    </row>
    <row r="116" spans="1:19">
      <c r="A116" s="126"/>
      <c r="B116" s="126"/>
      <c r="C116" s="126"/>
      <c r="D116" s="126"/>
      <c r="E116" s="126"/>
      <c r="F116" s="126"/>
      <c r="G116" s="126"/>
      <c r="H116" s="126"/>
      <c r="I116" s="126"/>
      <c r="J116" s="126"/>
      <c r="K116" s="126"/>
      <c r="L116" s="126"/>
      <c r="M116" s="126"/>
      <c r="N116" s="126"/>
      <c r="O116" s="126"/>
      <c r="P116" s="126"/>
      <c r="Q116" s="126"/>
      <c r="R116" s="126"/>
      <c r="S116" s="126"/>
    </row>
    <row r="117" spans="1:19">
      <c r="A117" s="126"/>
      <c r="B117" s="126"/>
      <c r="C117" s="126"/>
      <c r="D117" s="126"/>
      <c r="E117" s="126"/>
      <c r="F117" s="126"/>
      <c r="G117" s="126"/>
      <c r="H117" s="126"/>
      <c r="I117" s="126"/>
      <c r="J117" s="126"/>
      <c r="K117" s="126"/>
      <c r="L117" s="126"/>
      <c r="M117" s="126"/>
      <c r="N117" s="126"/>
      <c r="O117" s="126"/>
      <c r="P117" s="126"/>
      <c r="Q117" s="126"/>
      <c r="R117" s="126"/>
      <c r="S117" s="126"/>
    </row>
    <row r="118" spans="1:19">
      <c r="A118" s="126"/>
      <c r="B118" s="126"/>
      <c r="C118" s="126"/>
      <c r="D118" s="126"/>
      <c r="E118" s="126"/>
      <c r="F118" s="126"/>
      <c r="G118" s="126"/>
      <c r="H118" s="126"/>
      <c r="I118" s="126"/>
      <c r="J118" s="126"/>
      <c r="K118" s="126"/>
      <c r="L118" s="126"/>
      <c r="M118" s="126"/>
      <c r="N118" s="126"/>
      <c r="O118" s="126"/>
      <c r="P118" s="126"/>
      <c r="Q118" s="126"/>
      <c r="R118" s="126"/>
      <c r="S118" s="126"/>
    </row>
    <row r="119" spans="1:19">
      <c r="A119" s="126"/>
      <c r="B119" s="126"/>
      <c r="C119" s="126"/>
      <c r="D119" s="126"/>
      <c r="E119" s="126"/>
      <c r="F119" s="126"/>
      <c r="G119" s="126"/>
      <c r="H119" s="126"/>
      <c r="I119" s="126"/>
      <c r="J119" s="126"/>
      <c r="K119" s="126"/>
      <c r="L119" s="126"/>
      <c r="M119" s="126"/>
      <c r="N119" s="126"/>
      <c r="O119" s="126"/>
      <c r="P119" s="126"/>
      <c r="Q119" s="126"/>
      <c r="R119" s="126"/>
      <c r="S119" s="126"/>
    </row>
    <row r="120" spans="1:19">
      <c r="A120" s="126"/>
      <c r="B120" s="126"/>
      <c r="C120" s="126"/>
      <c r="D120" s="126"/>
      <c r="E120" s="126"/>
      <c r="F120" s="126"/>
      <c r="G120" s="126"/>
      <c r="H120" s="126"/>
      <c r="I120" s="126"/>
      <c r="J120" s="126"/>
      <c r="K120" s="126"/>
      <c r="L120" s="126"/>
      <c r="M120" s="126"/>
      <c r="N120" s="126"/>
      <c r="O120" s="126"/>
      <c r="P120" s="126"/>
      <c r="Q120" s="126"/>
      <c r="R120" s="126"/>
      <c r="S120" s="126"/>
    </row>
    <row r="121" spans="1:19">
      <c r="A121" s="126"/>
      <c r="B121" s="126"/>
      <c r="C121" s="126"/>
      <c r="D121" s="126"/>
      <c r="E121" s="126"/>
      <c r="F121" s="126"/>
      <c r="G121" s="126"/>
      <c r="H121" s="126"/>
      <c r="I121" s="126"/>
      <c r="J121" s="126"/>
      <c r="K121" s="126"/>
      <c r="L121" s="126"/>
      <c r="M121" s="126"/>
      <c r="N121" s="126"/>
      <c r="O121" s="126"/>
      <c r="P121" s="126"/>
      <c r="Q121" s="126"/>
      <c r="R121" s="126"/>
      <c r="S121" s="126"/>
    </row>
    <row r="122" spans="1:19">
      <c r="A122" s="126"/>
      <c r="B122" s="126"/>
      <c r="C122" s="126"/>
      <c r="D122" s="126"/>
      <c r="E122" s="126"/>
      <c r="F122" s="126"/>
      <c r="G122" s="126"/>
      <c r="H122" s="126"/>
      <c r="I122" s="126"/>
      <c r="J122" s="126"/>
      <c r="K122" s="126"/>
      <c r="L122" s="126"/>
      <c r="M122" s="126"/>
      <c r="N122" s="126"/>
      <c r="O122" s="126"/>
      <c r="P122" s="126"/>
      <c r="Q122" s="126"/>
      <c r="R122" s="126"/>
      <c r="S122" s="126"/>
    </row>
    <row r="123" spans="1:19">
      <c r="A123" s="126"/>
      <c r="B123" s="126"/>
      <c r="C123" s="126"/>
      <c r="D123" s="126"/>
      <c r="E123" s="126"/>
      <c r="F123" s="126"/>
      <c r="G123" s="126"/>
      <c r="H123" s="126"/>
      <c r="I123" s="126"/>
      <c r="J123" s="126"/>
      <c r="K123" s="126"/>
      <c r="L123" s="126"/>
      <c r="M123" s="126"/>
      <c r="N123" s="126"/>
      <c r="O123" s="126"/>
      <c r="P123" s="126"/>
      <c r="Q123" s="126"/>
      <c r="R123" s="126"/>
      <c r="S123" s="126"/>
    </row>
    <row r="124" spans="1:19">
      <c r="A124" s="126"/>
      <c r="B124" s="126"/>
      <c r="C124" s="126"/>
      <c r="D124" s="126"/>
      <c r="E124" s="126"/>
      <c r="F124" s="126"/>
      <c r="G124" s="126"/>
      <c r="H124" s="126"/>
      <c r="I124" s="126"/>
      <c r="J124" s="126"/>
      <c r="K124" s="126"/>
      <c r="L124" s="126"/>
      <c r="M124" s="126"/>
      <c r="N124" s="126"/>
      <c r="O124" s="126"/>
      <c r="P124" s="126"/>
      <c r="Q124" s="126"/>
      <c r="R124" s="126"/>
      <c r="S124" s="126"/>
    </row>
    <row r="125" spans="1:19">
      <c r="A125" s="126"/>
      <c r="B125" s="126"/>
      <c r="C125" s="126"/>
      <c r="D125" s="126"/>
      <c r="E125" s="126"/>
      <c r="F125" s="126"/>
      <c r="G125" s="126"/>
      <c r="H125" s="126"/>
      <c r="I125" s="126"/>
      <c r="J125" s="126"/>
      <c r="K125" s="126"/>
      <c r="L125" s="126"/>
      <c r="M125" s="126"/>
      <c r="N125" s="126"/>
      <c r="O125" s="126"/>
      <c r="P125" s="126"/>
      <c r="Q125" s="126"/>
      <c r="R125" s="126"/>
      <c r="S125" s="126"/>
    </row>
    <row r="126" spans="1:19">
      <c r="A126" s="126"/>
      <c r="B126" s="126"/>
      <c r="C126" s="126"/>
      <c r="D126" s="126"/>
      <c r="E126" s="126"/>
      <c r="F126" s="126"/>
      <c r="G126" s="126"/>
      <c r="H126" s="126"/>
      <c r="I126" s="126"/>
      <c r="J126" s="126"/>
      <c r="K126" s="126"/>
      <c r="L126" s="126"/>
      <c r="M126" s="126"/>
      <c r="N126" s="126"/>
      <c r="O126" s="126"/>
      <c r="P126" s="126"/>
      <c r="Q126" s="126"/>
      <c r="R126" s="126"/>
      <c r="S126" s="126"/>
    </row>
    <row r="127" spans="1:19">
      <c r="A127" s="126"/>
      <c r="B127" s="126"/>
      <c r="C127" s="126"/>
      <c r="D127" s="126"/>
      <c r="E127" s="126"/>
      <c r="F127" s="126"/>
      <c r="G127" s="126"/>
      <c r="H127" s="126"/>
      <c r="I127" s="126"/>
      <c r="J127" s="126"/>
      <c r="K127" s="126"/>
      <c r="L127" s="126"/>
      <c r="M127" s="126"/>
      <c r="N127" s="126"/>
      <c r="O127" s="126"/>
      <c r="P127" s="126"/>
      <c r="Q127" s="126"/>
      <c r="R127" s="126"/>
      <c r="S127" s="126"/>
    </row>
    <row r="128" spans="1:19">
      <c r="A128" s="126"/>
      <c r="B128" s="126"/>
      <c r="C128" s="126"/>
      <c r="D128" s="126"/>
      <c r="E128" s="126"/>
      <c r="F128" s="126"/>
      <c r="G128" s="126"/>
      <c r="H128" s="126"/>
      <c r="I128" s="126"/>
      <c r="J128" s="126"/>
      <c r="K128" s="126"/>
      <c r="L128" s="126"/>
      <c r="M128" s="126"/>
      <c r="N128" s="126"/>
      <c r="O128" s="126"/>
      <c r="P128" s="126"/>
      <c r="Q128" s="126"/>
      <c r="R128" s="126"/>
      <c r="S128" s="126"/>
    </row>
    <row r="129" spans="1:19">
      <c r="A129" s="126"/>
      <c r="B129" s="126"/>
      <c r="C129" s="126"/>
      <c r="D129" s="126"/>
      <c r="E129" s="126"/>
      <c r="F129" s="126"/>
      <c r="G129" s="126"/>
      <c r="H129" s="126"/>
      <c r="I129" s="126"/>
      <c r="J129" s="126"/>
      <c r="K129" s="126"/>
      <c r="L129" s="126"/>
      <c r="M129" s="126"/>
      <c r="N129" s="126"/>
      <c r="O129" s="126"/>
      <c r="P129" s="126"/>
      <c r="Q129" s="126"/>
      <c r="R129" s="126"/>
      <c r="S129" s="126"/>
    </row>
    <row r="130" spans="1:19">
      <c r="A130" s="126"/>
      <c r="B130" s="126"/>
      <c r="C130" s="126"/>
      <c r="D130" s="126"/>
      <c r="E130" s="126"/>
      <c r="F130" s="126"/>
      <c r="G130" s="126"/>
      <c r="H130" s="126"/>
      <c r="I130" s="126"/>
      <c r="J130" s="126"/>
      <c r="K130" s="126"/>
      <c r="L130" s="126"/>
      <c r="M130" s="126"/>
      <c r="N130" s="126"/>
      <c r="O130" s="126"/>
      <c r="P130" s="126"/>
      <c r="Q130" s="126"/>
      <c r="R130" s="126"/>
      <c r="S130" s="126"/>
    </row>
    <row r="131" spans="1:19">
      <c r="A131" s="126"/>
      <c r="B131" s="126"/>
      <c r="C131" s="126"/>
      <c r="D131" s="126"/>
      <c r="E131" s="126"/>
      <c r="F131" s="126"/>
      <c r="G131" s="126"/>
      <c r="H131" s="126"/>
      <c r="I131" s="126"/>
      <c r="J131" s="126"/>
      <c r="K131" s="126"/>
      <c r="L131" s="126"/>
      <c r="M131" s="126"/>
      <c r="N131" s="126"/>
      <c r="O131" s="126"/>
      <c r="P131" s="126"/>
      <c r="Q131" s="126"/>
      <c r="R131" s="126"/>
      <c r="S131" s="126"/>
    </row>
    <row r="132" spans="1:19">
      <c r="A132" s="126"/>
      <c r="B132" s="126"/>
      <c r="C132" s="126"/>
      <c r="D132" s="126"/>
      <c r="E132" s="126"/>
      <c r="F132" s="126"/>
      <c r="G132" s="126"/>
      <c r="H132" s="126"/>
      <c r="I132" s="126"/>
      <c r="J132" s="126"/>
      <c r="K132" s="126"/>
      <c r="L132" s="126"/>
      <c r="M132" s="126"/>
      <c r="N132" s="126"/>
      <c r="O132" s="126"/>
      <c r="P132" s="126"/>
      <c r="Q132" s="126"/>
      <c r="R132" s="126"/>
      <c r="S132" s="126"/>
    </row>
    <row r="133" spans="1:19">
      <c r="A133" s="126"/>
      <c r="B133" s="126"/>
      <c r="C133" s="126"/>
      <c r="D133" s="126"/>
      <c r="E133" s="126"/>
      <c r="F133" s="126"/>
      <c r="G133" s="126"/>
      <c r="H133" s="126"/>
      <c r="I133" s="126"/>
      <c r="J133" s="126"/>
      <c r="K133" s="126"/>
      <c r="L133" s="126"/>
      <c r="M133" s="126"/>
      <c r="N133" s="126"/>
      <c r="O133" s="126"/>
      <c r="P133" s="126"/>
      <c r="Q133" s="126"/>
      <c r="R133" s="126"/>
      <c r="S133" s="126"/>
    </row>
    <row r="134" spans="1:19">
      <c r="A134" s="126"/>
      <c r="B134" s="126"/>
      <c r="C134" s="126"/>
      <c r="D134" s="126"/>
      <c r="E134" s="126"/>
      <c r="F134" s="126"/>
      <c r="G134" s="126"/>
      <c r="H134" s="126"/>
      <c r="I134" s="126"/>
      <c r="J134" s="126"/>
      <c r="K134" s="126"/>
      <c r="L134" s="126"/>
      <c r="M134" s="126"/>
      <c r="N134" s="126"/>
      <c r="O134" s="126"/>
      <c r="P134" s="126"/>
      <c r="Q134" s="126"/>
      <c r="R134" s="126"/>
      <c r="S134" s="126"/>
    </row>
    <row r="135" spans="1:19">
      <c r="A135" s="126"/>
      <c r="B135" s="126"/>
      <c r="C135" s="126"/>
      <c r="D135" s="126"/>
      <c r="E135" s="126"/>
      <c r="F135" s="126"/>
      <c r="G135" s="126"/>
      <c r="H135" s="126"/>
      <c r="I135" s="126"/>
      <c r="J135" s="126"/>
      <c r="K135" s="126"/>
      <c r="L135" s="126"/>
      <c r="M135" s="126"/>
      <c r="N135" s="126"/>
      <c r="O135" s="126"/>
      <c r="P135" s="126"/>
      <c r="Q135" s="126"/>
      <c r="R135" s="126"/>
      <c r="S135" s="126"/>
    </row>
    <row r="136" spans="1:19">
      <c r="A136" s="126"/>
      <c r="B136" s="126"/>
      <c r="C136" s="126"/>
      <c r="D136" s="126"/>
      <c r="E136" s="126"/>
      <c r="F136" s="126"/>
      <c r="G136" s="126"/>
      <c r="H136" s="126"/>
      <c r="I136" s="126"/>
      <c r="J136" s="126"/>
      <c r="K136" s="126"/>
      <c r="L136" s="126"/>
      <c r="M136" s="126"/>
      <c r="N136" s="126"/>
      <c r="O136" s="126"/>
      <c r="P136" s="126"/>
      <c r="Q136" s="126"/>
      <c r="R136" s="126"/>
      <c r="S136" s="126"/>
    </row>
    <row r="137" spans="1:19">
      <c r="A137" s="126"/>
      <c r="B137" s="126"/>
      <c r="C137" s="126"/>
      <c r="D137" s="126"/>
      <c r="E137" s="126"/>
      <c r="F137" s="126"/>
      <c r="G137" s="126"/>
      <c r="H137" s="126"/>
      <c r="I137" s="126"/>
      <c r="J137" s="126"/>
      <c r="K137" s="126"/>
      <c r="L137" s="126"/>
      <c r="M137" s="126"/>
      <c r="N137" s="126"/>
      <c r="O137" s="126"/>
      <c r="P137" s="126"/>
      <c r="Q137" s="126"/>
      <c r="R137" s="126"/>
      <c r="S137" s="126"/>
    </row>
    <row r="138" spans="1:19">
      <c r="A138" s="126"/>
      <c r="B138" s="126"/>
      <c r="C138" s="126"/>
      <c r="D138" s="126"/>
      <c r="E138" s="126"/>
      <c r="F138" s="126"/>
      <c r="G138" s="126"/>
      <c r="H138" s="126"/>
      <c r="I138" s="126"/>
      <c r="J138" s="126"/>
      <c r="K138" s="126"/>
      <c r="L138" s="126"/>
      <c r="M138" s="126"/>
      <c r="N138" s="126"/>
      <c r="O138" s="126"/>
      <c r="P138" s="126"/>
      <c r="Q138" s="126"/>
      <c r="R138" s="126"/>
      <c r="S138" s="126"/>
    </row>
    <row r="139" spans="1:19">
      <c r="A139" s="126"/>
      <c r="B139" s="126"/>
      <c r="C139" s="126"/>
      <c r="D139" s="126"/>
      <c r="E139" s="126"/>
      <c r="F139" s="126"/>
      <c r="G139" s="126"/>
      <c r="H139" s="126"/>
      <c r="I139" s="126"/>
      <c r="J139" s="126"/>
      <c r="K139" s="126"/>
      <c r="L139" s="126"/>
      <c r="M139" s="126"/>
      <c r="N139" s="126"/>
      <c r="O139" s="126"/>
      <c r="P139" s="126"/>
      <c r="Q139" s="126"/>
      <c r="R139" s="126"/>
      <c r="S139" s="126"/>
    </row>
    <row r="140" spans="1:19">
      <c r="A140" s="126"/>
      <c r="B140" s="126"/>
      <c r="C140" s="126"/>
      <c r="D140" s="126"/>
      <c r="E140" s="126"/>
      <c r="F140" s="126"/>
      <c r="G140" s="126"/>
      <c r="H140" s="126"/>
      <c r="I140" s="126"/>
      <c r="J140" s="126"/>
      <c r="K140" s="126"/>
      <c r="L140" s="126"/>
      <c r="M140" s="126"/>
      <c r="N140" s="126"/>
      <c r="O140" s="126"/>
      <c r="P140" s="126"/>
      <c r="Q140" s="126"/>
      <c r="R140" s="126"/>
      <c r="S140" s="126"/>
    </row>
    <row r="141" spans="1:19">
      <c r="A141" s="126"/>
      <c r="B141" s="126"/>
      <c r="C141" s="126"/>
      <c r="D141" s="126"/>
      <c r="E141" s="126"/>
      <c r="F141" s="126"/>
      <c r="G141" s="126"/>
      <c r="H141" s="126"/>
      <c r="I141" s="126"/>
      <c r="J141" s="126"/>
      <c r="K141" s="126"/>
      <c r="L141" s="126"/>
      <c r="M141" s="126"/>
      <c r="N141" s="126"/>
      <c r="O141" s="126"/>
      <c r="P141" s="126"/>
      <c r="Q141" s="126"/>
      <c r="R141" s="126"/>
      <c r="S141" s="126"/>
    </row>
    <row r="142" spans="1:19">
      <c r="A142" s="126"/>
      <c r="B142" s="126"/>
      <c r="C142" s="126"/>
      <c r="D142" s="126"/>
      <c r="E142" s="126"/>
      <c r="F142" s="126"/>
      <c r="G142" s="126"/>
      <c r="H142" s="126"/>
      <c r="I142" s="126"/>
      <c r="J142" s="126"/>
      <c r="K142" s="126"/>
      <c r="L142" s="126"/>
      <c r="M142" s="126"/>
      <c r="N142" s="126"/>
      <c r="O142" s="126"/>
      <c r="P142" s="126"/>
      <c r="Q142" s="126"/>
      <c r="R142" s="126"/>
      <c r="S142" s="126"/>
    </row>
    <row r="143" spans="1:19">
      <c r="A143" s="126"/>
      <c r="B143" s="126"/>
      <c r="C143" s="126"/>
      <c r="D143" s="126"/>
      <c r="E143" s="126"/>
      <c r="F143" s="126"/>
      <c r="G143" s="126"/>
      <c r="H143" s="126"/>
      <c r="I143" s="126"/>
      <c r="J143" s="126"/>
      <c r="K143" s="126"/>
      <c r="L143" s="126"/>
      <c r="M143" s="126"/>
      <c r="N143" s="126"/>
      <c r="O143" s="126"/>
      <c r="P143" s="126"/>
      <c r="Q143" s="126"/>
      <c r="R143" s="126"/>
      <c r="S143" s="126"/>
    </row>
    <row r="144" spans="1:19">
      <c r="A144" s="126"/>
      <c r="B144" s="126"/>
      <c r="C144" s="126"/>
      <c r="D144" s="126"/>
      <c r="E144" s="126"/>
      <c r="F144" s="126"/>
      <c r="G144" s="126"/>
      <c r="H144" s="126"/>
      <c r="I144" s="126"/>
      <c r="J144" s="126"/>
      <c r="K144" s="126"/>
      <c r="L144" s="126"/>
      <c r="M144" s="126"/>
      <c r="N144" s="126"/>
      <c r="O144" s="126"/>
      <c r="P144" s="126"/>
      <c r="Q144" s="126"/>
      <c r="R144" s="126"/>
      <c r="S144" s="126"/>
    </row>
    <row r="145" spans="1:19">
      <c r="A145" s="126"/>
      <c r="B145" s="126"/>
      <c r="C145" s="126"/>
      <c r="D145" s="126"/>
      <c r="E145" s="126"/>
      <c r="F145" s="126"/>
      <c r="G145" s="126"/>
      <c r="H145" s="126"/>
      <c r="I145" s="126"/>
      <c r="J145" s="126"/>
      <c r="K145" s="126"/>
      <c r="L145" s="126"/>
      <c r="M145" s="126"/>
      <c r="N145" s="126"/>
      <c r="O145" s="126"/>
      <c r="P145" s="126"/>
      <c r="Q145" s="126"/>
      <c r="R145" s="126"/>
      <c r="S145" s="126"/>
    </row>
    <row r="146" spans="1:19">
      <c r="A146" s="126"/>
      <c r="B146" s="126"/>
      <c r="C146" s="126"/>
      <c r="D146" s="126"/>
      <c r="E146" s="126"/>
      <c r="F146" s="126"/>
      <c r="G146" s="126"/>
      <c r="H146" s="126"/>
      <c r="I146" s="126"/>
      <c r="J146" s="126"/>
      <c r="K146" s="126"/>
      <c r="L146" s="126"/>
      <c r="M146" s="126"/>
      <c r="N146" s="126"/>
      <c r="O146" s="126"/>
      <c r="P146" s="126"/>
      <c r="Q146" s="126"/>
      <c r="R146" s="126"/>
      <c r="S146" s="126"/>
    </row>
    <row r="147" spans="1:19">
      <c r="A147" s="126"/>
      <c r="B147" s="126"/>
      <c r="C147" s="126"/>
      <c r="D147" s="126"/>
      <c r="E147" s="126"/>
      <c r="F147" s="126"/>
      <c r="G147" s="126"/>
      <c r="H147" s="126"/>
      <c r="I147" s="126"/>
      <c r="J147" s="126"/>
      <c r="K147" s="126"/>
      <c r="L147" s="126"/>
      <c r="M147" s="126"/>
      <c r="N147" s="126"/>
      <c r="O147" s="126"/>
      <c r="P147" s="126"/>
      <c r="Q147" s="126"/>
      <c r="R147" s="126"/>
      <c r="S147" s="126"/>
    </row>
    <row r="148" spans="1:19">
      <c r="A148" s="126"/>
      <c r="B148" s="126"/>
      <c r="C148" s="126"/>
      <c r="D148" s="126"/>
      <c r="E148" s="126"/>
      <c r="F148" s="126"/>
      <c r="G148" s="126"/>
      <c r="H148" s="126"/>
      <c r="I148" s="126"/>
      <c r="J148" s="126"/>
      <c r="K148" s="126"/>
      <c r="L148" s="126"/>
      <c r="M148" s="126"/>
      <c r="N148" s="126"/>
      <c r="O148" s="126"/>
      <c r="P148" s="126"/>
      <c r="Q148" s="126"/>
      <c r="R148" s="126"/>
      <c r="S148" s="126"/>
    </row>
    <row r="149" spans="1:19">
      <c r="A149" s="126"/>
      <c r="B149" s="126"/>
      <c r="C149" s="126"/>
      <c r="D149" s="126"/>
      <c r="E149" s="126"/>
      <c r="F149" s="126"/>
      <c r="G149" s="126"/>
      <c r="H149" s="126"/>
      <c r="I149" s="126"/>
      <c r="J149" s="126"/>
      <c r="K149" s="126"/>
      <c r="L149" s="126"/>
      <c r="M149" s="126"/>
      <c r="N149" s="126"/>
      <c r="O149" s="126"/>
      <c r="P149" s="126"/>
      <c r="Q149" s="126"/>
      <c r="R149" s="126"/>
      <c r="S149" s="126"/>
    </row>
    <row r="150" spans="1:19">
      <c r="A150" s="126"/>
      <c r="B150" s="126"/>
      <c r="C150" s="126"/>
      <c r="D150" s="126"/>
      <c r="E150" s="126"/>
      <c r="F150" s="126"/>
      <c r="G150" s="126"/>
      <c r="H150" s="126"/>
      <c r="I150" s="126"/>
      <c r="J150" s="126"/>
      <c r="K150" s="126"/>
      <c r="L150" s="126"/>
      <c r="M150" s="126"/>
      <c r="N150" s="126"/>
      <c r="O150" s="126"/>
      <c r="P150" s="126"/>
      <c r="Q150" s="126"/>
      <c r="R150" s="126"/>
      <c r="S150" s="126"/>
    </row>
    <row r="151" spans="1:19">
      <c r="A151" s="126"/>
      <c r="B151" s="126"/>
      <c r="C151" s="126"/>
      <c r="D151" s="126"/>
      <c r="E151" s="126"/>
      <c r="F151" s="126"/>
      <c r="G151" s="126"/>
      <c r="H151" s="126"/>
      <c r="I151" s="126"/>
      <c r="J151" s="126"/>
      <c r="K151" s="126"/>
      <c r="L151" s="126"/>
      <c r="M151" s="126"/>
      <c r="N151" s="126"/>
      <c r="O151" s="126"/>
      <c r="P151" s="126"/>
      <c r="Q151" s="126"/>
      <c r="R151" s="126"/>
      <c r="S151" s="126"/>
    </row>
    <row r="152" spans="1:19">
      <c r="A152" s="126"/>
      <c r="B152" s="126"/>
      <c r="C152" s="126"/>
      <c r="D152" s="126"/>
      <c r="E152" s="126"/>
      <c r="F152" s="126"/>
      <c r="G152" s="126"/>
      <c r="H152" s="126"/>
      <c r="I152" s="126"/>
      <c r="J152" s="126"/>
      <c r="K152" s="126"/>
      <c r="L152" s="126"/>
      <c r="M152" s="126"/>
      <c r="N152" s="126"/>
      <c r="O152" s="126"/>
      <c r="P152" s="126"/>
      <c r="Q152" s="126"/>
      <c r="R152" s="126"/>
      <c r="S152" s="126"/>
    </row>
    <row r="153" spans="1:19">
      <c r="A153" s="126"/>
      <c r="B153" s="126"/>
      <c r="C153" s="126"/>
      <c r="D153" s="126"/>
      <c r="E153" s="126"/>
      <c r="F153" s="126"/>
      <c r="G153" s="126"/>
      <c r="H153" s="126"/>
      <c r="I153" s="126"/>
      <c r="J153" s="126"/>
      <c r="K153" s="126"/>
      <c r="L153" s="126"/>
      <c r="M153" s="126"/>
      <c r="N153" s="126"/>
      <c r="O153" s="126"/>
      <c r="P153" s="126"/>
      <c r="Q153" s="126"/>
      <c r="R153" s="126"/>
      <c r="S153" s="126"/>
    </row>
    <row r="154" spans="1:19">
      <c r="A154" s="126"/>
      <c r="B154" s="126"/>
      <c r="C154" s="126"/>
      <c r="D154" s="126"/>
      <c r="E154" s="126"/>
      <c r="F154" s="126"/>
      <c r="G154" s="126"/>
      <c r="H154" s="126"/>
      <c r="I154" s="126"/>
      <c r="J154" s="126"/>
      <c r="K154" s="126"/>
      <c r="L154" s="126"/>
      <c r="M154" s="126"/>
      <c r="N154" s="126"/>
      <c r="O154" s="126"/>
      <c r="P154" s="126"/>
      <c r="Q154" s="126"/>
      <c r="R154" s="126"/>
      <c r="S154" s="126"/>
    </row>
    <row r="155" spans="1:19">
      <c r="A155" s="126"/>
      <c r="B155" s="126"/>
      <c r="C155" s="126"/>
      <c r="D155" s="126"/>
      <c r="E155" s="126"/>
      <c r="F155" s="126"/>
      <c r="G155" s="126"/>
      <c r="H155" s="126"/>
      <c r="I155" s="126"/>
      <c r="J155" s="126"/>
      <c r="K155" s="126"/>
      <c r="L155" s="126"/>
      <c r="M155" s="126"/>
      <c r="N155" s="126"/>
      <c r="O155" s="126"/>
      <c r="P155" s="126"/>
      <c r="Q155" s="126"/>
      <c r="R155" s="126"/>
      <c r="S155" s="126"/>
    </row>
    <row r="156" spans="1:19">
      <c r="A156" s="126"/>
      <c r="B156" s="126"/>
      <c r="C156" s="126"/>
      <c r="D156" s="126"/>
      <c r="E156" s="126"/>
      <c r="F156" s="126"/>
      <c r="G156" s="126"/>
      <c r="H156" s="126"/>
      <c r="I156" s="126"/>
      <c r="J156" s="126"/>
      <c r="K156" s="126"/>
      <c r="L156" s="126"/>
      <c r="M156" s="126"/>
      <c r="N156" s="126"/>
      <c r="O156" s="126"/>
      <c r="P156" s="126"/>
      <c r="Q156" s="126"/>
      <c r="R156" s="126"/>
      <c r="S156" s="126"/>
    </row>
    <row r="157" spans="1:19">
      <c r="A157" s="126"/>
      <c r="B157" s="126"/>
      <c r="C157" s="126"/>
      <c r="D157" s="126"/>
      <c r="E157" s="126"/>
      <c r="F157" s="126"/>
      <c r="G157" s="126"/>
      <c r="H157" s="126"/>
      <c r="I157" s="126"/>
      <c r="J157" s="126"/>
      <c r="K157" s="126"/>
      <c r="L157" s="126"/>
      <c r="M157" s="126"/>
      <c r="N157" s="126"/>
      <c r="O157" s="126"/>
      <c r="P157" s="126"/>
      <c r="Q157" s="126"/>
      <c r="R157" s="126"/>
      <c r="S157" s="126"/>
    </row>
    <row r="158" spans="1:19">
      <c r="A158" s="126"/>
      <c r="B158" s="126"/>
      <c r="C158" s="126"/>
      <c r="D158" s="126"/>
      <c r="E158" s="126"/>
      <c r="F158" s="126"/>
      <c r="G158" s="126"/>
      <c r="H158" s="126"/>
      <c r="I158" s="126"/>
      <c r="J158" s="126"/>
      <c r="K158" s="126"/>
      <c r="L158" s="126"/>
      <c r="M158" s="126"/>
      <c r="N158" s="126"/>
      <c r="O158" s="126"/>
      <c r="P158" s="126"/>
      <c r="Q158" s="126"/>
      <c r="R158" s="126"/>
      <c r="S158" s="126"/>
    </row>
    <row r="159" spans="1:19">
      <c r="A159" s="126"/>
      <c r="B159" s="126"/>
      <c r="C159" s="126"/>
      <c r="D159" s="126"/>
      <c r="E159" s="126"/>
      <c r="F159" s="126"/>
      <c r="G159" s="126"/>
      <c r="H159" s="126"/>
      <c r="I159" s="126"/>
      <c r="J159" s="126"/>
      <c r="K159" s="126"/>
      <c r="L159" s="126"/>
      <c r="M159" s="126"/>
      <c r="N159" s="126"/>
      <c r="O159" s="126"/>
      <c r="P159" s="126"/>
      <c r="Q159" s="126"/>
      <c r="R159" s="126"/>
      <c r="S159" s="126"/>
    </row>
  </sheetData>
  <mergeCells count="3">
    <mergeCell ref="R7:S7"/>
    <mergeCell ref="R24:S24"/>
    <mergeCell ref="R41:S41"/>
  </mergeCells>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J70"/>
  <sheetViews>
    <sheetView showGridLines="0" zoomScale="70" zoomScaleNormal="70" zoomScalePageLayoutView="80" workbookViewId="0">
      <pane xSplit="4" ySplit="8" topLeftCell="I9" activePane="bottomRight" state="frozen"/>
      <selection activeCell="B6" sqref="B6"/>
      <selection pane="topRight" activeCell="B6" sqref="B6"/>
      <selection pane="bottomLeft" activeCell="B6" sqref="B6"/>
      <selection pane="bottomRight" activeCell="A4" sqref="A4"/>
    </sheetView>
  </sheetViews>
  <sheetFormatPr defaultColWidth="8.6640625" defaultRowHeight="13.2"/>
  <cols>
    <col min="1" max="1" width="21.44140625" style="45" customWidth="1"/>
    <col min="2" max="2" width="11.44140625" style="45" customWidth="1"/>
    <col min="3" max="3" width="17.21875" style="45" customWidth="1"/>
    <col min="4" max="4" width="10" style="45" customWidth="1"/>
    <col min="5" max="7" width="14.77734375" style="45" customWidth="1"/>
    <col min="8" max="16" width="13.33203125" style="45" customWidth="1"/>
    <col min="17" max="17" width="12.33203125" style="45" customWidth="1"/>
    <col min="18" max="20" width="13.33203125" style="45" customWidth="1"/>
    <col min="21" max="21" width="10.33203125" style="45" customWidth="1"/>
    <col min="22" max="24" width="12.33203125" style="45" customWidth="1"/>
    <col min="25" max="36" width="15" style="45" customWidth="1"/>
    <col min="37" max="16384" width="8.6640625" style="45"/>
  </cols>
  <sheetData>
    <row r="1" spans="1:22" ht="24.45" customHeight="1">
      <c r="A1" s="136" t="str">
        <f>Introduction!$B$1</f>
        <v xml:space="preserve">Vendor Survey Results through Q4 2021 </v>
      </c>
    </row>
    <row r="2" spans="1:22" ht="17.55" customHeight="1">
      <c r="A2" s="388" t="str">
        <f>Introduction!$B$2</f>
        <v>Sample template as of March 2022</v>
      </c>
    </row>
    <row r="3" spans="1:22" ht="25.05" customHeight="1">
      <c r="A3" s="825" t="s">
        <v>386</v>
      </c>
    </row>
    <row r="4" spans="1:22" ht="20.55" customHeight="1">
      <c r="A4" s="825"/>
    </row>
    <row r="5" spans="1:22" ht="15.6">
      <c r="O5" s="1115"/>
    </row>
    <row r="6" spans="1:22" ht="16.2" thickBot="1">
      <c r="J6" s="14"/>
      <c r="K6" s="14"/>
      <c r="L6" s="14"/>
      <c r="M6" s="14"/>
      <c r="N6" s="14"/>
      <c r="O6" s="1115"/>
      <c r="P6"/>
      <c r="Q6" s="1115"/>
      <c r="R6" s="14"/>
      <c r="S6" s="1115"/>
      <c r="T6" s="14"/>
    </row>
    <row r="7" spans="1:22" s="72" customFormat="1" ht="15" customHeight="1" thickBot="1">
      <c r="A7" s="840" t="str">
        <f>A3</f>
        <v>FTTx Modules</v>
      </c>
      <c r="F7" s="834"/>
      <c r="G7" s="834"/>
      <c r="H7" s="834"/>
      <c r="I7" s="804" t="s">
        <v>209</v>
      </c>
      <c r="J7" s="834"/>
      <c r="K7" s="834"/>
      <c r="L7" s="834"/>
      <c r="M7" s="769"/>
      <c r="N7" s="769"/>
      <c r="O7" s="804" t="str">
        <f>I7</f>
        <v>Shipments: Actual Data</v>
      </c>
      <c r="P7" s="45"/>
      <c r="Q7"/>
      <c r="R7"/>
      <c r="S7" s="1862" t="s">
        <v>500</v>
      </c>
      <c r="T7" s="1863"/>
      <c r="U7" s="45"/>
    </row>
    <row r="8" spans="1:22" s="72" customFormat="1" ht="13.8" thickBot="1">
      <c r="A8" s="844" t="s">
        <v>471</v>
      </c>
      <c r="B8" s="845" t="s">
        <v>266</v>
      </c>
      <c r="C8" s="845" t="s">
        <v>270</v>
      </c>
      <c r="D8" s="846" t="s">
        <v>211</v>
      </c>
      <c r="E8" s="143" t="s">
        <v>130</v>
      </c>
      <c r="F8" s="144" t="s">
        <v>131</v>
      </c>
      <c r="G8" s="144" t="s">
        <v>132</v>
      </c>
      <c r="H8" s="152" t="s">
        <v>133</v>
      </c>
      <c r="I8" s="143" t="s">
        <v>134</v>
      </c>
      <c r="J8" s="144" t="s">
        <v>135</v>
      </c>
      <c r="K8" s="144" t="s">
        <v>136</v>
      </c>
      <c r="L8" s="152" t="s">
        <v>137</v>
      </c>
      <c r="M8" s="143" t="s">
        <v>138</v>
      </c>
      <c r="N8" s="144" t="s">
        <v>139</v>
      </c>
      <c r="O8" s="1149" t="s">
        <v>140</v>
      </c>
      <c r="P8" s="152" t="s">
        <v>141</v>
      </c>
      <c r="Q8" s="143" t="s">
        <v>142</v>
      </c>
      <c r="R8" s="771" t="s">
        <v>143</v>
      </c>
      <c r="S8" s="774" t="s">
        <v>621</v>
      </c>
      <c r="T8" s="774" t="s">
        <v>622</v>
      </c>
      <c r="U8" s="45"/>
    </row>
    <row r="9" spans="1:22" ht="14.55" customHeight="1">
      <c r="A9" s="1451" t="s">
        <v>637</v>
      </c>
      <c r="B9" s="1450" t="s">
        <v>271</v>
      </c>
      <c r="C9" s="1451" t="s">
        <v>217</v>
      </c>
      <c r="D9" s="1452" t="s">
        <v>604</v>
      </c>
      <c r="E9" s="248">
        <v>4209281</v>
      </c>
      <c r="F9" s="246">
        <v>4309273</v>
      </c>
      <c r="G9" s="248">
        <v>4268857</v>
      </c>
      <c r="H9" s="247">
        <v>4287498</v>
      </c>
      <c r="I9" s="248"/>
      <c r="J9" s="246"/>
      <c r="K9" s="990"/>
      <c r="L9" s="247"/>
      <c r="M9" s="248"/>
      <c r="N9" s="1147"/>
      <c r="O9" s="695"/>
      <c r="P9" s="247"/>
      <c r="Q9" s="248"/>
      <c r="R9" s="1796"/>
      <c r="S9" s="248"/>
      <c r="T9" s="1796"/>
      <c r="V9" s="72"/>
    </row>
    <row r="10" spans="1:22" ht="12.45" customHeight="1">
      <c r="A10" s="1490" t="s">
        <v>613</v>
      </c>
      <c r="B10" s="245" t="s">
        <v>271</v>
      </c>
      <c r="C10" s="436" t="s">
        <v>272</v>
      </c>
      <c r="D10" s="1453" t="s">
        <v>235</v>
      </c>
      <c r="E10" s="255">
        <v>1188350</v>
      </c>
      <c r="F10" s="179">
        <v>1156078</v>
      </c>
      <c r="G10" s="256">
        <v>972400</v>
      </c>
      <c r="H10" s="345">
        <v>878210</v>
      </c>
      <c r="I10" s="255"/>
      <c r="J10" s="179"/>
      <c r="K10" s="991"/>
      <c r="L10" s="345"/>
      <c r="M10" s="255"/>
      <c r="N10" s="1147"/>
      <c r="O10" s="699"/>
      <c r="P10" s="345"/>
      <c r="Q10" s="255"/>
      <c r="R10" s="1796"/>
      <c r="S10" s="255"/>
      <c r="T10" s="1796"/>
      <c r="V10" s="72"/>
    </row>
    <row r="11" spans="1:22" ht="12.45" customHeight="1">
      <c r="A11" s="1489" t="s">
        <v>612</v>
      </c>
      <c r="B11" s="261" t="s">
        <v>271</v>
      </c>
      <c r="C11" s="841" t="s">
        <v>272</v>
      </c>
      <c r="D11" s="1454" t="s">
        <v>235</v>
      </c>
      <c r="E11" s="179">
        <v>281388</v>
      </c>
      <c r="F11" s="179">
        <v>320798</v>
      </c>
      <c r="G11" s="179">
        <v>167995</v>
      </c>
      <c r="H11" s="345">
        <v>184250</v>
      </c>
      <c r="I11" s="255"/>
      <c r="J11" s="179"/>
      <c r="K11" s="1547"/>
      <c r="L11" s="345"/>
      <c r="M11" s="255"/>
      <c r="N11" s="1547"/>
      <c r="O11" s="698"/>
      <c r="P11" s="345"/>
      <c r="Q11" s="255"/>
      <c r="R11" s="179"/>
      <c r="S11" s="255"/>
      <c r="T11" s="179"/>
      <c r="V11" s="72"/>
    </row>
    <row r="12" spans="1:22" ht="12.45" customHeight="1">
      <c r="A12" s="1490" t="s">
        <v>613</v>
      </c>
      <c r="B12" s="1455" t="s">
        <v>273</v>
      </c>
      <c r="C12" s="436" t="s">
        <v>272</v>
      </c>
      <c r="D12" s="1453" t="s">
        <v>235</v>
      </c>
      <c r="E12" s="179">
        <v>832883</v>
      </c>
      <c r="F12" s="179">
        <v>829731</v>
      </c>
      <c r="G12" s="179">
        <v>602857.9</v>
      </c>
      <c r="H12" s="345">
        <v>597572.11</v>
      </c>
      <c r="I12" s="255"/>
      <c r="J12" s="179"/>
      <c r="K12" s="1547"/>
      <c r="L12" s="345"/>
      <c r="M12" s="255"/>
      <c r="N12" s="1547"/>
      <c r="O12" s="698"/>
      <c r="P12" s="345"/>
      <c r="Q12" s="255"/>
      <c r="R12" s="179"/>
      <c r="S12" s="255"/>
      <c r="T12" s="179"/>
      <c r="V12" s="72"/>
    </row>
    <row r="13" spans="1:22" ht="12.45" customHeight="1">
      <c r="A13" s="1489" t="s">
        <v>612</v>
      </c>
      <c r="B13" s="1456" t="s">
        <v>273</v>
      </c>
      <c r="C13" s="842" t="s">
        <v>272</v>
      </c>
      <c r="D13" s="1457" t="s">
        <v>235</v>
      </c>
      <c r="E13" s="179">
        <v>117000</v>
      </c>
      <c r="F13" s="179">
        <v>99000</v>
      </c>
      <c r="G13" s="179">
        <v>65000</v>
      </c>
      <c r="H13" s="345">
        <v>62000</v>
      </c>
      <c r="I13" s="255"/>
      <c r="J13" s="179"/>
      <c r="K13" s="1547"/>
      <c r="L13" s="345"/>
      <c r="M13" s="255"/>
      <c r="N13" s="1547"/>
      <c r="O13" s="698"/>
      <c r="P13" s="345"/>
      <c r="Q13" s="255"/>
      <c r="R13" s="179"/>
      <c r="S13" s="255"/>
      <c r="T13" s="179"/>
      <c r="V13" s="72"/>
    </row>
    <row r="14" spans="1:22" ht="12.45" customHeight="1">
      <c r="A14" s="1484" t="s">
        <v>605</v>
      </c>
      <c r="B14" s="245" t="s">
        <v>450</v>
      </c>
      <c r="C14" s="841" t="s">
        <v>272</v>
      </c>
      <c r="D14" s="1458" t="s">
        <v>606</v>
      </c>
      <c r="E14" s="179"/>
      <c r="F14" s="179"/>
      <c r="G14" s="179"/>
      <c r="H14" s="345"/>
      <c r="I14" s="255"/>
      <c r="J14" s="179"/>
      <c r="K14" s="1547"/>
      <c r="L14" s="345"/>
      <c r="M14" s="255"/>
      <c r="N14" s="1547"/>
      <c r="O14" s="698"/>
      <c r="P14" s="345"/>
      <c r="Q14" s="255"/>
      <c r="R14" s="179"/>
      <c r="S14" s="255"/>
      <c r="T14" s="179"/>
      <c r="V14" s="72"/>
    </row>
    <row r="15" spans="1:22" ht="12.45" customHeight="1">
      <c r="A15" s="1484" t="s">
        <v>605</v>
      </c>
      <c r="B15" s="1459" t="s">
        <v>450</v>
      </c>
      <c r="C15" s="1460" t="s">
        <v>217</v>
      </c>
      <c r="D15" s="1461" t="s">
        <v>606</v>
      </c>
      <c r="E15" s="179"/>
      <c r="F15" s="179"/>
      <c r="G15" s="179"/>
      <c r="H15" s="345"/>
      <c r="I15" s="255"/>
      <c r="J15" s="179"/>
      <c r="K15" s="179"/>
      <c r="L15" s="345"/>
      <c r="M15" s="255"/>
      <c r="N15" s="179"/>
      <c r="O15" s="698"/>
      <c r="P15" s="345"/>
      <c r="Q15" s="255"/>
      <c r="R15" s="489"/>
      <c r="S15" s="255"/>
      <c r="T15" s="179"/>
      <c r="V15" s="72"/>
    </row>
    <row r="16" spans="1:22" ht="12.45" customHeight="1">
      <c r="A16" s="1484" t="s">
        <v>607</v>
      </c>
      <c r="B16" s="1459" t="s">
        <v>271</v>
      </c>
      <c r="C16" s="841" t="s">
        <v>272</v>
      </c>
      <c r="D16" s="1461" t="s">
        <v>482</v>
      </c>
      <c r="E16" s="179"/>
      <c r="F16" s="179"/>
      <c r="G16" s="179"/>
      <c r="H16" s="345"/>
      <c r="I16" s="255"/>
      <c r="J16" s="179"/>
      <c r="K16" s="179"/>
      <c r="L16" s="345"/>
      <c r="M16" s="255"/>
      <c r="N16" s="179"/>
      <c r="O16" s="698"/>
      <c r="P16" s="345"/>
      <c r="Q16" s="255"/>
      <c r="R16" s="489"/>
      <c r="S16" s="255"/>
      <c r="T16" s="179"/>
      <c r="V16" s="72"/>
    </row>
    <row r="17" spans="1:36" ht="12.45" customHeight="1">
      <c r="A17" s="1485" t="s">
        <v>451</v>
      </c>
      <c r="B17" s="709" t="s">
        <v>273</v>
      </c>
      <c r="C17" s="1031" t="s">
        <v>272</v>
      </c>
      <c r="D17" s="1462" t="s">
        <v>482</v>
      </c>
      <c r="E17" s="179">
        <v>178232</v>
      </c>
      <c r="F17" s="179">
        <v>210416</v>
      </c>
      <c r="G17" s="179">
        <v>266949</v>
      </c>
      <c r="H17" s="345">
        <v>324868</v>
      </c>
      <c r="I17" s="255"/>
      <c r="J17" s="179"/>
      <c r="K17" s="1547"/>
      <c r="L17" s="345"/>
      <c r="M17" s="255"/>
      <c r="N17" s="1547"/>
      <c r="O17" s="698"/>
      <c r="P17" s="345"/>
      <c r="Q17" s="255"/>
      <c r="R17" s="179"/>
      <c r="S17" s="255"/>
      <c r="T17" s="179"/>
      <c r="V17" s="72"/>
    </row>
    <row r="18" spans="1:36">
      <c r="A18" s="1487" t="s">
        <v>608</v>
      </c>
      <c r="B18" s="1463" t="s">
        <v>450</v>
      </c>
      <c r="C18" s="781" t="s">
        <v>272</v>
      </c>
      <c r="D18" s="208" t="s">
        <v>609</v>
      </c>
      <c r="E18" s="293"/>
      <c r="F18" s="293"/>
      <c r="G18" s="293"/>
      <c r="H18" s="345"/>
      <c r="I18" s="255"/>
      <c r="J18" s="293"/>
      <c r="K18" s="293"/>
      <c r="L18" s="345"/>
      <c r="M18" s="255"/>
      <c r="N18" s="293"/>
      <c r="O18" s="293"/>
      <c r="P18" s="345"/>
      <c r="Q18" s="1797"/>
      <c r="R18" s="1797"/>
      <c r="S18" s="255"/>
      <c r="T18" s="179"/>
    </row>
    <row r="19" spans="1:36">
      <c r="A19" s="1488" t="str">
        <f>A18</f>
        <v>NG-PON2</v>
      </c>
      <c r="B19" s="1459" t="s">
        <v>273</v>
      </c>
      <c r="C19" s="827" t="s">
        <v>272</v>
      </c>
      <c r="D19" s="1464" t="s">
        <v>609</v>
      </c>
      <c r="E19" s="1470"/>
      <c r="F19" s="1470"/>
      <c r="G19" s="1470"/>
      <c r="H19" s="345"/>
      <c r="I19" s="255"/>
      <c r="J19" s="1470"/>
      <c r="K19" s="1470"/>
      <c r="L19" s="345"/>
      <c r="M19" s="255"/>
      <c r="N19" s="1470"/>
      <c r="O19" s="1470"/>
      <c r="P19" s="345"/>
      <c r="Q19" s="1797"/>
      <c r="R19" s="1797"/>
      <c r="S19" s="255"/>
      <c r="T19" s="1470"/>
    </row>
    <row r="20" spans="1:36">
      <c r="A20" s="1487" t="s">
        <v>610</v>
      </c>
      <c r="B20" s="1463" t="s">
        <v>450</v>
      </c>
      <c r="C20" s="781" t="s">
        <v>272</v>
      </c>
      <c r="D20" s="208" t="s">
        <v>611</v>
      </c>
      <c r="E20" s="1470"/>
      <c r="F20" s="1470"/>
      <c r="G20" s="1470"/>
      <c r="H20" s="345"/>
      <c r="I20" s="255"/>
      <c r="J20" s="1470"/>
      <c r="K20" s="1470"/>
      <c r="L20" s="345"/>
      <c r="M20" s="255"/>
      <c r="N20" s="1470"/>
      <c r="O20" s="1470"/>
      <c r="P20" s="345"/>
      <c r="Q20" s="1797"/>
      <c r="R20" s="1797"/>
      <c r="S20" s="255"/>
      <c r="T20" s="1470"/>
    </row>
    <row r="21" spans="1:36">
      <c r="A21" s="1488" t="str">
        <f>A20</f>
        <v>25/50G PON</v>
      </c>
      <c r="B21" s="1459" t="s">
        <v>273</v>
      </c>
      <c r="C21" s="827" t="s">
        <v>272</v>
      </c>
      <c r="D21" s="1464" t="s">
        <v>611</v>
      </c>
      <c r="E21" s="1470"/>
      <c r="F21" s="1470"/>
      <c r="G21" s="1470"/>
      <c r="H21" s="345"/>
      <c r="I21" s="255"/>
      <c r="J21" s="1470"/>
      <c r="K21" s="1470"/>
      <c r="L21" s="345"/>
      <c r="M21" s="255"/>
      <c r="N21" s="1470"/>
      <c r="O21" s="1470"/>
      <c r="P21" s="345"/>
      <c r="Q21" s="1797"/>
      <c r="R21" s="1797"/>
      <c r="S21" s="255"/>
      <c r="T21" s="1470"/>
    </row>
    <row r="22" spans="1:36" ht="12.45" customHeight="1">
      <c r="A22" s="1486" t="s">
        <v>614</v>
      </c>
      <c r="B22" s="245" t="s">
        <v>275</v>
      </c>
      <c r="C22" s="436" t="s">
        <v>235</v>
      </c>
      <c r="D22" s="1466" t="s">
        <v>274</v>
      </c>
      <c r="E22" s="179">
        <v>202000</v>
      </c>
      <c r="F22" s="179">
        <v>220000</v>
      </c>
      <c r="G22" s="179">
        <v>175000</v>
      </c>
      <c r="H22" s="345">
        <v>190000</v>
      </c>
      <c r="I22" s="255"/>
      <c r="J22" s="179"/>
      <c r="K22" s="1547"/>
      <c r="L22" s="345"/>
      <c r="M22" s="255"/>
      <c r="N22" s="1547"/>
      <c r="O22" s="698"/>
      <c r="P22" s="345"/>
      <c r="Q22" s="255"/>
      <c r="R22" s="179"/>
      <c r="S22" s="255"/>
      <c r="T22" s="179"/>
      <c r="V22" s="72"/>
    </row>
    <row r="23" spans="1:36" ht="13.05" customHeight="1" thickBot="1">
      <c r="A23" s="1486" t="s">
        <v>614</v>
      </c>
      <c r="B23" s="261" t="s">
        <v>275</v>
      </c>
      <c r="C23" s="842" t="s">
        <v>229</v>
      </c>
      <c r="D23" s="1455" t="s">
        <v>223</v>
      </c>
      <c r="E23" s="266">
        <v>73586</v>
      </c>
      <c r="F23" s="265">
        <v>115090</v>
      </c>
      <c r="G23" s="266">
        <v>111487</v>
      </c>
      <c r="H23" s="262">
        <v>114087</v>
      </c>
      <c r="I23" s="263"/>
      <c r="J23" s="265"/>
      <c r="K23" s="992"/>
      <c r="L23" s="262"/>
      <c r="M23" s="263"/>
      <c r="N23" s="1148"/>
      <c r="O23" s="699"/>
      <c r="P23" s="262"/>
      <c r="Q23" s="255"/>
      <c r="R23" s="1798"/>
      <c r="S23" s="263"/>
      <c r="T23" s="1798"/>
      <c r="V23" s="72"/>
    </row>
    <row r="24" spans="1:36" s="72" customFormat="1" ht="13.8" thickBot="1">
      <c r="A24" s="1467" t="s">
        <v>155</v>
      </c>
      <c r="B24" s="1468"/>
      <c r="C24" s="1468"/>
      <c r="D24" s="843"/>
      <c r="E24" s="843">
        <f t="shared" ref="E24:T24" si="0">SUM(E9:E23)</f>
        <v>7082720</v>
      </c>
      <c r="F24" s="366">
        <f t="shared" si="0"/>
        <v>7260386</v>
      </c>
      <c r="G24" s="366">
        <f t="shared" si="0"/>
        <v>6630545.9000000004</v>
      </c>
      <c r="H24" s="346">
        <f t="shared" si="0"/>
        <v>6638485.1100000003</v>
      </c>
      <c r="I24" s="843">
        <f t="shared" si="0"/>
        <v>0</v>
      </c>
      <c r="J24" s="366">
        <f t="shared" si="0"/>
        <v>0</v>
      </c>
      <c r="K24" s="366">
        <f t="shared" si="0"/>
        <v>0</v>
      </c>
      <c r="L24" s="346">
        <f t="shared" si="0"/>
        <v>0</v>
      </c>
      <c r="M24" s="843">
        <f t="shared" si="0"/>
        <v>0</v>
      </c>
      <c r="N24" s="843">
        <f t="shared" si="0"/>
        <v>0</v>
      </c>
      <c r="O24" s="843">
        <f t="shared" si="0"/>
        <v>0</v>
      </c>
      <c r="P24" s="346">
        <f t="shared" si="0"/>
        <v>0</v>
      </c>
      <c r="Q24" s="843">
        <f t="shared" si="0"/>
        <v>0</v>
      </c>
      <c r="R24" s="366">
        <f t="shared" si="0"/>
        <v>0</v>
      </c>
      <c r="S24" s="843">
        <f t="shared" si="0"/>
        <v>0</v>
      </c>
      <c r="T24" s="843">
        <f t="shared" si="0"/>
        <v>0</v>
      </c>
      <c r="U24" s="45"/>
    </row>
    <row r="25" spans="1:36">
      <c r="E25" s="72"/>
      <c r="F25" s="72"/>
      <c r="G25" s="72"/>
      <c r="H25" s="72"/>
      <c r="I25" s="72"/>
      <c r="J25" s="72"/>
      <c r="K25" s="72"/>
      <c r="L25" s="72"/>
      <c r="M25" s="72"/>
      <c r="N25" s="72"/>
      <c r="O25" s="72"/>
      <c r="P25" s="72"/>
      <c r="Q25" s="72"/>
      <c r="R25" s="72"/>
      <c r="S25" s="72"/>
      <c r="T25" s="72"/>
      <c r="V25" s="72"/>
      <c r="W25" s="72"/>
      <c r="X25" s="72"/>
    </row>
    <row r="26" spans="1:36" ht="13.5" customHeight="1" thickBot="1">
      <c r="E26" s="72"/>
      <c r="F26" s="72"/>
      <c r="G26" s="72"/>
      <c r="H26" s="72"/>
      <c r="I26" s="72"/>
      <c r="J26" s="72"/>
      <c r="K26" s="72"/>
      <c r="L26" s="72"/>
      <c r="M26" s="72"/>
      <c r="N26" s="72"/>
      <c r="O26" s="1115"/>
      <c r="P26"/>
      <c r="Q26" s="1115"/>
      <c r="R26" s="14"/>
      <c r="S26" s="1115"/>
      <c r="T26" s="14"/>
      <c r="V26" s="72"/>
      <c r="W26" s="72"/>
      <c r="X26" s="408"/>
      <c r="Y26" s="408"/>
      <c r="Z26" s="408"/>
      <c r="AA26" s="408"/>
      <c r="AB26" s="408"/>
      <c r="AC26" s="72"/>
      <c r="AD26" s="72"/>
      <c r="AE26" s="72"/>
      <c r="AF26" s="72"/>
      <c r="AG26" s="72"/>
      <c r="AH26" s="72"/>
      <c r="AI26" s="72"/>
      <c r="AJ26" s="72"/>
    </row>
    <row r="27" spans="1:36" ht="18" thickBot="1">
      <c r="A27" s="840" t="str">
        <f>A3</f>
        <v>FTTx Modules</v>
      </c>
      <c r="F27" s="834"/>
      <c r="G27" s="834"/>
      <c r="H27" s="834"/>
      <c r="I27" s="804" t="s">
        <v>226</v>
      </c>
      <c r="J27" s="834"/>
      <c r="K27" s="834"/>
      <c r="L27" s="834"/>
      <c r="M27" s="769"/>
      <c r="N27" s="769"/>
      <c r="O27" s="804" t="str">
        <f>I27</f>
        <v>ASP: Actual Data</v>
      </c>
      <c r="Q27"/>
      <c r="R27"/>
      <c r="S27" s="1862" t="s">
        <v>623</v>
      </c>
      <c r="T27" s="1863"/>
      <c r="V27" s="72"/>
      <c r="W27" s="72"/>
      <c r="X27" s="1469"/>
      <c r="Y27" s="1469"/>
      <c r="Z27" s="1469"/>
      <c r="AA27" s="1469"/>
      <c r="AB27" s="1469"/>
      <c r="AC27" s="72"/>
      <c r="AD27" s="72"/>
      <c r="AE27" s="72"/>
      <c r="AF27" s="72"/>
      <c r="AG27" s="72"/>
      <c r="AH27" s="72"/>
      <c r="AI27" s="72"/>
      <c r="AJ27" s="72"/>
    </row>
    <row r="28" spans="1:36" ht="13.8" thickBot="1">
      <c r="A28" s="844" t="str">
        <f t="shared" ref="A28:D33" si="1">A8</f>
        <v>Type</v>
      </c>
      <c r="B28" s="845" t="str">
        <f t="shared" si="1"/>
        <v>Application</v>
      </c>
      <c r="C28" s="845" t="str">
        <f t="shared" si="1"/>
        <v>Products</v>
      </c>
      <c r="D28" s="846" t="str">
        <f t="shared" si="1"/>
        <v>Data Rate</v>
      </c>
      <c r="E28" s="143" t="s">
        <v>130</v>
      </c>
      <c r="F28" s="144" t="s">
        <v>131</v>
      </c>
      <c r="G28" s="144" t="s">
        <v>132</v>
      </c>
      <c r="H28" s="152" t="s">
        <v>133</v>
      </c>
      <c r="I28" s="143" t="str">
        <f t="shared" ref="I28:N28" si="2">I8</f>
        <v>1Q 18</v>
      </c>
      <c r="J28" s="144" t="str">
        <f t="shared" si="2"/>
        <v>2Q 18</v>
      </c>
      <c r="K28" s="144" t="str">
        <f t="shared" si="2"/>
        <v>3Q 18</v>
      </c>
      <c r="L28" s="152" t="str">
        <f t="shared" si="2"/>
        <v>4Q 18</v>
      </c>
      <c r="M28" s="143" t="str">
        <f t="shared" si="2"/>
        <v>1Q 19</v>
      </c>
      <c r="N28" s="144" t="str">
        <f t="shared" si="2"/>
        <v>2Q 19</v>
      </c>
      <c r="O28" s="144" t="s">
        <v>140</v>
      </c>
      <c r="P28" s="152" t="s">
        <v>141</v>
      </c>
      <c r="Q28" s="771" t="s">
        <v>142</v>
      </c>
      <c r="R28" s="771" t="s">
        <v>143</v>
      </c>
      <c r="S28" s="774" t="s">
        <v>621</v>
      </c>
      <c r="T28" s="774" t="s">
        <v>622</v>
      </c>
      <c r="V28" s="72"/>
      <c r="W28" s="72"/>
      <c r="X28" s="72"/>
      <c r="Y28" s="72"/>
      <c r="Z28" s="72"/>
      <c r="AA28" s="72"/>
      <c r="AB28" s="72"/>
      <c r="AC28" s="72"/>
      <c r="AD28" s="72"/>
      <c r="AE28" s="72"/>
      <c r="AF28" s="72"/>
      <c r="AG28" s="72"/>
      <c r="AH28" s="72"/>
      <c r="AI28" s="72"/>
      <c r="AJ28" s="72"/>
    </row>
    <row r="29" spans="1:36" ht="15" customHeight="1">
      <c r="A29" s="1451" t="str">
        <f t="shared" ref="A29:A43" si="3">A9</f>
        <v>GPON/EPON</v>
      </c>
      <c r="B29" s="1450" t="str">
        <f t="shared" si="1"/>
        <v>ONU</v>
      </c>
      <c r="C29" s="1451" t="str">
        <f t="shared" si="1"/>
        <v>BOSAs</v>
      </c>
      <c r="D29" s="1452" t="str">
        <f t="shared" si="1"/>
        <v>up to 2.5G</v>
      </c>
      <c r="E29" s="249">
        <v>9.9091374107500076</v>
      </c>
      <c r="F29" s="249">
        <v>8.7502599442386249</v>
      </c>
      <c r="G29" s="249">
        <v>6.5501372381412635</v>
      </c>
      <c r="H29" s="250">
        <v>6.6770850505353003</v>
      </c>
      <c r="I29" s="249"/>
      <c r="J29" s="249"/>
      <c r="K29" s="993"/>
      <c r="L29" s="250"/>
      <c r="M29" s="249"/>
      <c r="N29" s="249"/>
      <c r="O29" s="993"/>
      <c r="P29" s="250"/>
      <c r="Q29" s="1805"/>
      <c r="R29" s="1805"/>
      <c r="S29" s="1805"/>
      <c r="T29" s="1806"/>
      <c r="V29" s="72"/>
      <c r="W29" s="72"/>
      <c r="X29" s="72"/>
      <c r="Y29" s="72"/>
      <c r="Z29" s="72"/>
      <c r="AA29" s="72"/>
      <c r="AB29" s="72"/>
      <c r="AC29" s="72"/>
      <c r="AD29" s="72"/>
      <c r="AE29" s="72"/>
      <c r="AF29" s="72"/>
      <c r="AG29" s="72"/>
      <c r="AH29" s="72"/>
      <c r="AI29" s="72"/>
      <c r="AJ29" s="72"/>
    </row>
    <row r="30" spans="1:36">
      <c r="A30" s="1490" t="str">
        <f t="shared" si="3"/>
        <v xml:space="preserve"> GPON</v>
      </c>
      <c r="B30" s="245" t="str">
        <f t="shared" si="1"/>
        <v>ONU</v>
      </c>
      <c r="C30" s="436" t="str">
        <f t="shared" si="1"/>
        <v>PON Transceivers</v>
      </c>
      <c r="D30" s="1453" t="str">
        <f t="shared" si="1"/>
        <v>all</v>
      </c>
      <c r="E30" s="257">
        <v>16.10787339937729</v>
      </c>
      <c r="F30" s="257">
        <v>15.228154025717988</v>
      </c>
      <c r="G30" s="257">
        <v>10.382969971205265</v>
      </c>
      <c r="H30" s="258">
        <v>10.202924129763952</v>
      </c>
      <c r="I30" s="257"/>
      <c r="J30" s="257"/>
      <c r="K30" s="994"/>
      <c r="L30" s="258"/>
      <c r="M30" s="257"/>
      <c r="N30" s="257"/>
      <c r="O30" s="994"/>
      <c r="P30" s="258"/>
      <c r="Q30" s="1799"/>
      <c r="R30" s="1799"/>
      <c r="S30" s="1799"/>
      <c r="T30" s="1801"/>
      <c r="V30" s="72"/>
      <c r="W30" s="72"/>
      <c r="X30" s="72"/>
      <c r="Y30" s="72"/>
      <c r="Z30" s="72"/>
      <c r="AA30" s="72"/>
      <c r="AB30" s="72"/>
      <c r="AC30" s="72"/>
      <c r="AD30" s="72"/>
      <c r="AE30" s="72"/>
      <c r="AF30" s="72"/>
      <c r="AG30" s="72"/>
      <c r="AH30" s="72"/>
      <c r="AI30" s="72"/>
      <c r="AJ30" s="72"/>
    </row>
    <row r="31" spans="1:36">
      <c r="A31" s="1489" t="str">
        <f t="shared" si="3"/>
        <v xml:space="preserve"> EPON</v>
      </c>
      <c r="B31" s="261" t="str">
        <f t="shared" si="1"/>
        <v>ONU</v>
      </c>
      <c r="C31" s="841" t="str">
        <f t="shared" si="1"/>
        <v>PON Transceivers</v>
      </c>
      <c r="D31" s="1454" t="str">
        <f t="shared" si="1"/>
        <v>all</v>
      </c>
      <c r="E31" s="257">
        <v>6.925988315066741</v>
      </c>
      <c r="F31" s="257">
        <v>6.6484329702803633</v>
      </c>
      <c r="G31" s="257">
        <v>6.746373403970356</v>
      </c>
      <c r="H31" s="258">
        <v>6.7772320217096338</v>
      </c>
      <c r="I31" s="257"/>
      <c r="J31" s="257"/>
      <c r="K31" s="994"/>
      <c r="L31" s="258"/>
      <c r="M31" s="257"/>
      <c r="N31" s="257"/>
      <c r="O31" s="994"/>
      <c r="P31" s="258"/>
      <c r="Q31" s="1799"/>
      <c r="R31" s="1799"/>
      <c r="S31" s="1799"/>
      <c r="T31" s="1801"/>
      <c r="V31" s="72"/>
      <c r="W31" s="72"/>
      <c r="X31" s="72"/>
      <c r="Y31" s="72"/>
      <c r="Z31" s="72"/>
      <c r="AA31" s="72"/>
      <c r="AB31" s="72"/>
      <c r="AC31" s="72"/>
      <c r="AD31" s="72"/>
      <c r="AE31" s="72"/>
      <c r="AF31" s="72"/>
      <c r="AG31" s="72"/>
      <c r="AH31" s="72"/>
      <c r="AI31" s="72"/>
      <c r="AJ31" s="72"/>
    </row>
    <row r="32" spans="1:36">
      <c r="A32" s="1490" t="str">
        <f t="shared" si="3"/>
        <v xml:space="preserve"> GPON</v>
      </c>
      <c r="B32" s="1455" t="str">
        <f t="shared" si="1"/>
        <v>OLT</v>
      </c>
      <c r="C32" s="436" t="str">
        <f t="shared" si="1"/>
        <v>PON Transceivers</v>
      </c>
      <c r="D32" s="1453" t="str">
        <f t="shared" si="1"/>
        <v>all</v>
      </c>
      <c r="E32" s="257">
        <v>27.875400881113208</v>
      </c>
      <c r="F32" s="257">
        <v>27.054023445862683</v>
      </c>
      <c r="G32" s="257">
        <v>22.726422217880724</v>
      </c>
      <c r="H32" s="258">
        <v>22.468730531502054</v>
      </c>
      <c r="I32" s="257"/>
      <c r="J32" s="257"/>
      <c r="K32" s="994"/>
      <c r="L32" s="258"/>
      <c r="M32" s="257"/>
      <c r="N32" s="257"/>
      <c r="O32" s="994"/>
      <c r="P32" s="258"/>
      <c r="Q32" s="1799"/>
      <c r="R32" s="1799"/>
      <c r="S32" s="1799"/>
      <c r="T32" s="1801"/>
      <c r="W32" s="72"/>
      <c r="X32" s="72"/>
      <c r="Y32" s="72"/>
      <c r="Z32" s="72"/>
      <c r="AA32" s="403"/>
      <c r="AB32" s="403"/>
      <c r="AC32" s="72"/>
      <c r="AD32" s="72"/>
      <c r="AE32" s="72"/>
      <c r="AF32" s="72"/>
      <c r="AG32" s="72"/>
      <c r="AH32" s="72"/>
      <c r="AI32" s="72"/>
      <c r="AJ32" s="72"/>
    </row>
    <row r="33" spans="1:36">
      <c r="A33" s="1489" t="str">
        <f t="shared" si="3"/>
        <v xml:space="preserve"> EPON</v>
      </c>
      <c r="B33" s="1456" t="str">
        <f t="shared" si="1"/>
        <v>OLT</v>
      </c>
      <c r="C33" s="842" t="str">
        <f t="shared" si="1"/>
        <v>PON Transceivers</v>
      </c>
      <c r="D33" s="1457" t="str">
        <f t="shared" si="1"/>
        <v>all</v>
      </c>
      <c r="E33" s="257">
        <v>20.310020983673677</v>
      </c>
      <c r="F33" s="257">
        <v>20.043549265106144</v>
      </c>
      <c r="G33" s="257">
        <v>17.846153846153847</v>
      </c>
      <c r="H33" s="258">
        <v>16.35483870967742</v>
      </c>
      <c r="I33" s="257"/>
      <c r="J33" s="257"/>
      <c r="K33" s="994"/>
      <c r="L33" s="258"/>
      <c r="M33" s="257"/>
      <c r="N33" s="257"/>
      <c r="O33" s="994"/>
      <c r="P33" s="258"/>
      <c r="Q33" s="1799"/>
      <c r="R33" s="1799"/>
      <c r="S33" s="1799"/>
      <c r="T33" s="1801"/>
      <c r="W33" s="72"/>
      <c r="X33" s="72"/>
      <c r="Y33" s="72"/>
      <c r="Z33" s="72"/>
      <c r="AA33" s="403"/>
      <c r="AB33" s="403"/>
      <c r="AC33" s="72"/>
      <c r="AD33" s="72"/>
      <c r="AE33" s="72"/>
      <c r="AF33" s="72"/>
      <c r="AG33" s="72"/>
      <c r="AH33" s="72"/>
      <c r="AI33" s="72"/>
      <c r="AJ33" s="72"/>
    </row>
    <row r="34" spans="1:36">
      <c r="A34" s="1484" t="str">
        <f t="shared" si="3"/>
        <v xml:space="preserve">XG-PON </v>
      </c>
      <c r="B34" s="245" t="s">
        <v>450</v>
      </c>
      <c r="C34" s="841" t="s">
        <v>272</v>
      </c>
      <c r="D34" s="1458" t="s">
        <v>606</v>
      </c>
      <c r="E34" s="257"/>
      <c r="F34" s="257"/>
      <c r="G34" s="257"/>
      <c r="H34" s="258"/>
      <c r="I34" s="257"/>
      <c r="J34" s="257"/>
      <c r="K34" s="994"/>
      <c r="L34" s="258"/>
      <c r="M34" s="257"/>
      <c r="N34" s="257"/>
      <c r="O34" s="994"/>
      <c r="P34" s="258"/>
      <c r="Q34" s="1799"/>
      <c r="R34" s="1799"/>
      <c r="S34" s="1799"/>
      <c r="T34" s="1801"/>
      <c r="V34" s="72"/>
      <c r="W34" s="72"/>
      <c r="X34" s="72"/>
      <c r="Y34" s="72"/>
      <c r="Z34" s="72"/>
      <c r="AA34" s="403"/>
      <c r="AB34" s="403"/>
      <c r="AC34" s="72"/>
      <c r="AD34" s="72"/>
      <c r="AE34" s="72"/>
      <c r="AF34" s="72"/>
      <c r="AG34" s="72"/>
      <c r="AH34" s="72"/>
      <c r="AI34" s="72"/>
      <c r="AJ34" s="72"/>
    </row>
    <row r="35" spans="1:36">
      <c r="A35" s="1484" t="str">
        <f t="shared" si="3"/>
        <v xml:space="preserve">XG-PON </v>
      </c>
      <c r="B35" s="1459" t="s">
        <v>450</v>
      </c>
      <c r="C35" s="1460" t="s">
        <v>217</v>
      </c>
      <c r="D35" s="1461" t="s">
        <v>606</v>
      </c>
      <c r="E35" s="257"/>
      <c r="F35" s="257"/>
      <c r="G35" s="257"/>
      <c r="H35" s="258"/>
      <c r="I35" s="257"/>
      <c r="J35" s="257"/>
      <c r="K35" s="994"/>
      <c r="L35" s="258"/>
      <c r="M35" s="257"/>
      <c r="N35" s="257"/>
      <c r="O35" s="994"/>
      <c r="P35" s="258"/>
      <c r="Q35" s="1799"/>
      <c r="R35" s="1799"/>
      <c r="S35" s="1800"/>
      <c r="T35" s="1801"/>
      <c r="V35" s="72"/>
      <c r="W35" s="72"/>
      <c r="X35" s="72"/>
      <c r="Y35" s="72"/>
      <c r="Z35" s="72"/>
      <c r="AA35" s="403"/>
      <c r="AB35" s="403"/>
      <c r="AC35" s="72"/>
      <c r="AD35" s="72"/>
      <c r="AE35" s="72"/>
      <c r="AF35" s="72"/>
      <c r="AG35" s="72"/>
      <c r="AH35" s="72"/>
      <c r="AI35" s="72"/>
      <c r="AJ35" s="72"/>
    </row>
    <row r="36" spans="1:36">
      <c r="A36" s="1484" t="str">
        <f t="shared" si="3"/>
        <v xml:space="preserve">XGS-PON </v>
      </c>
      <c r="B36" s="1459" t="s">
        <v>271</v>
      </c>
      <c r="C36" s="841" t="s">
        <v>272</v>
      </c>
      <c r="D36" s="1461" t="s">
        <v>482</v>
      </c>
      <c r="E36" s="1470"/>
      <c r="F36" s="1470"/>
      <c r="G36" s="1470"/>
      <c r="H36" s="258"/>
      <c r="I36" s="257"/>
      <c r="J36" s="1470"/>
      <c r="K36" s="1470"/>
      <c r="L36" s="258"/>
      <c r="M36" s="257"/>
      <c r="N36" s="1470"/>
      <c r="O36" s="1470"/>
      <c r="P36" s="258"/>
      <c r="Q36" s="1799"/>
      <c r="R36" s="120"/>
      <c r="S36" s="1802"/>
      <c r="T36" s="1803"/>
    </row>
    <row r="37" spans="1:36">
      <c r="A37" s="1485" t="str">
        <f t="shared" si="3"/>
        <v>10G PON</v>
      </c>
      <c r="B37" s="709" t="str">
        <f t="shared" ref="B37:D43" si="4">B17</f>
        <v>OLT</v>
      </c>
      <c r="C37" s="1031" t="str">
        <f t="shared" si="4"/>
        <v>PON Transceivers</v>
      </c>
      <c r="D37" s="1462" t="s">
        <v>482</v>
      </c>
      <c r="E37" s="264">
        <v>275.67020609854791</v>
      </c>
      <c r="F37" s="264">
        <v>224.23771494189739</v>
      </c>
      <c r="G37" s="264">
        <v>172.30656320166702</v>
      </c>
      <c r="H37" s="258">
        <v>164.35356067769973</v>
      </c>
      <c r="I37" s="257"/>
      <c r="J37" s="264"/>
      <c r="K37" s="995"/>
      <c r="L37" s="258"/>
      <c r="M37" s="257"/>
      <c r="N37" s="264"/>
      <c r="O37" s="995"/>
      <c r="P37" s="258"/>
      <c r="Q37" s="1799"/>
      <c r="R37" s="1800"/>
      <c r="S37" s="1800"/>
      <c r="T37" s="1801"/>
      <c r="V37" s="72"/>
      <c r="W37" s="72"/>
      <c r="X37" s="72"/>
      <c r="Y37" s="72"/>
      <c r="Z37" s="72"/>
      <c r="AA37" s="403"/>
      <c r="AB37" s="403"/>
      <c r="AC37" s="72"/>
      <c r="AD37" s="72"/>
      <c r="AE37" s="72"/>
      <c r="AF37" s="72"/>
      <c r="AG37" s="72"/>
      <c r="AH37" s="72"/>
      <c r="AI37" s="72"/>
      <c r="AJ37" s="72"/>
    </row>
    <row r="38" spans="1:36">
      <c r="A38" s="1487" t="str">
        <f t="shared" si="3"/>
        <v>NG-PON2</v>
      </c>
      <c r="B38" s="245" t="str">
        <f t="shared" si="4"/>
        <v>ONUs</v>
      </c>
      <c r="C38" s="436" t="str">
        <f t="shared" si="4"/>
        <v>PON Transceivers</v>
      </c>
      <c r="D38" s="1471" t="str">
        <f t="shared" si="4"/>
        <v>4x10G</v>
      </c>
      <c r="E38" s="1465"/>
      <c r="F38" s="1465"/>
      <c r="G38" s="1465"/>
      <c r="H38" s="258"/>
      <c r="I38" s="257"/>
      <c r="J38" s="1465"/>
      <c r="K38" s="1465"/>
      <c r="L38" s="258"/>
      <c r="M38" s="257"/>
      <c r="N38" s="1465"/>
      <c r="O38" s="1465"/>
      <c r="P38" s="258"/>
      <c r="Q38" s="1799"/>
      <c r="R38" s="1804"/>
      <c r="S38" s="1800"/>
      <c r="T38" s="1801"/>
    </row>
    <row r="39" spans="1:36">
      <c r="A39" s="1488" t="str">
        <f t="shared" si="3"/>
        <v>NG-PON2</v>
      </c>
      <c r="B39" s="261" t="str">
        <f t="shared" si="4"/>
        <v>OLT</v>
      </c>
      <c r="C39" s="842" t="str">
        <f t="shared" si="4"/>
        <v>PON Transceivers</v>
      </c>
      <c r="D39" s="1472" t="str">
        <f t="shared" si="4"/>
        <v>4x10G</v>
      </c>
      <c r="E39" s="1470"/>
      <c r="F39" s="1470"/>
      <c r="G39" s="1470"/>
      <c r="H39" s="258"/>
      <c r="I39" s="257"/>
      <c r="J39" s="1470"/>
      <c r="K39" s="1470"/>
      <c r="L39" s="258"/>
      <c r="M39" s="257"/>
      <c r="N39" s="1470"/>
      <c r="O39" s="1470"/>
      <c r="P39" s="258"/>
      <c r="Q39" s="1799"/>
      <c r="R39" s="120"/>
      <c r="S39" s="1800"/>
      <c r="T39" s="1801"/>
    </row>
    <row r="40" spans="1:36">
      <c r="A40" s="1487" t="str">
        <f t="shared" si="3"/>
        <v>25/50G PON</v>
      </c>
      <c r="B40" s="245" t="str">
        <f t="shared" si="4"/>
        <v>ONUs</v>
      </c>
      <c r="C40" s="436" t="str">
        <f t="shared" si="4"/>
        <v>PON Transceivers</v>
      </c>
      <c r="D40" s="1471" t="str">
        <f t="shared" si="4"/>
        <v>Nx25G</v>
      </c>
      <c r="E40" s="1465"/>
      <c r="F40" s="1465"/>
      <c r="G40" s="1465"/>
      <c r="H40" s="258"/>
      <c r="I40" s="257"/>
      <c r="J40" s="1465"/>
      <c r="K40" s="1465"/>
      <c r="L40" s="258"/>
      <c r="M40" s="257"/>
      <c r="N40" s="1465"/>
      <c r="O40" s="1465"/>
      <c r="P40" s="258"/>
      <c r="Q40" s="1799"/>
      <c r="R40" s="1804"/>
      <c r="S40" s="1800"/>
      <c r="T40" s="1801"/>
    </row>
    <row r="41" spans="1:36">
      <c r="A41" s="1488" t="str">
        <f t="shared" si="3"/>
        <v>25/50G PON</v>
      </c>
      <c r="B41" s="261" t="str">
        <f t="shared" si="4"/>
        <v>OLT</v>
      </c>
      <c r="C41" s="842" t="str">
        <f t="shared" si="4"/>
        <v>PON Transceivers</v>
      </c>
      <c r="D41" s="1472" t="str">
        <f t="shared" si="4"/>
        <v>Nx25G</v>
      </c>
      <c r="E41" s="1470"/>
      <c r="F41" s="1470"/>
      <c r="G41" s="1470"/>
      <c r="H41" s="258"/>
      <c r="I41" s="257"/>
      <c r="J41" s="1470"/>
      <c r="K41" s="1470"/>
      <c r="L41" s="258"/>
      <c r="M41" s="257"/>
      <c r="N41" s="1470"/>
      <c r="O41" s="1470"/>
      <c r="P41" s="258"/>
      <c r="Q41" s="1799"/>
      <c r="R41" s="120"/>
      <c r="S41" s="1800"/>
      <c r="T41" s="1801"/>
    </row>
    <row r="42" spans="1:36">
      <c r="A42" s="1486" t="str">
        <f t="shared" si="3"/>
        <v xml:space="preserve"> P2P</v>
      </c>
      <c r="B42" s="245" t="str">
        <f t="shared" si="4"/>
        <v>bi-directional</v>
      </c>
      <c r="C42" s="436" t="str">
        <f t="shared" si="4"/>
        <v>all</v>
      </c>
      <c r="D42" s="1466" t="str">
        <f t="shared" si="4"/>
        <v>2.5 Gbps</v>
      </c>
      <c r="E42" s="264">
        <v>16.222772277227723</v>
      </c>
      <c r="F42" s="264">
        <v>15.545454545454545</v>
      </c>
      <c r="G42" s="264">
        <v>14.828571428571429</v>
      </c>
      <c r="H42" s="258">
        <v>14.263157894736842</v>
      </c>
      <c r="I42" s="257"/>
      <c r="J42" s="264"/>
      <c r="K42" s="995"/>
      <c r="L42" s="258"/>
      <c r="M42" s="257"/>
      <c r="N42" s="264"/>
      <c r="O42" s="995"/>
      <c r="P42" s="258"/>
      <c r="Q42" s="1807"/>
      <c r="R42" s="1800"/>
      <c r="S42" s="1800"/>
      <c r="T42" s="1801"/>
    </row>
    <row r="43" spans="1:36" ht="13.8" thickBot="1">
      <c r="A43" s="1486" t="str">
        <f t="shared" si="3"/>
        <v xml:space="preserve"> P2P</v>
      </c>
      <c r="B43" s="261" t="str">
        <f t="shared" si="4"/>
        <v>bi-directional</v>
      </c>
      <c r="C43" s="842" t="str">
        <f t="shared" si="4"/>
        <v>SFP+</v>
      </c>
      <c r="D43" s="1455" t="str">
        <f t="shared" si="4"/>
        <v>10 Gbps</v>
      </c>
      <c r="E43" s="251">
        <v>47.744258418720953</v>
      </c>
      <c r="F43" s="251">
        <v>46.83704926579199</v>
      </c>
      <c r="G43" s="251">
        <v>39.663404701893484</v>
      </c>
      <c r="H43" s="252">
        <v>39.208901978314792</v>
      </c>
      <c r="I43" s="251"/>
      <c r="J43" s="251"/>
      <c r="K43" s="981"/>
      <c r="L43" s="252"/>
      <c r="M43" s="251"/>
      <c r="N43" s="251"/>
      <c r="O43" s="981"/>
      <c r="P43" s="252"/>
      <c r="Q43" s="1807"/>
      <c r="R43" s="1802"/>
      <c r="S43" s="1802"/>
      <c r="T43" s="1803"/>
    </row>
    <row r="44" spans="1:36" ht="13.8" thickBot="1">
      <c r="A44" s="1467" t="str">
        <f>A24</f>
        <v>TOTAL</v>
      </c>
      <c r="B44" s="1468"/>
      <c r="C44" s="1468"/>
      <c r="D44" s="843"/>
      <c r="E44" s="1304">
        <f>E64/E24</f>
        <v>20.37604286546971</v>
      </c>
      <c r="F44" s="1304">
        <f>F64/F24</f>
        <v>18.989424130156703</v>
      </c>
      <c r="G44" s="1304">
        <f>G64/G24</f>
        <v>16.147415269820652</v>
      </c>
      <c r="H44" s="1307">
        <f>H64/H24</f>
        <v>17.150619030758669</v>
      </c>
      <c r="I44" s="1304">
        <v>38</v>
      </c>
      <c r="J44" s="1304">
        <v>37</v>
      </c>
      <c r="K44" s="1473">
        <v>10.253039188515384</v>
      </c>
      <c r="L44" s="1307">
        <v>9.5740686324567772</v>
      </c>
      <c r="M44" s="1304"/>
      <c r="N44" s="1304"/>
      <c r="O44" s="1473"/>
      <c r="P44" s="1307"/>
      <c r="Q44" s="1548"/>
      <c r="R44" s="1548"/>
      <c r="S44" s="1548"/>
      <c r="T44" s="1549"/>
    </row>
    <row r="46" spans="1:36" ht="16.2" thickBot="1">
      <c r="O46" s="1115"/>
      <c r="P46"/>
      <c r="Q46" s="1115"/>
      <c r="R46" s="14"/>
      <c r="S46" s="1115"/>
      <c r="T46" s="14"/>
    </row>
    <row r="47" spans="1:36" ht="16.2" thickBot="1">
      <c r="A47" s="840" t="str">
        <f>A3</f>
        <v>FTTx Modules</v>
      </c>
      <c r="F47" s="834"/>
      <c r="G47" s="834"/>
      <c r="H47" s="834"/>
      <c r="I47" s="804" t="s">
        <v>210</v>
      </c>
      <c r="J47" s="834"/>
      <c r="K47" s="834"/>
      <c r="L47" s="834"/>
      <c r="M47" s="769"/>
      <c r="N47" s="769"/>
      <c r="O47" s="804" t="str">
        <f>I47</f>
        <v>Sales: Actual Data</v>
      </c>
      <c r="Q47"/>
      <c r="R47"/>
      <c r="S47" s="1862" t="s">
        <v>624</v>
      </c>
      <c r="T47" s="1863"/>
    </row>
    <row r="48" spans="1:36" ht="13.8" thickBot="1">
      <c r="A48" s="844" t="str">
        <f t="shared" ref="A48:D53" si="5">A28</f>
        <v>Type</v>
      </c>
      <c r="B48" s="845" t="str">
        <f t="shared" si="5"/>
        <v>Application</v>
      </c>
      <c r="C48" s="845" t="str">
        <f t="shared" si="5"/>
        <v>Products</v>
      </c>
      <c r="D48" s="846" t="str">
        <f t="shared" si="5"/>
        <v>Data Rate</v>
      </c>
      <c r="E48" s="143" t="s">
        <v>130</v>
      </c>
      <c r="F48" s="144" t="s">
        <v>131</v>
      </c>
      <c r="G48" s="144" t="s">
        <v>132</v>
      </c>
      <c r="H48" s="152" t="s">
        <v>133</v>
      </c>
      <c r="I48" s="143" t="str">
        <f t="shared" ref="I48:N48" si="6">I8</f>
        <v>1Q 18</v>
      </c>
      <c r="J48" s="144" t="str">
        <f t="shared" si="6"/>
        <v>2Q 18</v>
      </c>
      <c r="K48" s="144" t="str">
        <f t="shared" si="6"/>
        <v>3Q 18</v>
      </c>
      <c r="L48" s="152" t="str">
        <f t="shared" si="6"/>
        <v>4Q 18</v>
      </c>
      <c r="M48" s="143" t="str">
        <f t="shared" si="6"/>
        <v>1Q 19</v>
      </c>
      <c r="N48" s="144" t="str">
        <f t="shared" si="6"/>
        <v>2Q 19</v>
      </c>
      <c r="O48" s="1149" t="s">
        <v>140</v>
      </c>
      <c r="P48" s="152" t="s">
        <v>141</v>
      </c>
      <c r="Q48" s="143" t="s">
        <v>142</v>
      </c>
      <c r="R48" s="771" t="s">
        <v>143</v>
      </c>
      <c r="S48" s="774" t="s">
        <v>621</v>
      </c>
      <c r="T48" s="774" t="s">
        <v>622</v>
      </c>
    </row>
    <row r="49" spans="1:20" ht="15" customHeight="1">
      <c r="A49" s="1451" t="str">
        <f t="shared" ref="A49:A63" si="7">A9</f>
        <v>GPON/EPON</v>
      </c>
      <c r="B49" s="1450" t="str">
        <f t="shared" si="5"/>
        <v>ONU</v>
      </c>
      <c r="C49" s="1451" t="str">
        <f t="shared" si="5"/>
        <v>BOSAs</v>
      </c>
      <c r="D49" s="1452" t="str">
        <f t="shared" si="5"/>
        <v>up to 2.5G</v>
      </c>
      <c r="E49" s="254">
        <f t="shared" ref="E49:R54" si="8">E29*E9</f>
        <v>41710343.829459205</v>
      </c>
      <c r="F49" s="254">
        <f t="shared" si="8"/>
        <v>37707258.920689009</v>
      </c>
      <c r="G49" s="307">
        <f t="shared" si="8"/>
        <v>27961599.199999999</v>
      </c>
      <c r="H49" s="445">
        <f t="shared" si="8"/>
        <v>28627988.800000001</v>
      </c>
      <c r="I49" s="253">
        <f t="shared" si="8"/>
        <v>0</v>
      </c>
      <c r="J49" s="254">
        <f t="shared" si="8"/>
        <v>0</v>
      </c>
      <c r="K49" s="254">
        <f t="shared" si="8"/>
        <v>0</v>
      </c>
      <c r="L49" s="445">
        <f t="shared" si="8"/>
        <v>0</v>
      </c>
      <c r="M49" s="253">
        <f t="shared" si="8"/>
        <v>0</v>
      </c>
      <c r="N49" s="1150">
        <f t="shared" si="8"/>
        <v>0</v>
      </c>
      <c r="O49" s="1150">
        <f t="shared" si="8"/>
        <v>0</v>
      </c>
      <c r="P49" s="445">
        <f t="shared" si="8"/>
        <v>0</v>
      </c>
      <c r="Q49" s="253">
        <f t="shared" si="8"/>
        <v>0</v>
      </c>
      <c r="R49" s="1150">
        <f t="shared" si="8"/>
        <v>0</v>
      </c>
      <c r="S49" s="1150">
        <f t="shared" ref="S49:T49" si="9">S29*S9</f>
        <v>0</v>
      </c>
      <c r="T49" s="445">
        <f t="shared" si="9"/>
        <v>0</v>
      </c>
    </row>
    <row r="50" spans="1:20">
      <c r="A50" s="1490" t="str">
        <f t="shared" si="7"/>
        <v xml:space="preserve"> GPON</v>
      </c>
      <c r="B50" s="245" t="str">
        <f t="shared" si="5"/>
        <v>ONU</v>
      </c>
      <c r="C50" s="436" t="str">
        <f t="shared" si="5"/>
        <v>PON Transceivers</v>
      </c>
      <c r="D50" s="1453" t="str">
        <f t="shared" si="5"/>
        <v>all</v>
      </c>
      <c r="E50" s="260">
        <f t="shared" si="8"/>
        <v>19141791.354150001</v>
      </c>
      <c r="F50" s="260">
        <f t="shared" si="8"/>
        <v>17604933.849744</v>
      </c>
      <c r="G50" s="299">
        <f t="shared" si="8"/>
        <v>10096400</v>
      </c>
      <c r="H50" s="282">
        <f t="shared" si="8"/>
        <v>8960310</v>
      </c>
      <c r="I50" s="259">
        <f t="shared" si="8"/>
        <v>0</v>
      </c>
      <c r="J50" s="260">
        <f t="shared" si="8"/>
        <v>0</v>
      </c>
      <c r="K50" s="260">
        <f t="shared" si="8"/>
        <v>0</v>
      </c>
      <c r="L50" s="282">
        <f t="shared" si="8"/>
        <v>0</v>
      </c>
      <c r="M50" s="259">
        <f t="shared" si="8"/>
        <v>0</v>
      </c>
      <c r="N50" s="260">
        <f t="shared" si="8"/>
        <v>0</v>
      </c>
      <c r="O50" s="260">
        <f t="shared" si="8"/>
        <v>0</v>
      </c>
      <c r="P50" s="282">
        <f t="shared" si="8"/>
        <v>0</v>
      </c>
      <c r="Q50" s="259">
        <f t="shared" si="8"/>
        <v>0</v>
      </c>
      <c r="R50" s="260">
        <f t="shared" si="8"/>
        <v>0</v>
      </c>
      <c r="S50" s="260">
        <f t="shared" ref="S50:T50" si="10">S30*S10</f>
        <v>0</v>
      </c>
      <c r="T50" s="282">
        <f t="shared" si="10"/>
        <v>0</v>
      </c>
    </row>
    <row r="51" spans="1:20">
      <c r="A51" s="1489" t="str">
        <f t="shared" si="7"/>
        <v xml:space="preserve"> EPON</v>
      </c>
      <c r="B51" s="261" t="str">
        <f t="shared" si="5"/>
        <v>ONU</v>
      </c>
      <c r="C51" s="841" t="str">
        <f t="shared" si="5"/>
        <v>PON Transceivers</v>
      </c>
      <c r="D51" s="1454" t="str">
        <f t="shared" si="5"/>
        <v>all</v>
      </c>
      <c r="E51" s="260">
        <f t="shared" si="8"/>
        <v>1948890</v>
      </c>
      <c r="F51" s="260">
        <f t="shared" si="8"/>
        <v>2132804</v>
      </c>
      <c r="G51" s="299">
        <f t="shared" si="8"/>
        <v>1133357</v>
      </c>
      <c r="H51" s="282">
        <f t="shared" si="8"/>
        <v>1248705</v>
      </c>
      <c r="I51" s="259">
        <f t="shared" si="8"/>
        <v>0</v>
      </c>
      <c r="J51" s="260">
        <f t="shared" si="8"/>
        <v>0</v>
      </c>
      <c r="K51" s="260">
        <f t="shared" si="8"/>
        <v>0</v>
      </c>
      <c r="L51" s="282">
        <f t="shared" si="8"/>
        <v>0</v>
      </c>
      <c r="M51" s="259">
        <f t="shared" si="8"/>
        <v>0</v>
      </c>
      <c r="N51" s="260">
        <f t="shared" si="8"/>
        <v>0</v>
      </c>
      <c r="O51" s="260">
        <f t="shared" si="8"/>
        <v>0</v>
      </c>
      <c r="P51" s="282">
        <f t="shared" si="8"/>
        <v>0</v>
      </c>
      <c r="Q51" s="259">
        <f t="shared" si="8"/>
        <v>0</v>
      </c>
      <c r="R51" s="260">
        <f t="shared" si="8"/>
        <v>0</v>
      </c>
      <c r="S51" s="260">
        <f t="shared" ref="S51:T51" si="11">S31*S11</f>
        <v>0</v>
      </c>
      <c r="T51" s="282">
        <f t="shared" si="11"/>
        <v>0</v>
      </c>
    </row>
    <row r="52" spans="1:20">
      <c r="A52" s="1490" t="str">
        <f t="shared" si="7"/>
        <v xml:space="preserve"> GPON</v>
      </c>
      <c r="B52" s="1455" t="str">
        <f t="shared" si="5"/>
        <v>OLT</v>
      </c>
      <c r="C52" s="436" t="str">
        <f t="shared" si="5"/>
        <v>PON Transceivers</v>
      </c>
      <c r="D52" s="1453" t="str">
        <f t="shared" si="5"/>
        <v>all</v>
      </c>
      <c r="E52" s="260">
        <f t="shared" si="8"/>
        <v>23216947.512064211</v>
      </c>
      <c r="F52" s="260">
        <f t="shared" si="8"/>
        <v>22447561.927759089</v>
      </c>
      <c r="G52" s="299">
        <f t="shared" si="8"/>
        <v>13700803.172784917</v>
      </c>
      <c r="H52" s="282">
        <f t="shared" si="8"/>
        <v>13426686.712731104</v>
      </c>
      <c r="I52" s="259">
        <f t="shared" si="8"/>
        <v>0</v>
      </c>
      <c r="J52" s="260">
        <f t="shared" si="8"/>
        <v>0</v>
      </c>
      <c r="K52" s="260">
        <f t="shared" si="8"/>
        <v>0</v>
      </c>
      <c r="L52" s="282">
        <f t="shared" si="8"/>
        <v>0</v>
      </c>
      <c r="M52" s="259">
        <f t="shared" si="8"/>
        <v>0</v>
      </c>
      <c r="N52" s="260">
        <f t="shared" si="8"/>
        <v>0</v>
      </c>
      <c r="O52" s="260">
        <f t="shared" si="8"/>
        <v>0</v>
      </c>
      <c r="P52" s="282">
        <f t="shared" si="8"/>
        <v>0</v>
      </c>
      <c r="Q52" s="259">
        <f t="shared" si="8"/>
        <v>0</v>
      </c>
      <c r="R52" s="260">
        <f t="shared" si="8"/>
        <v>0</v>
      </c>
      <c r="S52" s="260">
        <f t="shared" ref="S52:T52" si="12">S32*S12</f>
        <v>0</v>
      </c>
      <c r="T52" s="282">
        <f t="shared" si="12"/>
        <v>0</v>
      </c>
    </row>
    <row r="53" spans="1:20">
      <c r="A53" s="1489" t="str">
        <f t="shared" si="7"/>
        <v xml:space="preserve"> EPON</v>
      </c>
      <c r="B53" s="1456" t="str">
        <f t="shared" si="5"/>
        <v>OLT</v>
      </c>
      <c r="C53" s="842" t="str">
        <f t="shared" si="5"/>
        <v>PON Transceivers</v>
      </c>
      <c r="D53" s="1457" t="str">
        <f t="shared" si="5"/>
        <v>all</v>
      </c>
      <c r="E53" s="260">
        <f t="shared" si="8"/>
        <v>2376272.4550898201</v>
      </c>
      <c r="F53" s="260">
        <f t="shared" si="8"/>
        <v>1984311.3772455081</v>
      </c>
      <c r="G53" s="299">
        <f t="shared" si="8"/>
        <v>1160000</v>
      </c>
      <c r="H53" s="282">
        <f t="shared" si="8"/>
        <v>1014000</v>
      </c>
      <c r="I53" s="259">
        <f t="shared" si="8"/>
        <v>0</v>
      </c>
      <c r="J53" s="260">
        <f t="shared" si="8"/>
        <v>0</v>
      </c>
      <c r="K53" s="260">
        <f t="shared" si="8"/>
        <v>0</v>
      </c>
      <c r="L53" s="282">
        <f t="shared" si="8"/>
        <v>0</v>
      </c>
      <c r="M53" s="259">
        <f t="shared" si="8"/>
        <v>0</v>
      </c>
      <c r="N53" s="260">
        <f t="shared" si="8"/>
        <v>0</v>
      </c>
      <c r="O53" s="260">
        <f t="shared" si="8"/>
        <v>0</v>
      </c>
      <c r="P53" s="282">
        <f t="shared" si="8"/>
        <v>0</v>
      </c>
      <c r="Q53" s="259">
        <f t="shared" si="8"/>
        <v>0</v>
      </c>
      <c r="R53" s="260">
        <f t="shared" si="8"/>
        <v>0</v>
      </c>
      <c r="S53" s="260">
        <f t="shared" ref="S53:T53" si="13">S33*S13</f>
        <v>0</v>
      </c>
      <c r="T53" s="282">
        <f t="shared" si="13"/>
        <v>0</v>
      </c>
    </row>
    <row r="54" spans="1:20">
      <c r="A54" s="1484" t="str">
        <f t="shared" si="7"/>
        <v xml:space="preserve">XG-PON </v>
      </c>
      <c r="B54" s="245" t="s">
        <v>450</v>
      </c>
      <c r="C54" s="841" t="s">
        <v>272</v>
      </c>
      <c r="D54" s="1458" t="s">
        <v>606</v>
      </c>
      <c r="E54" s="260"/>
      <c r="F54" s="260"/>
      <c r="G54" s="299"/>
      <c r="H54" s="282"/>
      <c r="I54" s="259">
        <f t="shared" si="8"/>
        <v>0</v>
      </c>
      <c r="J54" s="260">
        <f t="shared" si="8"/>
        <v>0</v>
      </c>
      <c r="K54" s="260">
        <f t="shared" si="8"/>
        <v>0</v>
      </c>
      <c r="L54" s="282">
        <f t="shared" si="8"/>
        <v>0</v>
      </c>
      <c r="M54" s="259">
        <f t="shared" si="8"/>
        <v>0</v>
      </c>
      <c r="N54" s="260">
        <f t="shared" si="8"/>
        <v>0</v>
      </c>
      <c r="O54" s="260">
        <f t="shared" si="8"/>
        <v>0</v>
      </c>
      <c r="P54" s="282">
        <f t="shared" si="8"/>
        <v>0</v>
      </c>
      <c r="Q54" s="259">
        <f t="shared" si="8"/>
        <v>0</v>
      </c>
      <c r="R54" s="260">
        <f t="shared" si="8"/>
        <v>0</v>
      </c>
      <c r="S54" s="260">
        <f t="shared" ref="S54:T54" si="14">S34*S14</f>
        <v>0</v>
      </c>
      <c r="T54" s="282">
        <f t="shared" si="14"/>
        <v>0</v>
      </c>
    </row>
    <row r="55" spans="1:20">
      <c r="A55" s="1484" t="str">
        <f t="shared" si="7"/>
        <v xml:space="preserve">XG-PON </v>
      </c>
      <c r="B55" s="1459" t="s">
        <v>450</v>
      </c>
      <c r="C55" s="1483" t="s">
        <v>217</v>
      </c>
      <c r="D55" s="1461" t="s">
        <v>606</v>
      </c>
      <c r="E55" s="260"/>
      <c r="F55" s="260"/>
      <c r="G55" s="299"/>
      <c r="H55" s="282"/>
      <c r="I55" s="259"/>
      <c r="J55" s="260"/>
      <c r="K55" s="260"/>
      <c r="L55" s="282"/>
      <c r="M55" s="259"/>
      <c r="N55" s="260"/>
      <c r="O55" s="260"/>
      <c r="P55" s="282"/>
      <c r="Q55" s="259"/>
      <c r="R55" s="260"/>
      <c r="S55" s="260">
        <f t="shared" ref="S55:T55" si="15">S35*S15</f>
        <v>0</v>
      </c>
      <c r="T55" s="282">
        <f t="shared" si="15"/>
        <v>0</v>
      </c>
    </row>
    <row r="56" spans="1:20">
      <c r="A56" s="1484" t="str">
        <f t="shared" si="7"/>
        <v xml:space="preserve">XGS-PON </v>
      </c>
      <c r="B56" s="1459" t="s">
        <v>271</v>
      </c>
      <c r="C56" s="841" t="s">
        <v>272</v>
      </c>
      <c r="D56" s="1461" t="s">
        <v>482</v>
      </c>
      <c r="E56" s="260"/>
      <c r="F56" s="260"/>
      <c r="G56" s="299"/>
      <c r="H56" s="282"/>
      <c r="I56" s="259"/>
      <c r="J56" s="260"/>
      <c r="K56" s="260"/>
      <c r="L56" s="282"/>
      <c r="M56" s="259"/>
      <c r="N56" s="260"/>
      <c r="O56" s="260"/>
      <c r="P56" s="282">
        <f>P36*P15</f>
        <v>0</v>
      </c>
      <c r="Q56" s="259"/>
      <c r="R56" s="260"/>
      <c r="S56" s="260">
        <f t="shared" ref="S56:T56" si="16">S36*S16</f>
        <v>0</v>
      </c>
      <c r="T56" s="282">
        <f t="shared" si="16"/>
        <v>0</v>
      </c>
    </row>
    <row r="57" spans="1:20">
      <c r="A57" s="1485" t="str">
        <f t="shared" si="7"/>
        <v>10G PON</v>
      </c>
      <c r="B57" s="709" t="str">
        <f t="shared" ref="B57:D63" si="17">B37</f>
        <v>OLT</v>
      </c>
      <c r="C57" s="1031" t="str">
        <f t="shared" si="17"/>
        <v>PON Transceivers</v>
      </c>
      <c r="D57" s="1462" t="s">
        <v>482</v>
      </c>
      <c r="E57" s="293">
        <f t="shared" ref="E57:R61" si="18">E37*E17</f>
        <v>49133252.173356391</v>
      </c>
      <c r="F57" s="293">
        <f t="shared" si="18"/>
        <v>47183203.027214281</v>
      </c>
      <c r="G57" s="273">
        <f t="shared" si="18"/>
        <v>45997064.740121812</v>
      </c>
      <c r="H57" s="282">
        <f t="shared" si="18"/>
        <v>53393212.55024296</v>
      </c>
      <c r="I57" s="259">
        <f t="shared" si="18"/>
        <v>0</v>
      </c>
      <c r="J57" s="293">
        <f t="shared" si="18"/>
        <v>0</v>
      </c>
      <c r="K57" s="293">
        <f t="shared" si="18"/>
        <v>0</v>
      </c>
      <c r="L57" s="282">
        <f t="shared" si="18"/>
        <v>0</v>
      </c>
      <c r="M57" s="259">
        <f t="shared" si="18"/>
        <v>0</v>
      </c>
      <c r="N57" s="293">
        <f t="shared" si="18"/>
        <v>0</v>
      </c>
      <c r="O57" s="293">
        <f t="shared" si="18"/>
        <v>0</v>
      </c>
      <c r="P57" s="282">
        <f t="shared" si="18"/>
        <v>0</v>
      </c>
      <c r="Q57" s="259">
        <f t="shared" si="18"/>
        <v>0</v>
      </c>
      <c r="R57" s="293">
        <f t="shared" si="18"/>
        <v>0</v>
      </c>
      <c r="S57" s="293">
        <f t="shared" ref="S57:T57" si="19">S37*S17</f>
        <v>0</v>
      </c>
      <c r="T57" s="282">
        <f t="shared" si="19"/>
        <v>0</v>
      </c>
    </row>
    <row r="58" spans="1:20">
      <c r="A58" s="1487" t="str">
        <f t="shared" si="7"/>
        <v>NG-PON2</v>
      </c>
      <c r="B58" s="245" t="str">
        <f t="shared" si="17"/>
        <v>ONUs</v>
      </c>
      <c r="C58" s="436" t="str">
        <f t="shared" si="17"/>
        <v>PON Transceivers</v>
      </c>
      <c r="D58" s="1471" t="str">
        <f t="shared" si="17"/>
        <v>4x10G</v>
      </c>
      <c r="E58" s="293"/>
      <c r="F58" s="293"/>
      <c r="G58" s="273"/>
      <c r="H58" s="282"/>
      <c r="I58" s="259"/>
      <c r="J58" s="293"/>
      <c r="K58" s="293"/>
      <c r="L58" s="282"/>
      <c r="M58" s="259"/>
      <c r="N58" s="293"/>
      <c r="O58" s="293"/>
      <c r="P58" s="282">
        <f t="shared" si="18"/>
        <v>0</v>
      </c>
      <c r="Q58" s="259">
        <f t="shared" si="18"/>
        <v>0</v>
      </c>
      <c r="R58" s="293">
        <f t="shared" si="18"/>
        <v>0</v>
      </c>
      <c r="S58" s="293">
        <f t="shared" ref="S58:T58" si="20">S38*S18</f>
        <v>0</v>
      </c>
      <c r="T58" s="282">
        <f t="shared" si="20"/>
        <v>0</v>
      </c>
    </row>
    <row r="59" spans="1:20">
      <c r="A59" s="1488" t="str">
        <f t="shared" si="7"/>
        <v>NG-PON2</v>
      </c>
      <c r="B59" s="261" t="str">
        <f t="shared" si="17"/>
        <v>OLT</v>
      </c>
      <c r="C59" s="842" t="str">
        <f t="shared" si="17"/>
        <v>PON Transceivers</v>
      </c>
      <c r="D59" s="1472" t="str">
        <f t="shared" si="17"/>
        <v>4x10G</v>
      </c>
      <c r="E59" s="293"/>
      <c r="F59" s="293"/>
      <c r="G59" s="273"/>
      <c r="H59" s="282"/>
      <c r="I59" s="259"/>
      <c r="J59" s="293"/>
      <c r="K59" s="293"/>
      <c r="L59" s="282"/>
      <c r="M59" s="259"/>
      <c r="N59" s="293"/>
      <c r="O59" s="293"/>
      <c r="P59" s="282">
        <f t="shared" si="18"/>
        <v>0</v>
      </c>
      <c r="Q59" s="259">
        <f t="shared" si="18"/>
        <v>0</v>
      </c>
      <c r="R59" s="293">
        <f t="shared" si="18"/>
        <v>0</v>
      </c>
      <c r="S59" s="293">
        <f t="shared" ref="S59:T61" si="21">S39*S19</f>
        <v>0</v>
      </c>
      <c r="T59" s="282">
        <f t="shared" si="21"/>
        <v>0</v>
      </c>
    </row>
    <row r="60" spans="1:20">
      <c r="A60" s="1487" t="str">
        <f t="shared" si="7"/>
        <v>25/50G PON</v>
      </c>
      <c r="B60" s="245" t="str">
        <f t="shared" si="17"/>
        <v>ONUs</v>
      </c>
      <c r="C60" s="436" t="str">
        <f t="shared" si="17"/>
        <v>PON Transceivers</v>
      </c>
      <c r="D60" s="1471" t="str">
        <f t="shared" si="17"/>
        <v>Nx25G</v>
      </c>
      <c r="E60" s="1470"/>
      <c r="F60" s="1470"/>
      <c r="G60" s="1470"/>
      <c r="H60" s="282"/>
      <c r="I60" s="259"/>
      <c r="J60" s="1470"/>
      <c r="K60" s="1470"/>
      <c r="L60" s="282"/>
      <c r="M60" s="259"/>
      <c r="N60" s="1470"/>
      <c r="O60" s="1470"/>
      <c r="P60" s="282">
        <f t="shared" si="18"/>
        <v>0</v>
      </c>
      <c r="Q60" s="259">
        <f t="shared" si="18"/>
        <v>0</v>
      </c>
      <c r="R60" s="293">
        <f t="shared" si="18"/>
        <v>0</v>
      </c>
      <c r="S60" s="293">
        <f t="shared" si="21"/>
        <v>0</v>
      </c>
      <c r="T60" s="282">
        <f t="shared" si="21"/>
        <v>0</v>
      </c>
    </row>
    <row r="61" spans="1:20">
      <c r="A61" s="1488" t="str">
        <f t="shared" si="7"/>
        <v>25/50G PON</v>
      </c>
      <c r="B61" s="261" t="str">
        <f t="shared" si="17"/>
        <v>OLT</v>
      </c>
      <c r="C61" s="842" t="str">
        <f t="shared" si="17"/>
        <v>PON Transceivers</v>
      </c>
      <c r="D61" s="1472" t="str">
        <f t="shared" si="17"/>
        <v>Nx25G</v>
      </c>
      <c r="E61" s="1470"/>
      <c r="F61" s="1470"/>
      <c r="G61" s="1470"/>
      <c r="H61" s="282"/>
      <c r="I61" s="259"/>
      <c r="J61" s="1470"/>
      <c r="K61" s="1470"/>
      <c r="L61" s="282"/>
      <c r="M61" s="259"/>
      <c r="N61" s="1470"/>
      <c r="O61" s="1470"/>
      <c r="P61" s="282">
        <f t="shared" si="18"/>
        <v>0</v>
      </c>
      <c r="Q61" s="259">
        <f t="shared" si="18"/>
        <v>0</v>
      </c>
      <c r="R61" s="293">
        <f t="shared" si="18"/>
        <v>0</v>
      </c>
      <c r="S61" s="293">
        <f t="shared" si="21"/>
        <v>0</v>
      </c>
      <c r="T61" s="282">
        <f t="shared" si="21"/>
        <v>0</v>
      </c>
    </row>
    <row r="62" spans="1:20">
      <c r="A62" s="1486" t="str">
        <f t="shared" si="7"/>
        <v xml:space="preserve"> P2P</v>
      </c>
      <c r="B62" s="245" t="str">
        <f t="shared" si="17"/>
        <v>bi-directional</v>
      </c>
      <c r="C62" s="436" t="str">
        <f t="shared" si="17"/>
        <v>all</v>
      </c>
      <c r="D62" s="1466" t="str">
        <f t="shared" si="17"/>
        <v>2.5 Gbps</v>
      </c>
      <c r="E62" s="260">
        <f t="shared" ref="E62:P63" si="22">E42*E22</f>
        <v>3277000</v>
      </c>
      <c r="F62" s="260">
        <f t="shared" si="22"/>
        <v>3420000</v>
      </c>
      <c r="G62" s="299">
        <f t="shared" si="22"/>
        <v>2595000</v>
      </c>
      <c r="H62" s="282">
        <f t="shared" si="22"/>
        <v>2710000</v>
      </c>
      <c r="I62" s="259">
        <f t="shared" si="22"/>
        <v>0</v>
      </c>
      <c r="J62" s="260">
        <f t="shared" si="22"/>
        <v>0</v>
      </c>
      <c r="K62" s="260">
        <f t="shared" si="22"/>
        <v>0</v>
      </c>
      <c r="L62" s="282">
        <f t="shared" si="22"/>
        <v>0</v>
      </c>
      <c r="M62" s="259">
        <f t="shared" si="22"/>
        <v>0</v>
      </c>
      <c r="N62" s="260">
        <f t="shared" si="22"/>
        <v>0</v>
      </c>
      <c r="O62" s="260">
        <f t="shared" si="22"/>
        <v>0</v>
      </c>
      <c r="P62" s="282">
        <f t="shared" si="22"/>
        <v>0</v>
      </c>
      <c r="Q62" s="259"/>
      <c r="R62" s="293"/>
      <c r="S62" s="293">
        <f t="shared" ref="S62" si="23">S42*S22</f>
        <v>0</v>
      </c>
      <c r="T62" s="282">
        <f t="shared" ref="T62" si="24">T42*T22</f>
        <v>0</v>
      </c>
    </row>
    <row r="63" spans="1:20" ht="13.8" thickBot="1">
      <c r="A63" s="1486" t="str">
        <f t="shared" si="7"/>
        <v xml:space="preserve"> P2P</v>
      </c>
      <c r="B63" s="261" t="str">
        <f t="shared" si="17"/>
        <v>bi-directional</v>
      </c>
      <c r="C63" s="842" t="str">
        <f t="shared" si="17"/>
        <v>SFP+</v>
      </c>
      <c r="D63" s="1455" t="str">
        <f t="shared" si="17"/>
        <v>10 Gbps</v>
      </c>
      <c r="E63" s="1035">
        <f t="shared" si="22"/>
        <v>3513309</v>
      </c>
      <c r="F63" s="260">
        <f t="shared" si="22"/>
        <v>5390476</v>
      </c>
      <c r="G63" s="299">
        <f t="shared" si="22"/>
        <v>4421953.9999999991</v>
      </c>
      <c r="H63" s="282">
        <f t="shared" si="22"/>
        <v>4473226</v>
      </c>
      <c r="I63" s="1476">
        <f t="shared" si="22"/>
        <v>0</v>
      </c>
      <c r="J63" s="260">
        <f t="shared" si="22"/>
        <v>0</v>
      </c>
      <c r="K63" s="260">
        <f t="shared" si="22"/>
        <v>0</v>
      </c>
      <c r="L63" s="282">
        <f t="shared" si="22"/>
        <v>0</v>
      </c>
      <c r="M63" s="1476">
        <f t="shared" si="22"/>
        <v>0</v>
      </c>
      <c r="N63" s="260">
        <f t="shared" si="22"/>
        <v>0</v>
      </c>
      <c r="O63" s="260">
        <f t="shared" si="22"/>
        <v>0</v>
      </c>
      <c r="P63" s="282">
        <f t="shared" si="22"/>
        <v>0</v>
      </c>
      <c r="Q63" s="259"/>
      <c r="R63" s="293"/>
      <c r="S63" s="293">
        <f t="shared" ref="S63" si="25">S43*S23</f>
        <v>0</v>
      </c>
      <c r="T63" s="282">
        <f t="shared" ref="T63" si="26">T43*T23</f>
        <v>0</v>
      </c>
    </row>
    <row r="64" spans="1:20" ht="13.8" thickBot="1">
      <c r="A64" s="1467" t="str">
        <f>A44</f>
        <v>TOTAL</v>
      </c>
      <c r="B64" s="1468"/>
      <c r="C64" s="1468"/>
      <c r="D64" s="843"/>
      <c r="E64" s="364">
        <f t="shared" ref="E64:P64" si="27">SUM(E49:E63)</f>
        <v>144317806.32411963</v>
      </c>
      <c r="F64" s="364">
        <f t="shared" si="27"/>
        <v>137870549.10265189</v>
      </c>
      <c r="G64" s="364">
        <f t="shared" si="27"/>
        <v>107066178.11290672</v>
      </c>
      <c r="H64" s="365">
        <f t="shared" si="27"/>
        <v>113854129.06297407</v>
      </c>
      <c r="I64" s="267">
        <f t="shared" si="27"/>
        <v>0</v>
      </c>
      <c r="J64" s="364">
        <f t="shared" si="27"/>
        <v>0</v>
      </c>
      <c r="K64" s="364">
        <f t="shared" si="27"/>
        <v>0</v>
      </c>
      <c r="L64" s="365">
        <f t="shared" si="27"/>
        <v>0</v>
      </c>
      <c r="M64" s="267">
        <f t="shared" si="27"/>
        <v>0</v>
      </c>
      <c r="N64" s="364">
        <f t="shared" si="27"/>
        <v>0</v>
      </c>
      <c r="O64" s="364">
        <f t="shared" si="27"/>
        <v>0</v>
      </c>
      <c r="P64" s="365">
        <f t="shared" si="27"/>
        <v>0</v>
      </c>
      <c r="Q64" s="267">
        <f t="shared" ref="Q64:T64" si="28">SUM(Q49:Q63)</f>
        <v>0</v>
      </c>
      <c r="R64" s="364">
        <f t="shared" si="28"/>
        <v>0</v>
      </c>
      <c r="S64" s="364">
        <f t="shared" si="28"/>
        <v>0</v>
      </c>
      <c r="T64" s="365">
        <f t="shared" si="28"/>
        <v>0</v>
      </c>
    </row>
    <row r="65" spans="5:20">
      <c r="E65" s="170"/>
      <c r="F65" s="170">
        <f t="shared" ref="F65:H65" si="29">F64/E64-1</f>
        <v>-4.467402454128222E-2</v>
      </c>
      <c r="G65" s="170">
        <f t="shared" si="29"/>
        <v>-0.22342966783145024</v>
      </c>
      <c r="H65" s="170">
        <f t="shared" si="29"/>
        <v>6.3399582106210106E-2</v>
      </c>
      <c r="I65" s="170">
        <f>I64/H64-1</f>
        <v>-1</v>
      </c>
      <c r="J65" s="170" t="e">
        <f>J64/I64-1</f>
        <v>#DIV/0!</v>
      </c>
      <c r="K65" s="170" t="e">
        <f>K64/J64-1</f>
        <v>#DIV/0!</v>
      </c>
      <c r="L65" s="170" t="e">
        <f>L64/K64-1</f>
        <v>#DIV/0!</v>
      </c>
      <c r="M65" s="170" t="e">
        <f t="shared" ref="M65:O65" si="30">M64/L64-1</f>
        <v>#DIV/0!</v>
      </c>
      <c r="N65" s="170" t="e">
        <f t="shared" si="30"/>
        <v>#DIV/0!</v>
      </c>
      <c r="O65" s="170" t="e">
        <f t="shared" si="30"/>
        <v>#DIV/0!</v>
      </c>
      <c r="P65" s="170" t="e">
        <f>P64/O64-1</f>
        <v>#DIV/0!</v>
      </c>
      <c r="Q65" s="170" t="e">
        <f t="shared" ref="Q65:R65" si="31">Q64/P64-1</f>
        <v>#DIV/0!</v>
      </c>
      <c r="R65" s="170" t="e">
        <f t="shared" si="31"/>
        <v>#DIV/0!</v>
      </c>
      <c r="S65" s="170" t="e">
        <f t="shared" ref="S65" si="32">S64/R64-1</f>
        <v>#DIV/0!</v>
      </c>
      <c r="T65" s="170" t="e">
        <f>T64/S64-1</f>
        <v>#DIV/0!</v>
      </c>
    </row>
    <row r="67" spans="5:20">
      <c r="L67" s="125">
        <f>SUM(I64:L64)</f>
        <v>0</v>
      </c>
      <c r="P67" s="125"/>
    </row>
    <row r="68" spans="5:20">
      <c r="P68" s="1477"/>
    </row>
    <row r="70" spans="5:20">
      <c r="Q70" s="133"/>
      <c r="R70" s="133"/>
      <c r="S70" s="133"/>
      <c r="T70" s="133"/>
    </row>
  </sheetData>
  <mergeCells count="3">
    <mergeCell ref="S7:T7"/>
    <mergeCell ref="S47:T47"/>
    <mergeCell ref="S27:T27"/>
  </mergeCells>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Z99"/>
  <sheetViews>
    <sheetView showGridLines="0" zoomScale="70" zoomScaleNormal="70" zoomScalePageLayoutView="80" workbookViewId="0">
      <pane xSplit="3" ySplit="8" topLeftCell="H9" activePane="bottomRight" state="frozen"/>
      <selection pane="topRight" activeCell="D1" sqref="D1"/>
      <selection pane="bottomLeft" activeCell="A9" sqref="A9"/>
      <selection pane="bottomRight" activeCell="A4" sqref="A4"/>
    </sheetView>
  </sheetViews>
  <sheetFormatPr defaultColWidth="8.6640625" defaultRowHeight="13.2"/>
  <cols>
    <col min="1" max="1" width="22.21875" style="45" customWidth="1"/>
    <col min="2" max="2" width="12" style="45" customWidth="1"/>
    <col min="3" max="3" width="13.44140625" style="45" customWidth="1"/>
    <col min="4" max="6" width="12" style="45" customWidth="1"/>
    <col min="7" max="7" width="13.33203125" style="45" customWidth="1"/>
    <col min="8" max="10" width="12" style="45" customWidth="1"/>
    <col min="11" max="11" width="13.77734375" style="45" customWidth="1"/>
    <col min="12" max="13" width="14.21875" style="45" customWidth="1"/>
    <col min="14" max="15" width="13.77734375" style="45" customWidth="1"/>
    <col min="16" max="19" width="14.33203125" style="45" customWidth="1"/>
    <col min="20" max="21" width="12.33203125" style="45" customWidth="1"/>
    <col min="22" max="22" width="13" style="45" customWidth="1"/>
    <col min="23" max="23" width="13.77734375" style="45" customWidth="1"/>
    <col min="24" max="24" width="13" style="45" customWidth="1"/>
    <col min="25" max="25" width="13.77734375" style="45" customWidth="1"/>
    <col min="26" max="26" width="14.21875" style="45" customWidth="1"/>
    <col min="27" max="16384" width="8.6640625" style="45"/>
  </cols>
  <sheetData>
    <row r="1" spans="1:26" ht="24.45" customHeight="1">
      <c r="A1" s="136" t="str">
        <f>Introduction!$B$1</f>
        <v xml:space="preserve">Vendor Survey Results through Q4 2021 </v>
      </c>
    </row>
    <row r="2" spans="1:26" ht="17.55" customHeight="1">
      <c r="A2" s="388" t="str">
        <f>Introduction!$B$2</f>
        <v>Sample template as of March 2022</v>
      </c>
    </row>
    <row r="3" spans="1:26" ht="25.05" customHeight="1">
      <c r="A3" s="825" t="s">
        <v>474</v>
      </c>
    </row>
    <row r="5" spans="1:26" ht="15.6">
      <c r="A5" s="1116" t="s">
        <v>527</v>
      </c>
      <c r="N5" s="1115"/>
    </row>
    <row r="6" spans="1:26" ht="16.2" thickBot="1">
      <c r="I6" s="14"/>
      <c r="N6" s="1115"/>
      <c r="O6"/>
      <c r="P6" s="1115"/>
      <c r="Q6" s="14"/>
      <c r="R6" s="1115"/>
      <c r="S6" s="14"/>
    </row>
    <row r="7" spans="1:26" ht="16.2" thickBot="1">
      <c r="A7" s="840" t="str">
        <f>A3</f>
        <v>Optical Transceivers for wireless fronthaul &amp; midhaul networks</v>
      </c>
      <c r="E7" s="834"/>
      <c r="F7" s="834"/>
      <c r="G7" s="834"/>
      <c r="H7" s="804" t="s">
        <v>209</v>
      </c>
      <c r="I7" s="834"/>
      <c r="J7" s="834"/>
      <c r="K7" s="834"/>
      <c r="L7" s="834"/>
      <c r="M7" s="834"/>
      <c r="N7" s="804" t="str">
        <f>H7</f>
        <v>Shipments: Actual Data</v>
      </c>
      <c r="P7"/>
      <c r="Q7"/>
      <c r="R7" s="1862" t="s">
        <v>352</v>
      </c>
      <c r="S7" s="1863"/>
      <c r="Z7" s="72"/>
    </row>
    <row r="8" spans="1:26" ht="13.8" thickBot="1">
      <c r="A8" s="618" t="s">
        <v>211</v>
      </c>
      <c r="B8" s="617" t="s">
        <v>224</v>
      </c>
      <c r="C8" s="619" t="s">
        <v>225</v>
      </c>
      <c r="D8" s="143" t="s">
        <v>130</v>
      </c>
      <c r="E8" s="144" t="s">
        <v>131</v>
      </c>
      <c r="F8" s="144" t="s">
        <v>132</v>
      </c>
      <c r="G8" s="144" t="s">
        <v>133</v>
      </c>
      <c r="H8" s="143" t="s">
        <v>134</v>
      </c>
      <c r="I8" s="144" t="s">
        <v>135</v>
      </c>
      <c r="J8" s="144" t="s">
        <v>136</v>
      </c>
      <c r="K8" s="144" t="s">
        <v>137</v>
      </c>
      <c r="L8" s="143" t="s">
        <v>138</v>
      </c>
      <c r="M8" s="144" t="s">
        <v>139</v>
      </c>
      <c r="N8" s="144" t="s">
        <v>140</v>
      </c>
      <c r="O8" s="144" t="s">
        <v>141</v>
      </c>
      <c r="P8" s="143" t="s">
        <v>142</v>
      </c>
      <c r="Q8" s="144" t="s">
        <v>143</v>
      </c>
      <c r="R8" s="1550" t="s">
        <v>621</v>
      </c>
      <c r="S8" s="1550" t="s">
        <v>622</v>
      </c>
    </row>
    <row r="9" spans="1:26" ht="16.5" customHeight="1">
      <c r="A9" s="864" t="s">
        <v>221</v>
      </c>
      <c r="B9" s="288" t="s">
        <v>288</v>
      </c>
      <c r="C9" s="289" t="s">
        <v>235</v>
      </c>
      <c r="D9" s="290"/>
      <c r="E9" s="290"/>
      <c r="F9" s="453"/>
      <c r="G9" s="454"/>
      <c r="H9" s="354"/>
      <c r="I9" s="290"/>
      <c r="J9" s="893"/>
      <c r="K9" s="894"/>
      <c r="L9" s="354"/>
      <c r="M9" s="290"/>
      <c r="N9" s="893"/>
      <c r="O9" s="894"/>
      <c r="P9" s="1812"/>
      <c r="Q9" s="453"/>
      <c r="R9" s="453"/>
      <c r="S9" s="454"/>
    </row>
    <row r="10" spans="1:26" ht="16.5" customHeight="1">
      <c r="A10" s="848" t="s">
        <v>221</v>
      </c>
      <c r="B10" s="294" t="s">
        <v>289</v>
      </c>
      <c r="C10" s="295" t="s">
        <v>235</v>
      </c>
      <c r="D10" s="296">
        <v>50000</v>
      </c>
      <c r="E10" s="296">
        <v>40000</v>
      </c>
      <c r="F10" s="603"/>
      <c r="G10" s="604"/>
      <c r="H10" s="355"/>
      <c r="I10" s="296"/>
      <c r="J10" s="895"/>
      <c r="K10" s="896"/>
      <c r="L10" s="355"/>
      <c r="M10" s="296"/>
      <c r="N10" s="895"/>
      <c r="O10" s="896"/>
      <c r="P10" s="1813"/>
      <c r="Q10" s="1808"/>
      <c r="R10" s="1808"/>
      <c r="S10" s="1809"/>
    </row>
    <row r="11" spans="1:26" ht="16.5" customHeight="1" thickBot="1">
      <c r="A11" s="849" t="s">
        <v>221</v>
      </c>
      <c r="B11" s="294" t="s">
        <v>311</v>
      </c>
      <c r="C11" s="295" t="s">
        <v>235</v>
      </c>
      <c r="D11" s="301">
        <v>6500</v>
      </c>
      <c r="E11" s="301">
        <v>4700</v>
      </c>
      <c r="F11" s="605"/>
      <c r="G11" s="456"/>
      <c r="H11" s="356"/>
      <c r="I11" s="301"/>
      <c r="J11" s="897"/>
      <c r="K11" s="898"/>
      <c r="L11" s="356"/>
      <c r="M11" s="301"/>
      <c r="N11" s="897"/>
      <c r="O11" s="898"/>
      <c r="P11" s="713"/>
      <c r="Q11" s="455"/>
      <c r="R11" s="455"/>
      <c r="S11" s="456"/>
    </row>
    <row r="12" spans="1:26" ht="16.5" customHeight="1">
      <c r="A12" s="850" t="s">
        <v>222</v>
      </c>
      <c r="B12" s="302" t="s">
        <v>288</v>
      </c>
      <c r="C12" s="303" t="s">
        <v>235</v>
      </c>
      <c r="D12" s="304"/>
      <c r="E12" s="304"/>
      <c r="F12" s="457"/>
      <c r="G12" s="458"/>
      <c r="H12" s="357"/>
      <c r="I12" s="304"/>
      <c r="J12" s="899"/>
      <c r="K12" s="900"/>
      <c r="L12" s="357"/>
      <c r="M12" s="304"/>
      <c r="N12" s="899"/>
      <c r="O12" s="900"/>
      <c r="P12" s="1814"/>
      <c r="Q12" s="457"/>
      <c r="R12" s="457"/>
      <c r="S12" s="458"/>
    </row>
    <row r="13" spans="1:26" ht="16.5" customHeight="1">
      <c r="A13" s="848" t="s">
        <v>222</v>
      </c>
      <c r="B13" s="294" t="s">
        <v>289</v>
      </c>
      <c r="C13" s="309" t="s">
        <v>235</v>
      </c>
      <c r="D13" s="310">
        <v>100500</v>
      </c>
      <c r="E13" s="310">
        <v>100300</v>
      </c>
      <c r="F13" s="233"/>
      <c r="G13" s="459"/>
      <c r="H13" s="358"/>
      <c r="I13" s="310"/>
      <c r="J13" s="594"/>
      <c r="K13" s="901"/>
      <c r="L13" s="358"/>
      <c r="M13" s="310"/>
      <c r="N13" s="594"/>
      <c r="O13" s="901"/>
      <c r="P13" s="1815"/>
      <c r="Q13" s="233"/>
      <c r="R13" s="233"/>
      <c r="S13" s="459"/>
    </row>
    <row r="14" spans="1:26" ht="16.5" customHeight="1" thickBot="1">
      <c r="A14" s="849" t="s">
        <v>222</v>
      </c>
      <c r="B14" s="311" t="s">
        <v>311</v>
      </c>
      <c r="C14" s="312" t="s">
        <v>235</v>
      </c>
      <c r="D14" s="1036">
        <v>66722</v>
      </c>
      <c r="E14" s="1036">
        <v>18122</v>
      </c>
      <c r="F14" s="833">
        <v>13000</v>
      </c>
      <c r="G14" s="456">
        <v>16000</v>
      </c>
      <c r="H14" s="359"/>
      <c r="I14" s="1036"/>
      <c r="J14" s="940"/>
      <c r="K14" s="961"/>
      <c r="L14" s="359"/>
      <c r="M14" s="1036"/>
      <c r="N14" s="940"/>
      <c r="O14" s="961"/>
      <c r="P14" s="384"/>
      <c r="Q14" s="833"/>
      <c r="R14" s="833"/>
      <c r="S14" s="456"/>
    </row>
    <row r="15" spans="1:26" ht="16.5" customHeight="1">
      <c r="A15" s="850" t="s">
        <v>290</v>
      </c>
      <c r="B15" s="294" t="s">
        <v>288</v>
      </c>
      <c r="C15" s="295" t="s">
        <v>235</v>
      </c>
      <c r="D15" s="316">
        <v>481646</v>
      </c>
      <c r="E15" s="316">
        <v>560045</v>
      </c>
      <c r="F15" s="460">
        <v>440644</v>
      </c>
      <c r="G15" s="458">
        <v>295944</v>
      </c>
      <c r="H15" s="360"/>
      <c r="I15" s="316"/>
      <c r="J15" s="941"/>
      <c r="K15" s="962"/>
      <c r="L15" s="360"/>
      <c r="M15" s="316"/>
      <c r="N15" s="941"/>
      <c r="O15" s="962"/>
      <c r="P15" s="1816"/>
      <c r="Q15" s="460"/>
      <c r="R15" s="460"/>
      <c r="S15" s="458"/>
    </row>
    <row r="16" spans="1:26" ht="16.5" customHeight="1">
      <c r="A16" s="848" t="s">
        <v>290</v>
      </c>
      <c r="B16" s="294" t="s">
        <v>289</v>
      </c>
      <c r="C16" s="295" t="s">
        <v>235</v>
      </c>
      <c r="D16" s="310">
        <v>822007</v>
      </c>
      <c r="E16" s="310">
        <v>734090</v>
      </c>
      <c r="F16" s="233">
        <v>386443</v>
      </c>
      <c r="G16" s="459">
        <v>420628</v>
      </c>
      <c r="H16" s="358"/>
      <c r="I16" s="310"/>
      <c r="J16" s="939"/>
      <c r="K16" s="963"/>
      <c r="L16" s="358"/>
      <c r="M16" s="310"/>
      <c r="N16" s="939"/>
      <c r="O16" s="963"/>
      <c r="P16" s="1815"/>
      <c r="Q16" s="233"/>
      <c r="R16" s="233"/>
      <c r="S16" s="459"/>
    </row>
    <row r="17" spans="1:26" ht="16.5" customHeight="1" thickBot="1">
      <c r="A17" s="849" t="s">
        <v>290</v>
      </c>
      <c r="B17" s="294" t="s">
        <v>311</v>
      </c>
      <c r="C17" s="295" t="s">
        <v>235</v>
      </c>
      <c r="D17" s="301">
        <v>309682</v>
      </c>
      <c r="E17" s="301">
        <v>268610</v>
      </c>
      <c r="F17" s="455">
        <v>169368</v>
      </c>
      <c r="G17" s="456">
        <v>198081</v>
      </c>
      <c r="H17" s="356"/>
      <c r="I17" s="301"/>
      <c r="J17" s="689"/>
      <c r="K17" s="961"/>
      <c r="L17" s="356"/>
      <c r="M17" s="301"/>
      <c r="N17" s="689"/>
      <c r="O17" s="961"/>
      <c r="P17" s="713"/>
      <c r="Q17" s="455"/>
      <c r="R17" s="455"/>
      <c r="S17" s="456"/>
    </row>
    <row r="18" spans="1:26" ht="16.5" customHeight="1">
      <c r="A18" s="850" t="s">
        <v>223</v>
      </c>
      <c r="B18" s="302" t="s">
        <v>288</v>
      </c>
      <c r="C18" s="303" t="s">
        <v>229</v>
      </c>
      <c r="D18" s="304"/>
      <c r="E18" s="304"/>
      <c r="F18" s="457"/>
      <c r="G18" s="458"/>
      <c r="H18" s="357"/>
      <c r="I18" s="304"/>
      <c r="J18" s="964"/>
      <c r="K18" s="962"/>
      <c r="L18" s="357"/>
      <c r="M18" s="304"/>
      <c r="N18" s="964"/>
      <c r="O18" s="962"/>
      <c r="P18" s="1814"/>
      <c r="Q18" s="457"/>
      <c r="R18" s="457"/>
      <c r="S18" s="458"/>
    </row>
    <row r="19" spans="1:26" ht="16.5" customHeight="1">
      <c r="A19" s="848" t="s">
        <v>223</v>
      </c>
      <c r="B19" s="294" t="s">
        <v>289</v>
      </c>
      <c r="C19" s="309" t="s">
        <v>229</v>
      </c>
      <c r="D19" s="310">
        <v>564498</v>
      </c>
      <c r="E19" s="310">
        <v>812345</v>
      </c>
      <c r="F19" s="233">
        <v>516279</v>
      </c>
      <c r="G19" s="459">
        <v>575887</v>
      </c>
      <c r="H19" s="358"/>
      <c r="I19" s="310"/>
      <c r="J19" s="939"/>
      <c r="K19" s="963"/>
      <c r="L19" s="358"/>
      <c r="M19" s="310"/>
      <c r="N19" s="939"/>
      <c r="O19" s="963"/>
      <c r="P19" s="1815"/>
      <c r="Q19" s="233"/>
      <c r="R19" s="233"/>
      <c r="S19" s="459"/>
    </row>
    <row r="20" spans="1:26" s="72" customFormat="1" ht="16.5" customHeight="1" thickBot="1">
      <c r="A20" s="849" t="s">
        <v>223</v>
      </c>
      <c r="B20" s="311" t="s">
        <v>311</v>
      </c>
      <c r="C20" s="312" t="s">
        <v>229</v>
      </c>
      <c r="D20" s="832">
        <v>268584</v>
      </c>
      <c r="E20" s="832">
        <v>298521</v>
      </c>
      <c r="F20" s="833">
        <v>191498</v>
      </c>
      <c r="G20" s="860">
        <v>204629</v>
      </c>
      <c r="H20" s="326"/>
      <c r="I20" s="832"/>
      <c r="J20" s="940"/>
      <c r="K20" s="965"/>
      <c r="L20" s="326"/>
      <c r="M20" s="832"/>
      <c r="N20" s="940"/>
      <c r="O20" s="965"/>
      <c r="P20" s="384"/>
      <c r="Q20" s="833"/>
      <c r="R20" s="833"/>
      <c r="S20" s="860"/>
      <c r="Z20" s="45"/>
    </row>
    <row r="21" spans="1:26" s="72" customFormat="1" ht="16.5" customHeight="1">
      <c r="A21" s="850" t="s">
        <v>472</v>
      </c>
      <c r="B21" s="302" t="s">
        <v>288</v>
      </c>
      <c r="C21" s="303" t="s">
        <v>355</v>
      </c>
      <c r="D21" s="444"/>
      <c r="E21" s="444"/>
      <c r="F21" s="853"/>
      <c r="G21" s="854"/>
      <c r="H21" s="852"/>
      <c r="I21" s="444"/>
      <c r="J21" s="966"/>
      <c r="K21" s="967"/>
      <c r="L21" s="852"/>
      <c r="M21" s="444"/>
      <c r="N21" s="966"/>
      <c r="O21" s="967"/>
      <c r="P21" s="853"/>
      <c r="Q21" s="669"/>
      <c r="R21" s="853"/>
      <c r="S21" s="854"/>
      <c r="Z21" s="45"/>
    </row>
    <row r="22" spans="1:26" s="72" customFormat="1" ht="16.5" customHeight="1">
      <c r="A22" s="851" t="s">
        <v>473</v>
      </c>
      <c r="B22" s="294" t="s">
        <v>288</v>
      </c>
      <c r="C22" s="309" t="s">
        <v>355</v>
      </c>
      <c r="D22" s="206"/>
      <c r="E22" s="206"/>
      <c r="F22" s="713"/>
      <c r="G22" s="456"/>
      <c r="H22" s="712"/>
      <c r="I22" s="206"/>
      <c r="J22" s="968"/>
      <c r="K22" s="961"/>
      <c r="L22" s="712"/>
      <c r="M22" s="206"/>
      <c r="N22" s="968"/>
      <c r="O22" s="961"/>
      <c r="P22" s="713"/>
      <c r="Q22" s="455"/>
      <c r="R22" s="713"/>
      <c r="S22" s="456"/>
      <c r="Z22" s="45"/>
    </row>
    <row r="23" spans="1:26" s="72" customFormat="1" ht="16.5" customHeight="1">
      <c r="A23" s="848" t="s">
        <v>452</v>
      </c>
      <c r="B23" s="294" t="s">
        <v>289</v>
      </c>
      <c r="C23" s="309" t="s">
        <v>355</v>
      </c>
      <c r="D23" s="206"/>
      <c r="E23" s="206"/>
      <c r="F23" s="713"/>
      <c r="G23" s="456"/>
      <c r="H23" s="712"/>
      <c r="I23" s="206"/>
      <c r="J23" s="968"/>
      <c r="K23" s="961"/>
      <c r="L23" s="712"/>
      <c r="M23" s="206"/>
      <c r="N23" s="968"/>
      <c r="O23" s="961"/>
      <c r="P23" s="713"/>
      <c r="Q23" s="455"/>
      <c r="R23" s="713"/>
      <c r="S23" s="456"/>
      <c r="Z23" s="45"/>
    </row>
    <row r="24" spans="1:26" s="72" customFormat="1" ht="16.5" customHeight="1">
      <c r="A24" s="848" t="s">
        <v>452</v>
      </c>
      <c r="B24" s="294" t="s">
        <v>311</v>
      </c>
      <c r="C24" s="309" t="s">
        <v>650</v>
      </c>
      <c r="D24" s="206"/>
      <c r="E24" s="206"/>
      <c r="F24" s="713"/>
      <c r="G24" s="456"/>
      <c r="H24" s="712"/>
      <c r="I24" s="206"/>
      <c r="J24" s="713"/>
      <c r="K24" s="456"/>
      <c r="L24" s="712"/>
      <c r="M24" s="206"/>
      <c r="N24" s="968"/>
      <c r="O24" s="961"/>
      <c r="P24" s="713"/>
      <c r="Q24" s="455"/>
      <c r="R24" s="713"/>
      <c r="S24" s="456"/>
      <c r="Z24" s="45"/>
    </row>
    <row r="25" spans="1:26" s="72" customFormat="1" ht="16.5" customHeight="1" thickBot="1">
      <c r="A25" s="1612" t="s">
        <v>452</v>
      </c>
      <c r="B25" s="288" t="s">
        <v>235</v>
      </c>
      <c r="C25" s="1613" t="s">
        <v>636</v>
      </c>
      <c r="D25" s="206"/>
      <c r="E25" s="206"/>
      <c r="F25" s="455"/>
      <c r="G25" s="455"/>
      <c r="H25" s="206"/>
      <c r="I25" s="206"/>
      <c r="J25" s="455"/>
      <c r="K25" s="455"/>
      <c r="L25" s="206"/>
      <c r="M25" s="206"/>
      <c r="N25" s="689"/>
      <c r="O25" s="689"/>
      <c r="P25" s="455"/>
      <c r="Q25" s="455"/>
      <c r="R25" s="455"/>
      <c r="S25" s="860"/>
      <c r="Z25" s="45"/>
    </row>
    <row r="26" spans="1:26" s="72" customFormat="1" ht="16.5" customHeight="1">
      <c r="A26" s="850" t="s">
        <v>560</v>
      </c>
      <c r="B26" s="1239" t="s">
        <v>561</v>
      </c>
      <c r="C26" s="303" t="s">
        <v>262</v>
      </c>
      <c r="D26" s="1614"/>
      <c r="E26" s="1614"/>
      <c r="F26" s="1615"/>
      <c r="G26" s="1616"/>
      <c r="H26" s="1617"/>
      <c r="I26" s="1614"/>
      <c r="J26" s="1618"/>
      <c r="K26" s="1619"/>
      <c r="L26" s="1617"/>
      <c r="M26" s="1614"/>
      <c r="N26" s="1641"/>
      <c r="O26" s="1642"/>
      <c r="P26" s="1615"/>
      <c r="Q26" s="1810"/>
      <c r="R26" s="1615"/>
      <c r="S26" s="1616"/>
      <c r="Z26" s="45"/>
    </row>
    <row r="27" spans="1:26" s="72" customFormat="1" ht="16.5" customHeight="1">
      <c r="A27" s="848" t="s">
        <v>560</v>
      </c>
      <c r="B27" s="1240" t="s">
        <v>562</v>
      </c>
      <c r="C27" s="309" t="s">
        <v>262</v>
      </c>
      <c r="D27" s="206"/>
      <c r="E27" s="206"/>
      <c r="F27" s="713"/>
      <c r="G27" s="456"/>
      <c r="H27" s="712"/>
      <c r="I27" s="206"/>
      <c r="J27" s="905"/>
      <c r="K27" s="898"/>
      <c r="L27" s="712"/>
      <c r="M27" s="206"/>
      <c r="N27" s="968"/>
      <c r="O27" s="961"/>
      <c r="P27" s="713"/>
      <c r="Q27" s="455"/>
      <c r="R27" s="713"/>
      <c r="S27" s="456"/>
      <c r="Z27" s="45"/>
    </row>
    <row r="28" spans="1:26" s="72" customFormat="1" ht="16.5" customHeight="1" thickBot="1">
      <c r="A28" s="1620" t="s">
        <v>283</v>
      </c>
      <c r="B28" s="1621" t="s">
        <v>561</v>
      </c>
      <c r="C28" s="1622" t="s">
        <v>262</v>
      </c>
      <c r="D28" s="832"/>
      <c r="E28" s="832"/>
      <c r="F28" s="384"/>
      <c r="G28" s="860"/>
      <c r="H28" s="326"/>
      <c r="I28" s="832"/>
      <c r="J28" s="906"/>
      <c r="K28" s="904"/>
      <c r="L28" s="326"/>
      <c r="M28" s="832"/>
      <c r="N28" s="1146"/>
      <c r="O28" s="965"/>
      <c r="P28" s="384"/>
      <c r="Q28" s="833"/>
      <c r="R28" s="384"/>
      <c r="S28" s="860"/>
      <c r="Z28" s="45"/>
    </row>
    <row r="29" spans="1:26" s="72" customFormat="1" ht="16.5" customHeight="1" thickBot="1">
      <c r="A29" s="1478" t="s">
        <v>583</v>
      </c>
      <c r="B29" s="717" t="s">
        <v>235</v>
      </c>
      <c r="C29" s="917" t="s">
        <v>235</v>
      </c>
      <c r="D29" s="866"/>
      <c r="E29" s="866"/>
      <c r="F29" s="867"/>
      <c r="G29" s="868"/>
      <c r="H29" s="950"/>
      <c r="I29" s="951"/>
      <c r="J29" s="950"/>
      <c r="K29" s="952"/>
      <c r="L29" s="950"/>
      <c r="M29" s="951"/>
      <c r="N29" s="950"/>
      <c r="O29" s="952"/>
      <c r="P29" s="867"/>
      <c r="Q29" s="1811"/>
      <c r="R29" s="867"/>
      <c r="S29" s="868"/>
      <c r="Z29" s="45"/>
    </row>
    <row r="30" spans="1:26" s="72" customFormat="1" ht="16.5" customHeight="1" thickBot="1">
      <c r="A30" s="1478" t="s">
        <v>584</v>
      </c>
      <c r="B30" s="717"/>
      <c r="C30" s="917"/>
      <c r="D30" s="866"/>
      <c r="E30" s="866"/>
      <c r="F30" s="867"/>
      <c r="G30" s="868"/>
      <c r="H30" s="950"/>
      <c r="I30" s="951"/>
      <c r="J30" s="950"/>
      <c r="K30" s="952"/>
      <c r="L30" s="950"/>
      <c r="M30" s="951"/>
      <c r="N30" s="950"/>
      <c r="O30" s="952"/>
      <c r="P30" s="867"/>
      <c r="Q30" s="1811"/>
      <c r="R30" s="867"/>
      <c r="S30" s="868"/>
      <c r="Z30" s="45"/>
    </row>
    <row r="31" spans="1:26" s="72" customFormat="1" ht="16.5" customHeight="1" thickBot="1">
      <c r="A31" s="1478" t="s">
        <v>585</v>
      </c>
      <c r="B31" s="717"/>
      <c r="C31" s="917"/>
      <c r="D31" s="866"/>
      <c r="E31" s="866"/>
      <c r="F31" s="867"/>
      <c r="G31" s="868"/>
      <c r="H31" s="950"/>
      <c r="I31" s="951"/>
      <c r="J31" s="950"/>
      <c r="K31" s="952"/>
      <c r="L31" s="950"/>
      <c r="M31" s="951"/>
      <c r="N31" s="950"/>
      <c r="O31" s="952"/>
      <c r="P31" s="867"/>
      <c r="Q31" s="1811"/>
      <c r="R31" s="867"/>
      <c r="S31" s="868"/>
      <c r="Z31" s="45"/>
    </row>
    <row r="32" spans="1:26" s="72" customFormat="1" ht="16.05" customHeight="1" thickBot="1">
      <c r="A32" s="1478" t="s">
        <v>586</v>
      </c>
      <c r="B32" s="717" t="s">
        <v>235</v>
      </c>
      <c r="C32" s="917" t="s">
        <v>235</v>
      </c>
      <c r="D32" s="198"/>
      <c r="E32" s="198"/>
      <c r="F32" s="872"/>
      <c r="G32" s="670"/>
      <c r="H32" s="953"/>
      <c r="I32" s="954"/>
      <c r="J32" s="953"/>
      <c r="K32" s="944"/>
      <c r="L32" s="953"/>
      <c r="M32" s="954"/>
      <c r="N32" s="953"/>
      <c r="O32" s="944"/>
      <c r="P32" s="872"/>
      <c r="Q32" s="1768"/>
      <c r="R32" s="872"/>
      <c r="S32" s="670"/>
      <c r="Z32" s="45"/>
    </row>
    <row r="33" spans="1:26" s="72" customFormat="1" ht="16.5" customHeight="1" thickBot="1">
      <c r="A33" s="1865" t="s">
        <v>265</v>
      </c>
      <c r="B33" s="1866"/>
      <c r="C33" s="1866"/>
      <c r="D33" s="866">
        <v>103500</v>
      </c>
      <c r="E33" s="866">
        <v>103600</v>
      </c>
      <c r="F33" s="867">
        <v>26500</v>
      </c>
      <c r="G33" s="868">
        <v>39026</v>
      </c>
      <c r="H33" s="865"/>
      <c r="I33" s="866"/>
      <c r="J33" s="950"/>
      <c r="K33" s="952"/>
      <c r="L33" s="865"/>
      <c r="M33" s="866"/>
      <c r="N33" s="950"/>
      <c r="O33" s="952"/>
      <c r="P33" s="867"/>
      <c r="Q33" s="1811"/>
      <c r="R33" s="867"/>
      <c r="S33" s="868"/>
      <c r="Z33" s="45"/>
    </row>
    <row r="34" spans="1:26" ht="16.5" customHeight="1" thickBot="1">
      <c r="A34" s="863" t="s">
        <v>19</v>
      </c>
      <c r="B34" s="847" t="s">
        <v>260</v>
      </c>
      <c r="C34" s="917" t="s">
        <v>260</v>
      </c>
      <c r="D34" s="1037">
        <f>SUM(D9:D33)</f>
        <v>2773639</v>
      </c>
      <c r="E34" s="328">
        <f t="shared" ref="E34:G34" si="0">SUM(E9:E33)</f>
        <v>2940333</v>
      </c>
      <c r="F34" s="328">
        <f t="shared" si="0"/>
        <v>1743732</v>
      </c>
      <c r="G34" s="361">
        <f t="shared" si="0"/>
        <v>1750195</v>
      </c>
      <c r="H34" s="328"/>
      <c r="I34" s="328"/>
      <c r="J34" s="328"/>
      <c r="K34" s="361"/>
      <c r="L34" s="328"/>
      <c r="M34" s="328"/>
      <c r="N34" s="328"/>
      <c r="O34" s="361"/>
      <c r="P34" s="328"/>
      <c r="Q34" s="328"/>
      <c r="R34" s="328"/>
      <c r="S34" s="361"/>
    </row>
    <row r="35" spans="1:26">
      <c r="D35" s="1117"/>
      <c r="E35" s="1117"/>
      <c r="F35" s="1117"/>
      <c r="G35" s="1117"/>
      <c r="H35" s="1117"/>
      <c r="I35" s="1117"/>
      <c r="J35" s="1117"/>
    </row>
    <row r="36" spans="1:26" ht="16.2" thickBot="1">
      <c r="N36" s="1115"/>
      <c r="O36"/>
      <c r="P36" s="1115"/>
      <c r="Q36" s="14"/>
      <c r="R36" s="1115"/>
      <c r="S36" s="14"/>
      <c r="T36" s="125"/>
      <c r="U36" s="125"/>
      <c r="Z36" s="125"/>
    </row>
    <row r="37" spans="1:26" ht="16.2" thickBot="1">
      <c r="A37" s="840" t="str">
        <f t="shared" ref="A37:A54" si="1">A7</f>
        <v>Optical Transceivers for wireless fronthaul &amp; midhaul networks</v>
      </c>
      <c r="E37" s="834"/>
      <c r="F37" s="834"/>
      <c r="G37" s="834"/>
      <c r="H37" s="804" t="s">
        <v>226</v>
      </c>
      <c r="I37" s="834"/>
      <c r="J37" s="834"/>
      <c r="K37" s="834"/>
      <c r="L37" s="834"/>
      <c r="N37" s="804" t="str">
        <f>H37</f>
        <v>ASP: Actual Data</v>
      </c>
      <c r="P37"/>
      <c r="Q37"/>
      <c r="R37" s="1862" t="s">
        <v>623</v>
      </c>
      <c r="S37" s="1863"/>
    </row>
    <row r="38" spans="1:26" ht="13.8" thickBot="1">
      <c r="A38" s="618" t="str">
        <f t="shared" si="1"/>
        <v>Data Rate</v>
      </c>
      <c r="B38" s="617" t="str">
        <f t="shared" ref="B38:C54" si="2">B8</f>
        <v>Reach</v>
      </c>
      <c r="C38" s="619" t="str">
        <f t="shared" si="2"/>
        <v>Form Factor</v>
      </c>
      <c r="D38" s="143" t="s">
        <v>130</v>
      </c>
      <c r="E38" s="144" t="s">
        <v>131</v>
      </c>
      <c r="F38" s="144" t="s">
        <v>132</v>
      </c>
      <c r="G38" s="144" t="s">
        <v>133</v>
      </c>
      <c r="H38" s="143" t="str">
        <f t="shared" ref="H38:M38" si="3">H8</f>
        <v>1Q 18</v>
      </c>
      <c r="I38" s="144" t="str">
        <f t="shared" si="3"/>
        <v>2Q 18</v>
      </c>
      <c r="J38" s="144" t="str">
        <f t="shared" si="3"/>
        <v>3Q 18</v>
      </c>
      <c r="K38" s="144" t="str">
        <f t="shared" si="3"/>
        <v>4Q 18</v>
      </c>
      <c r="L38" s="143" t="str">
        <f t="shared" si="3"/>
        <v>1Q 19</v>
      </c>
      <c r="M38" s="144" t="str">
        <f t="shared" si="3"/>
        <v>2Q 19</v>
      </c>
      <c r="N38" s="144" t="s">
        <v>140</v>
      </c>
      <c r="O38" s="144" t="s">
        <v>141</v>
      </c>
      <c r="P38" s="143" t="s">
        <v>142</v>
      </c>
      <c r="Q38" s="144" t="s">
        <v>143</v>
      </c>
      <c r="R38" s="1550" t="s">
        <v>621</v>
      </c>
      <c r="S38" s="1550" t="s">
        <v>622</v>
      </c>
    </row>
    <row r="39" spans="1:26">
      <c r="A39" s="864" t="str">
        <f t="shared" si="1"/>
        <v>1 Gbps</v>
      </c>
      <c r="B39" s="288" t="str">
        <f t="shared" si="2"/>
        <v>≤ 0.5 km</v>
      </c>
      <c r="C39" s="289" t="str">
        <f t="shared" si="2"/>
        <v>all</v>
      </c>
      <c r="D39" s="291"/>
      <c r="E39" s="291"/>
      <c r="F39" s="291"/>
      <c r="G39" s="306"/>
      <c r="H39" s="291"/>
      <c r="I39" s="291"/>
      <c r="J39" s="907"/>
      <c r="K39" s="881"/>
      <c r="L39" s="291"/>
      <c r="M39" s="291"/>
      <c r="N39" s="907"/>
      <c r="O39" s="881"/>
      <c r="P39" s="1819"/>
      <c r="Q39" s="1819"/>
      <c r="R39" s="1819"/>
      <c r="S39" s="1820"/>
    </row>
    <row r="40" spans="1:26">
      <c r="A40" s="848" t="str">
        <f t="shared" si="1"/>
        <v>1 Gbps</v>
      </c>
      <c r="B40" s="294" t="str">
        <f t="shared" si="2"/>
        <v>0.5-7 km</v>
      </c>
      <c r="C40" s="295" t="str">
        <f t="shared" si="2"/>
        <v>all</v>
      </c>
      <c r="D40" s="297">
        <v>8</v>
      </c>
      <c r="E40" s="297">
        <v>8</v>
      </c>
      <c r="F40" s="297"/>
      <c r="G40" s="298"/>
      <c r="H40" s="297"/>
      <c r="I40" s="297"/>
      <c r="J40" s="878"/>
      <c r="K40" s="879"/>
      <c r="L40" s="297"/>
      <c r="M40" s="297"/>
      <c r="N40" s="878"/>
      <c r="O40" s="879"/>
      <c r="P40" s="1821"/>
      <c r="Q40" s="1821"/>
      <c r="R40" s="1821"/>
      <c r="S40" s="1822"/>
    </row>
    <row r="41" spans="1:26" ht="13.8" thickBot="1">
      <c r="A41" s="849" t="str">
        <f t="shared" si="1"/>
        <v>1 Gbps</v>
      </c>
      <c r="B41" s="294" t="str">
        <f t="shared" si="2"/>
        <v>7-20 km</v>
      </c>
      <c r="C41" s="295" t="str">
        <f t="shared" si="2"/>
        <v>all</v>
      </c>
      <c r="D41" s="861">
        <v>9</v>
      </c>
      <c r="E41" s="861">
        <v>9</v>
      </c>
      <c r="F41" s="861"/>
      <c r="G41" s="862"/>
      <c r="H41" s="861"/>
      <c r="I41" s="861"/>
      <c r="J41" s="882"/>
      <c r="K41" s="883"/>
      <c r="L41" s="861"/>
      <c r="M41" s="861"/>
      <c r="N41" s="882"/>
      <c r="O41" s="883"/>
      <c r="P41" s="1823"/>
      <c r="Q41" s="1823"/>
      <c r="R41" s="1823"/>
      <c r="S41" s="1824"/>
    </row>
    <row r="42" spans="1:26">
      <c r="A42" s="850" t="str">
        <f t="shared" si="1"/>
        <v>3 Gbps</v>
      </c>
      <c r="B42" s="302" t="str">
        <f t="shared" si="2"/>
        <v>≤ 0.5 km</v>
      </c>
      <c r="C42" s="303" t="str">
        <f t="shared" si="2"/>
        <v>all</v>
      </c>
      <c r="D42" s="305">
        <v>10</v>
      </c>
      <c r="E42" s="305">
        <v>10</v>
      </c>
      <c r="F42" s="305"/>
      <c r="G42" s="306"/>
      <c r="H42" s="305"/>
      <c r="I42" s="305"/>
      <c r="J42" s="880"/>
      <c r="K42" s="881"/>
      <c r="L42" s="305"/>
      <c r="M42" s="305"/>
      <c r="N42" s="880"/>
      <c r="O42" s="881"/>
      <c r="P42" s="1825"/>
      <c r="Q42" s="1825"/>
      <c r="R42" s="1825"/>
      <c r="S42" s="1820"/>
    </row>
    <row r="43" spans="1:26">
      <c r="A43" s="848" t="str">
        <f t="shared" si="1"/>
        <v>3 Gbps</v>
      </c>
      <c r="B43" s="294" t="str">
        <f t="shared" si="2"/>
        <v>0.5-7 km</v>
      </c>
      <c r="C43" s="309" t="str">
        <f t="shared" si="2"/>
        <v>all</v>
      </c>
      <c r="D43" s="297">
        <v>15</v>
      </c>
      <c r="E43" s="297">
        <v>15</v>
      </c>
      <c r="F43" s="297"/>
      <c r="G43" s="298"/>
      <c r="H43" s="297"/>
      <c r="I43" s="297"/>
      <c r="J43" s="878"/>
      <c r="K43" s="879"/>
      <c r="L43" s="297"/>
      <c r="M43" s="297"/>
      <c r="N43" s="878"/>
      <c r="O43" s="879"/>
      <c r="P43" s="1821"/>
      <c r="Q43" s="1821"/>
      <c r="R43" s="1821"/>
      <c r="S43" s="1822"/>
    </row>
    <row r="44" spans="1:26" ht="13.8" thickBot="1">
      <c r="A44" s="849" t="str">
        <f t="shared" si="1"/>
        <v>3 Gbps</v>
      </c>
      <c r="B44" s="311" t="str">
        <f t="shared" si="2"/>
        <v>7-20 km</v>
      </c>
      <c r="C44" s="312" t="str">
        <f t="shared" si="2"/>
        <v>all</v>
      </c>
      <c r="D44" s="861">
        <v>24</v>
      </c>
      <c r="E44" s="861">
        <v>23</v>
      </c>
      <c r="F44" s="861">
        <v>29.384615384615383</v>
      </c>
      <c r="G44" s="862">
        <v>28</v>
      </c>
      <c r="H44" s="861"/>
      <c r="I44" s="861"/>
      <c r="J44" s="973"/>
      <c r="K44" s="974"/>
      <c r="L44" s="861"/>
      <c r="M44" s="861"/>
      <c r="N44" s="973"/>
      <c r="O44" s="974"/>
      <c r="P44" s="1823"/>
      <c r="Q44" s="1823"/>
      <c r="R44" s="1823"/>
      <c r="S44" s="1824"/>
    </row>
    <row r="45" spans="1:26">
      <c r="A45" s="850" t="str">
        <f t="shared" si="1"/>
        <v>6 Gbps</v>
      </c>
      <c r="B45" s="294" t="str">
        <f t="shared" si="2"/>
        <v>≤ 0.5 km</v>
      </c>
      <c r="C45" s="295" t="str">
        <f t="shared" si="2"/>
        <v>all</v>
      </c>
      <c r="D45" s="291">
        <v>11</v>
      </c>
      <c r="E45" s="305">
        <v>11</v>
      </c>
      <c r="F45" s="305">
        <v>10.743731901489658</v>
      </c>
      <c r="G45" s="306">
        <v>10.307399372854361</v>
      </c>
      <c r="H45" s="317"/>
      <c r="I45" s="305"/>
      <c r="J45" s="969"/>
      <c r="K45" s="970"/>
      <c r="L45" s="317"/>
      <c r="M45" s="305"/>
      <c r="N45" s="969"/>
      <c r="O45" s="970"/>
      <c r="P45" s="1826"/>
      <c r="Q45" s="1825"/>
      <c r="R45" s="1825"/>
      <c r="S45" s="1820"/>
    </row>
    <row r="46" spans="1:26">
      <c r="A46" s="848" t="str">
        <f t="shared" si="1"/>
        <v>6 Gbps</v>
      </c>
      <c r="B46" s="294" t="str">
        <f t="shared" si="2"/>
        <v>0.5-7 km</v>
      </c>
      <c r="C46" s="295" t="str">
        <f t="shared" si="2"/>
        <v>all</v>
      </c>
      <c r="D46" s="297">
        <v>15</v>
      </c>
      <c r="E46" s="297">
        <v>15</v>
      </c>
      <c r="F46" s="297">
        <v>15.56405472475889</v>
      </c>
      <c r="G46" s="298">
        <v>14.452739713000561</v>
      </c>
      <c r="H46" s="321"/>
      <c r="I46" s="297"/>
      <c r="J46" s="971"/>
      <c r="K46" s="972"/>
      <c r="L46" s="321"/>
      <c r="M46" s="297"/>
      <c r="N46" s="971"/>
      <c r="O46" s="972"/>
      <c r="P46" s="1827"/>
      <c r="Q46" s="1821"/>
      <c r="R46" s="1821"/>
      <c r="S46" s="1822"/>
    </row>
    <row r="47" spans="1:26" ht="13.8" thickBot="1">
      <c r="A47" s="849" t="str">
        <f t="shared" si="1"/>
        <v>6 Gbps</v>
      </c>
      <c r="B47" s="294" t="str">
        <f t="shared" si="2"/>
        <v>7-20 km</v>
      </c>
      <c r="C47" s="295" t="str">
        <f t="shared" si="2"/>
        <v>all</v>
      </c>
      <c r="D47" s="861">
        <v>28</v>
      </c>
      <c r="E47" s="861">
        <v>27</v>
      </c>
      <c r="F47" s="861">
        <v>26.463133531717922</v>
      </c>
      <c r="G47" s="862">
        <v>28.160641353789622</v>
      </c>
      <c r="H47" s="322"/>
      <c r="I47" s="861"/>
      <c r="J47" s="973"/>
      <c r="K47" s="974"/>
      <c r="L47" s="322"/>
      <c r="M47" s="861"/>
      <c r="N47" s="973"/>
      <c r="O47" s="974"/>
      <c r="P47" s="1828"/>
      <c r="Q47" s="1823"/>
      <c r="R47" s="1823"/>
      <c r="S47" s="1824"/>
    </row>
    <row r="48" spans="1:26">
      <c r="A48" s="850" t="str">
        <f t="shared" si="1"/>
        <v>10 Gbps</v>
      </c>
      <c r="B48" s="302" t="str">
        <f t="shared" si="2"/>
        <v>≤ 0.5 km</v>
      </c>
      <c r="C48" s="303" t="str">
        <f t="shared" si="2"/>
        <v>SFP+</v>
      </c>
      <c r="D48" s="305"/>
      <c r="E48" s="305"/>
      <c r="F48" s="305"/>
      <c r="G48" s="306"/>
      <c r="H48" s="317"/>
      <c r="I48" s="305"/>
      <c r="J48" s="969"/>
      <c r="K48" s="970"/>
      <c r="L48" s="317"/>
      <c r="M48" s="305"/>
      <c r="N48" s="969"/>
      <c r="O48" s="970"/>
      <c r="P48" s="1826"/>
      <c r="Q48" s="1825"/>
      <c r="R48" s="1825"/>
      <c r="S48" s="1820"/>
    </row>
    <row r="49" spans="1:19">
      <c r="A49" s="848" t="str">
        <f t="shared" si="1"/>
        <v>10 Gbps</v>
      </c>
      <c r="B49" s="294" t="str">
        <f t="shared" si="2"/>
        <v>0.5-7 km</v>
      </c>
      <c r="C49" s="309" t="str">
        <f t="shared" si="2"/>
        <v>SFP+</v>
      </c>
      <c r="D49" s="297">
        <v>18</v>
      </c>
      <c r="E49" s="297">
        <v>17</v>
      </c>
      <c r="F49" s="297">
        <v>17.381659916440523</v>
      </c>
      <c r="G49" s="298">
        <v>16.344999973953225</v>
      </c>
      <c r="H49" s="321"/>
      <c r="I49" s="297"/>
      <c r="J49" s="971"/>
      <c r="K49" s="972"/>
      <c r="L49" s="321"/>
      <c r="M49" s="297"/>
      <c r="N49" s="971"/>
      <c r="O49" s="972"/>
      <c r="P49" s="1827"/>
      <c r="Q49" s="1821"/>
      <c r="R49" s="1821"/>
      <c r="S49" s="1822"/>
    </row>
    <row r="50" spans="1:19" ht="13.8" thickBot="1">
      <c r="A50" s="849" t="str">
        <f t="shared" si="1"/>
        <v>10 Gbps</v>
      </c>
      <c r="B50" s="311" t="str">
        <f t="shared" si="2"/>
        <v>7-20 km</v>
      </c>
      <c r="C50" s="312" t="str">
        <f t="shared" si="2"/>
        <v>SFP+</v>
      </c>
      <c r="D50" s="861">
        <v>30</v>
      </c>
      <c r="E50" s="861">
        <v>28</v>
      </c>
      <c r="F50" s="861">
        <v>25.177614270178378</v>
      </c>
      <c r="G50" s="862">
        <v>24.209937966976948</v>
      </c>
      <c r="H50" s="322"/>
      <c r="I50" s="861"/>
      <c r="J50" s="973"/>
      <c r="K50" s="974"/>
      <c r="L50" s="322"/>
      <c r="M50" s="861"/>
      <c r="N50" s="973"/>
      <c r="O50" s="974"/>
      <c r="P50" s="1828"/>
      <c r="Q50" s="1823"/>
      <c r="R50" s="1823"/>
      <c r="S50" s="1824"/>
    </row>
    <row r="51" spans="1:19">
      <c r="A51" s="850" t="str">
        <f t="shared" si="1"/>
        <v>25 Gbps (MMF)</v>
      </c>
      <c r="B51" s="302" t="str">
        <f t="shared" si="2"/>
        <v>≤ 0.5 km</v>
      </c>
      <c r="C51" s="303" t="str">
        <f t="shared" si="2"/>
        <v>SFP28</v>
      </c>
      <c r="D51" s="856"/>
      <c r="E51" s="856"/>
      <c r="F51" s="856"/>
      <c r="G51" s="857"/>
      <c r="H51" s="855"/>
      <c r="I51" s="856"/>
      <c r="J51" s="975"/>
      <c r="K51" s="976"/>
      <c r="L51" s="855"/>
      <c r="M51" s="856"/>
      <c r="N51" s="975"/>
      <c r="O51" s="976"/>
      <c r="P51" s="1829"/>
      <c r="Q51" s="1830"/>
      <c r="R51" s="1830"/>
      <c r="S51" s="1831"/>
    </row>
    <row r="52" spans="1:19">
      <c r="A52" s="851" t="str">
        <f t="shared" si="1"/>
        <v>25 Gbps (SMF)</v>
      </c>
      <c r="B52" s="294" t="str">
        <f t="shared" si="2"/>
        <v>≤ 0.5 km</v>
      </c>
      <c r="C52" s="309" t="str">
        <f t="shared" si="2"/>
        <v>SFP28</v>
      </c>
      <c r="D52" s="715"/>
      <c r="E52" s="715"/>
      <c r="F52" s="715"/>
      <c r="G52" s="716"/>
      <c r="H52" s="714"/>
      <c r="I52" s="715"/>
      <c r="J52" s="977"/>
      <c r="K52" s="978"/>
      <c r="L52" s="714"/>
      <c r="M52" s="715"/>
      <c r="N52" s="977"/>
      <c r="O52" s="978"/>
      <c r="P52" s="1832"/>
      <c r="Q52" s="1833"/>
      <c r="R52" s="1833"/>
      <c r="S52" s="1834"/>
    </row>
    <row r="53" spans="1:19">
      <c r="A53" s="848" t="str">
        <f t="shared" si="1"/>
        <v>25 Gbps</v>
      </c>
      <c r="B53" s="294" t="str">
        <f t="shared" si="2"/>
        <v>0.5-7 km</v>
      </c>
      <c r="C53" s="309" t="str">
        <f t="shared" si="2"/>
        <v>SFP28</v>
      </c>
      <c r="D53" s="715"/>
      <c r="E53" s="715"/>
      <c r="F53" s="715"/>
      <c r="G53" s="716"/>
      <c r="H53" s="714"/>
      <c r="I53" s="715"/>
      <c r="J53" s="977"/>
      <c r="K53" s="978"/>
      <c r="L53" s="714"/>
      <c r="M53" s="715"/>
      <c r="N53" s="977"/>
      <c r="O53" s="978"/>
      <c r="P53" s="1832"/>
      <c r="Q53" s="1833"/>
      <c r="R53" s="1833"/>
      <c r="S53" s="1834"/>
    </row>
    <row r="54" spans="1:19">
      <c r="A54" s="848" t="str">
        <f t="shared" si="1"/>
        <v>25 Gbps</v>
      </c>
      <c r="B54" s="294" t="str">
        <f t="shared" si="2"/>
        <v>7-20 km</v>
      </c>
      <c r="C54" s="309" t="str">
        <f t="shared" si="2"/>
        <v>Duplex</v>
      </c>
      <c r="D54" s="715"/>
      <c r="E54" s="715"/>
      <c r="F54" s="715"/>
      <c r="G54" s="716"/>
      <c r="H54" s="714"/>
      <c r="I54" s="715"/>
      <c r="J54" s="1623"/>
      <c r="K54" s="1624"/>
      <c r="L54" s="714"/>
      <c r="M54" s="715"/>
      <c r="N54" s="977"/>
      <c r="O54" s="978"/>
      <c r="P54" s="1832"/>
      <c r="Q54" s="1833"/>
      <c r="R54" s="1833"/>
      <c r="S54" s="1834"/>
    </row>
    <row r="55" spans="1:19" ht="13.8" thickBot="1">
      <c r="A55" s="849" t="s">
        <v>452</v>
      </c>
      <c r="B55" s="311" t="s">
        <v>235</v>
      </c>
      <c r="C55" s="312" t="s">
        <v>636</v>
      </c>
      <c r="D55" s="861"/>
      <c r="E55" s="861"/>
      <c r="F55" s="861"/>
      <c r="G55" s="862"/>
      <c r="H55" s="322"/>
      <c r="I55" s="861"/>
      <c r="J55" s="973"/>
      <c r="K55" s="974"/>
      <c r="L55" s="322"/>
      <c r="M55" s="861"/>
      <c r="N55" s="973"/>
      <c r="O55" s="974"/>
      <c r="P55" s="1828"/>
      <c r="Q55" s="1823"/>
      <c r="R55" s="1823"/>
      <c r="S55" s="1824"/>
    </row>
    <row r="56" spans="1:19">
      <c r="A56" s="850" t="str">
        <f t="shared" ref="A56:C58" si="4">A26</f>
        <v>50 Gbps</v>
      </c>
      <c r="B56" s="302" t="str">
        <f t="shared" si="4"/>
        <v>≤ 10 km</v>
      </c>
      <c r="C56" s="303" t="str">
        <f t="shared" si="4"/>
        <v>QSFP28</v>
      </c>
      <c r="D56" s="1625"/>
      <c r="E56" s="1625"/>
      <c r="F56" s="1625"/>
      <c r="G56" s="1626"/>
      <c r="H56" s="1627"/>
      <c r="I56" s="1625"/>
      <c r="J56" s="1628"/>
      <c r="K56" s="1629"/>
      <c r="L56" s="1627"/>
      <c r="M56" s="1625"/>
      <c r="N56" s="1643"/>
      <c r="O56" s="1644"/>
      <c r="P56" s="1835"/>
      <c r="Q56" s="1836"/>
      <c r="R56" s="1836"/>
      <c r="S56" s="1837"/>
    </row>
    <row r="57" spans="1:19">
      <c r="A57" s="848" t="str">
        <f t="shared" si="4"/>
        <v>50 Gbps</v>
      </c>
      <c r="B57" s="294" t="str">
        <f t="shared" si="4"/>
        <v>10-20 km</v>
      </c>
      <c r="C57" s="309" t="str">
        <f t="shared" si="4"/>
        <v>QSFP28</v>
      </c>
      <c r="D57" s="715"/>
      <c r="E57" s="715"/>
      <c r="F57" s="715"/>
      <c r="G57" s="716"/>
      <c r="H57" s="714"/>
      <c r="I57" s="715"/>
      <c r="J57" s="884"/>
      <c r="K57" s="885"/>
      <c r="L57" s="714"/>
      <c r="M57" s="715"/>
      <c r="N57" s="977"/>
      <c r="O57" s="978"/>
      <c r="P57" s="1832"/>
      <c r="Q57" s="1833"/>
      <c r="R57" s="1833"/>
      <c r="S57" s="1834"/>
    </row>
    <row r="58" spans="1:19" ht="13.8" thickBot="1">
      <c r="A58" s="1620" t="str">
        <f t="shared" si="4"/>
        <v>100 Gbps</v>
      </c>
      <c r="B58" s="1630" t="str">
        <f t="shared" si="4"/>
        <v>≤ 10 km</v>
      </c>
      <c r="C58" s="1622" t="str">
        <f t="shared" si="4"/>
        <v>QSFP28</v>
      </c>
      <c r="D58" s="861"/>
      <c r="E58" s="861"/>
      <c r="F58" s="861"/>
      <c r="G58" s="862"/>
      <c r="H58" s="322"/>
      <c r="I58" s="861"/>
      <c r="J58" s="882"/>
      <c r="K58" s="883"/>
      <c r="L58" s="322"/>
      <c r="M58" s="861"/>
      <c r="N58" s="973"/>
      <c r="O58" s="974"/>
      <c r="P58" s="1828"/>
      <c r="Q58" s="1823"/>
      <c r="R58" s="1823"/>
      <c r="S58" s="1824"/>
    </row>
    <row r="59" spans="1:19" ht="13.8" thickBot="1">
      <c r="A59" s="1478" t="s">
        <v>583</v>
      </c>
      <c r="B59" s="717" t="str">
        <f>B29</f>
        <v>all</v>
      </c>
      <c r="C59" s="917" t="str">
        <f>C29</f>
        <v>all</v>
      </c>
      <c r="D59" s="870"/>
      <c r="E59" s="870"/>
      <c r="F59" s="870"/>
      <c r="G59" s="871"/>
      <c r="H59" s="955"/>
      <c r="I59" s="956"/>
      <c r="J59" s="956"/>
      <c r="K59" s="957"/>
      <c r="L59" s="955"/>
      <c r="M59" s="956"/>
      <c r="N59" s="956"/>
      <c r="O59" s="957"/>
      <c r="P59" s="1838"/>
      <c r="Q59" s="1839"/>
      <c r="R59" s="1839"/>
      <c r="S59" s="1840"/>
    </row>
    <row r="60" spans="1:19" ht="13.8" thickBot="1">
      <c r="A60" s="1478" t="s">
        <v>584</v>
      </c>
      <c r="B60" s="717"/>
      <c r="C60" s="917"/>
      <c r="D60" s="870"/>
      <c r="E60" s="870"/>
      <c r="F60" s="870"/>
      <c r="G60" s="871"/>
      <c r="H60" s="955"/>
      <c r="I60" s="956"/>
      <c r="J60" s="956"/>
      <c r="K60" s="957"/>
      <c r="L60" s="955"/>
      <c r="M60" s="956"/>
      <c r="N60" s="956"/>
      <c r="O60" s="957"/>
      <c r="P60" s="1838"/>
      <c r="Q60" s="1839"/>
      <c r="R60" s="1839"/>
      <c r="S60" s="1840"/>
    </row>
    <row r="61" spans="1:19" ht="13.8" thickBot="1">
      <c r="A61" s="1478" t="s">
        <v>585</v>
      </c>
      <c r="B61" s="717"/>
      <c r="C61" s="917"/>
      <c r="D61" s="870"/>
      <c r="E61" s="870"/>
      <c r="F61" s="870"/>
      <c r="G61" s="871"/>
      <c r="H61" s="955"/>
      <c r="I61" s="956"/>
      <c r="J61" s="956"/>
      <c r="K61" s="957"/>
      <c r="L61" s="955"/>
      <c r="M61" s="956"/>
      <c r="N61" s="956"/>
      <c r="O61" s="957"/>
      <c r="P61" s="1838"/>
      <c r="Q61" s="1839"/>
      <c r="R61" s="1839"/>
      <c r="S61" s="1840"/>
    </row>
    <row r="62" spans="1:19" ht="13.8" thickBot="1">
      <c r="A62" s="1478" t="s">
        <v>586</v>
      </c>
      <c r="B62" s="717" t="str">
        <f t="shared" ref="B62:C62" si="5">B32</f>
        <v>all</v>
      </c>
      <c r="C62" s="917" t="str">
        <f t="shared" si="5"/>
        <v>all</v>
      </c>
      <c r="D62" s="329"/>
      <c r="E62" s="329"/>
      <c r="F62" s="329"/>
      <c r="G62" s="330"/>
      <c r="H62" s="958"/>
      <c r="I62" s="959"/>
      <c r="J62" s="959"/>
      <c r="K62" s="960"/>
      <c r="L62" s="958"/>
      <c r="M62" s="959"/>
      <c r="N62" s="959"/>
      <c r="O62" s="960"/>
      <c r="P62" s="1841"/>
      <c r="Q62" s="1842"/>
      <c r="R62" s="1842"/>
      <c r="S62" s="1843"/>
    </row>
    <row r="63" spans="1:19" ht="13.8" thickBot="1">
      <c r="A63" s="1865" t="str">
        <f>A33</f>
        <v>Miscellaneous</v>
      </c>
      <c r="B63" s="1866"/>
      <c r="C63" s="1866"/>
      <c r="D63" s="870">
        <v>17</v>
      </c>
      <c r="E63" s="870">
        <v>17</v>
      </c>
      <c r="F63" s="870">
        <v>35.169811320754718</v>
      </c>
      <c r="G63" s="871">
        <v>38.384666632501407</v>
      </c>
      <c r="H63" s="869"/>
      <c r="I63" s="870"/>
      <c r="J63" s="956"/>
      <c r="K63" s="957"/>
      <c r="L63" s="869"/>
      <c r="M63" s="870"/>
      <c r="N63" s="956"/>
      <c r="O63" s="957"/>
      <c r="P63" s="1838"/>
      <c r="Q63" s="1839"/>
      <c r="R63" s="1839"/>
      <c r="S63" s="1840"/>
    </row>
    <row r="64" spans="1:19" ht="13.8" thickBot="1">
      <c r="A64" s="863" t="str">
        <f>A34</f>
        <v>Total</v>
      </c>
      <c r="B64" s="847" t="str">
        <f>B34</f>
        <v>All</v>
      </c>
      <c r="C64" s="327" t="str">
        <f>C34</f>
        <v>All</v>
      </c>
      <c r="D64" s="331">
        <f t="shared" ref="D64:G64" si="6">D94/D34</f>
        <v>17.970838670785923</v>
      </c>
      <c r="E64" s="329">
        <f t="shared" si="6"/>
        <v>17.22171400314182</v>
      </c>
      <c r="F64" s="329">
        <f t="shared" si="6"/>
        <v>17.399484426225261</v>
      </c>
      <c r="G64" s="330">
        <f t="shared" si="6"/>
        <v>17.724114396535551</v>
      </c>
      <c r="H64" s="331"/>
      <c r="I64" s="329"/>
      <c r="J64" s="329"/>
      <c r="K64" s="330"/>
      <c r="L64" s="331"/>
      <c r="M64" s="329"/>
      <c r="N64" s="959"/>
      <c r="O64" s="960"/>
      <c r="P64" s="958"/>
      <c r="Q64" s="959"/>
      <c r="R64" s="1817"/>
      <c r="S64" s="1818"/>
    </row>
    <row r="65" spans="1:19">
      <c r="D65" s="126"/>
      <c r="E65" s="126"/>
      <c r="F65" s="126"/>
      <c r="G65" s="126"/>
      <c r="H65" s="126"/>
      <c r="I65" s="126"/>
      <c r="J65" s="126"/>
      <c r="K65" s="126"/>
      <c r="L65" s="126"/>
      <c r="M65" s="126"/>
      <c r="N65" s="126"/>
      <c r="O65" s="126"/>
      <c r="P65" s="126"/>
      <c r="Q65" s="126"/>
      <c r="R65" s="126"/>
      <c r="S65" s="126"/>
    </row>
    <row r="66" spans="1:19" ht="16.2" thickBot="1">
      <c r="N66" s="1115"/>
      <c r="O66"/>
      <c r="P66" s="1115"/>
      <c r="Q66" s="14"/>
      <c r="R66" s="1115"/>
      <c r="S66" s="14"/>
    </row>
    <row r="67" spans="1:19" ht="16.2" thickBot="1">
      <c r="A67" s="840" t="str">
        <f t="shared" ref="A67:A84" si="7">A7</f>
        <v>Optical Transceivers for wireless fronthaul &amp; midhaul networks</v>
      </c>
      <c r="E67" s="834"/>
      <c r="F67" s="834"/>
      <c r="G67" s="834"/>
      <c r="H67" s="804" t="s">
        <v>210</v>
      </c>
      <c r="I67" s="834"/>
      <c r="J67" s="834"/>
      <c r="K67" s="834"/>
      <c r="L67" s="834"/>
      <c r="M67" s="834"/>
      <c r="N67" s="804" t="str">
        <f>H67</f>
        <v>Sales: Actual Data</v>
      </c>
      <c r="P67"/>
      <c r="Q67"/>
      <c r="R67" s="1862" t="s">
        <v>624</v>
      </c>
      <c r="S67" s="1863"/>
    </row>
    <row r="68" spans="1:19" ht="13.8" thickBot="1">
      <c r="A68" s="618" t="str">
        <f t="shared" si="7"/>
        <v>Data Rate</v>
      </c>
      <c r="B68" s="617" t="str">
        <f t="shared" ref="B68:C84" si="8">B8</f>
        <v>Reach</v>
      </c>
      <c r="C68" s="619" t="str">
        <f t="shared" si="8"/>
        <v>Form Factor</v>
      </c>
      <c r="D68" s="143" t="s">
        <v>130</v>
      </c>
      <c r="E68" s="144" t="s">
        <v>131</v>
      </c>
      <c r="F68" s="144" t="s">
        <v>132</v>
      </c>
      <c r="G68" s="144" t="s">
        <v>133</v>
      </c>
      <c r="H68" s="143" t="str">
        <f t="shared" ref="H68:M68" si="9">H8</f>
        <v>1Q 18</v>
      </c>
      <c r="I68" s="144" t="str">
        <f t="shared" si="9"/>
        <v>2Q 18</v>
      </c>
      <c r="J68" s="143" t="str">
        <f t="shared" si="9"/>
        <v>3Q 18</v>
      </c>
      <c r="K68" s="144" t="str">
        <f t="shared" si="9"/>
        <v>4Q 18</v>
      </c>
      <c r="L68" s="143" t="str">
        <f t="shared" si="9"/>
        <v>1Q 19</v>
      </c>
      <c r="M68" s="144" t="str">
        <f t="shared" si="9"/>
        <v>2Q 19</v>
      </c>
      <c r="N68" s="143" t="s">
        <v>140</v>
      </c>
      <c r="O68" s="144" t="s">
        <v>141</v>
      </c>
      <c r="P68" s="771" t="s">
        <v>142</v>
      </c>
      <c r="Q68" s="771" t="s">
        <v>143</v>
      </c>
      <c r="R68" s="774" t="s">
        <v>621</v>
      </c>
      <c r="S68" s="774" t="s">
        <v>622</v>
      </c>
    </row>
    <row r="69" spans="1:19">
      <c r="A69" s="864" t="str">
        <f t="shared" si="7"/>
        <v>1 Gbps</v>
      </c>
      <c r="B69" s="288" t="str">
        <f t="shared" si="8"/>
        <v>≤ 0.5 km</v>
      </c>
      <c r="C69" s="289" t="str">
        <f t="shared" si="8"/>
        <v>all</v>
      </c>
      <c r="D69" s="1038">
        <f t="shared" ref="D69:H80" si="10">D9*D39</f>
        <v>0</v>
      </c>
      <c r="E69" s="293">
        <f t="shared" si="10"/>
        <v>0</v>
      </c>
      <c r="F69" s="299">
        <f t="shared" si="10"/>
        <v>0</v>
      </c>
      <c r="G69" s="299">
        <f t="shared" si="10"/>
        <v>0</v>
      </c>
      <c r="H69" s="292">
        <f t="shared" si="10"/>
        <v>0</v>
      </c>
      <c r="I69" s="293"/>
      <c r="J69" s="299"/>
      <c r="K69" s="299"/>
      <c r="L69" s="292"/>
      <c r="M69" s="293"/>
      <c r="N69" s="299"/>
      <c r="O69" s="299"/>
      <c r="P69" s="1556"/>
      <c r="Q69" s="1557"/>
      <c r="R69" s="886"/>
      <c r="S69" s="886"/>
    </row>
    <row r="70" spans="1:19">
      <c r="A70" s="848" t="str">
        <f t="shared" si="7"/>
        <v>1 Gbps</v>
      </c>
      <c r="B70" s="294" t="str">
        <f t="shared" si="8"/>
        <v>0.5-7 km</v>
      </c>
      <c r="C70" s="295" t="str">
        <f t="shared" si="8"/>
        <v>all</v>
      </c>
      <c r="D70" s="1039">
        <f t="shared" si="10"/>
        <v>400000</v>
      </c>
      <c r="E70" s="293">
        <f t="shared" si="10"/>
        <v>320000</v>
      </c>
      <c r="F70" s="299">
        <f t="shared" si="10"/>
        <v>0</v>
      </c>
      <c r="G70" s="300">
        <f t="shared" si="10"/>
        <v>0</v>
      </c>
      <c r="H70" s="299">
        <f t="shared" si="10"/>
        <v>0</v>
      </c>
      <c r="I70" s="293"/>
      <c r="J70" s="299"/>
      <c r="K70" s="300"/>
      <c r="L70" s="299"/>
      <c r="M70" s="293"/>
      <c r="N70" s="299"/>
      <c r="O70" s="300"/>
      <c r="P70" s="886"/>
      <c r="Q70" s="1557"/>
      <c r="R70" s="886"/>
      <c r="S70" s="1558"/>
    </row>
    <row r="71" spans="1:19" ht="13.8" thickBot="1">
      <c r="A71" s="849" t="str">
        <f t="shared" si="7"/>
        <v>1 Gbps</v>
      </c>
      <c r="B71" s="294" t="str">
        <f t="shared" si="8"/>
        <v>7-20 km</v>
      </c>
      <c r="C71" s="295" t="str">
        <f t="shared" si="8"/>
        <v>all</v>
      </c>
      <c r="D71" s="1039">
        <f t="shared" si="10"/>
        <v>58500</v>
      </c>
      <c r="E71" s="259">
        <f t="shared" si="10"/>
        <v>42300</v>
      </c>
      <c r="F71" s="299">
        <f t="shared" si="10"/>
        <v>0</v>
      </c>
      <c r="G71" s="300">
        <f t="shared" si="10"/>
        <v>0</v>
      </c>
      <c r="H71" s="299">
        <f t="shared" si="10"/>
        <v>0</v>
      </c>
      <c r="I71" s="259"/>
      <c r="J71" s="299"/>
      <c r="K71" s="300"/>
      <c r="L71" s="299"/>
      <c r="M71" s="259"/>
      <c r="N71" s="299"/>
      <c r="O71" s="300"/>
      <c r="P71" s="886"/>
      <c r="Q71" s="1559"/>
      <c r="R71" s="886"/>
      <c r="S71" s="1558"/>
    </row>
    <row r="72" spans="1:19">
      <c r="A72" s="850" t="str">
        <f t="shared" si="7"/>
        <v>3 Gbps</v>
      </c>
      <c r="B72" s="302" t="str">
        <f t="shared" si="8"/>
        <v>≤ 0.5 km</v>
      </c>
      <c r="C72" s="303" t="str">
        <f t="shared" si="8"/>
        <v>all</v>
      </c>
      <c r="D72" s="1040">
        <f t="shared" si="10"/>
        <v>0</v>
      </c>
      <c r="E72" s="253">
        <f t="shared" si="10"/>
        <v>0</v>
      </c>
      <c r="F72" s="307">
        <f t="shared" si="10"/>
        <v>0</v>
      </c>
      <c r="G72" s="308">
        <f t="shared" si="10"/>
        <v>0</v>
      </c>
      <c r="H72" s="307">
        <f t="shared" si="10"/>
        <v>0</v>
      </c>
      <c r="I72" s="253"/>
      <c r="J72" s="307"/>
      <c r="K72" s="308"/>
      <c r="L72" s="307">
        <f t="shared" ref="L72:M84" si="11">L12*L42</f>
        <v>0</v>
      </c>
      <c r="M72" s="253">
        <f t="shared" si="11"/>
        <v>0</v>
      </c>
      <c r="N72" s="307">
        <f t="shared" ref="N72:Q74" si="12">N42*N12</f>
        <v>0</v>
      </c>
      <c r="O72" s="308">
        <f t="shared" si="12"/>
        <v>0</v>
      </c>
      <c r="P72" s="887">
        <f t="shared" si="12"/>
        <v>0</v>
      </c>
      <c r="Q72" s="1560">
        <f t="shared" si="12"/>
        <v>0</v>
      </c>
      <c r="R72" s="887">
        <f t="shared" ref="R72:S72" si="13">R42*R12</f>
        <v>0</v>
      </c>
      <c r="S72" s="1561">
        <f t="shared" si="13"/>
        <v>0</v>
      </c>
    </row>
    <row r="73" spans="1:19">
      <c r="A73" s="848" t="str">
        <f t="shared" si="7"/>
        <v>3 Gbps</v>
      </c>
      <c r="B73" s="294" t="str">
        <f t="shared" si="8"/>
        <v>0.5-7 km</v>
      </c>
      <c r="C73" s="309" t="str">
        <f t="shared" si="8"/>
        <v>all</v>
      </c>
      <c r="D73" s="1039">
        <f t="shared" si="10"/>
        <v>1507500</v>
      </c>
      <c r="E73" s="259">
        <f t="shared" si="10"/>
        <v>1504500</v>
      </c>
      <c r="F73" s="299">
        <f t="shared" si="10"/>
        <v>0</v>
      </c>
      <c r="G73" s="300">
        <f t="shared" si="10"/>
        <v>0</v>
      </c>
      <c r="H73" s="299">
        <f t="shared" si="10"/>
        <v>0</v>
      </c>
      <c r="I73" s="259"/>
      <c r="J73" s="299"/>
      <c r="K73" s="300"/>
      <c r="L73" s="299">
        <f t="shared" si="11"/>
        <v>0</v>
      </c>
      <c r="M73" s="259">
        <f t="shared" si="11"/>
        <v>0</v>
      </c>
      <c r="N73" s="299">
        <f t="shared" si="12"/>
        <v>0</v>
      </c>
      <c r="O73" s="300">
        <f t="shared" si="12"/>
        <v>0</v>
      </c>
      <c r="P73" s="886">
        <f t="shared" si="12"/>
        <v>0</v>
      </c>
      <c r="Q73" s="1559">
        <f t="shared" si="12"/>
        <v>0</v>
      </c>
      <c r="R73" s="886">
        <f t="shared" ref="R73:S73" si="14">R43*R13</f>
        <v>0</v>
      </c>
      <c r="S73" s="1558">
        <f t="shared" si="14"/>
        <v>0</v>
      </c>
    </row>
    <row r="74" spans="1:19" ht="13.8" thickBot="1">
      <c r="A74" s="849" t="str">
        <f t="shared" si="7"/>
        <v>3 Gbps</v>
      </c>
      <c r="B74" s="311" t="str">
        <f t="shared" si="8"/>
        <v>7-20 km</v>
      </c>
      <c r="C74" s="312" t="str">
        <f t="shared" si="8"/>
        <v>all</v>
      </c>
      <c r="D74" s="1041">
        <f t="shared" si="10"/>
        <v>1601328</v>
      </c>
      <c r="E74" s="313">
        <f t="shared" si="10"/>
        <v>416806</v>
      </c>
      <c r="F74" s="314">
        <f t="shared" si="10"/>
        <v>382000</v>
      </c>
      <c r="G74" s="315">
        <f t="shared" si="10"/>
        <v>448000</v>
      </c>
      <c r="H74" s="314">
        <f t="shared" si="10"/>
        <v>0</v>
      </c>
      <c r="I74" s="314">
        <f t="shared" ref="I74:K81" si="15">I14*I44</f>
        <v>0</v>
      </c>
      <c r="J74" s="314">
        <f t="shared" si="15"/>
        <v>0</v>
      </c>
      <c r="K74" s="315">
        <f t="shared" si="15"/>
        <v>0</v>
      </c>
      <c r="L74" s="314">
        <f t="shared" si="11"/>
        <v>0</v>
      </c>
      <c r="M74" s="314">
        <f t="shared" si="11"/>
        <v>0</v>
      </c>
      <c r="N74" s="314">
        <f t="shared" si="12"/>
        <v>0</v>
      </c>
      <c r="O74" s="315">
        <f t="shared" si="12"/>
        <v>0</v>
      </c>
      <c r="P74" s="889">
        <f t="shared" si="12"/>
        <v>0</v>
      </c>
      <c r="Q74" s="889">
        <f t="shared" si="12"/>
        <v>0</v>
      </c>
      <c r="R74" s="889">
        <f t="shared" ref="R74:S74" si="16">R44*R14</f>
        <v>0</v>
      </c>
      <c r="S74" s="1562">
        <f t="shared" si="16"/>
        <v>0</v>
      </c>
    </row>
    <row r="75" spans="1:19">
      <c r="A75" s="850" t="str">
        <f t="shared" si="7"/>
        <v>6 Gbps</v>
      </c>
      <c r="B75" s="294" t="str">
        <f t="shared" si="8"/>
        <v>≤ 0.5 km</v>
      </c>
      <c r="C75" s="295" t="str">
        <f t="shared" si="8"/>
        <v>all</v>
      </c>
      <c r="D75" s="1042">
        <f t="shared" si="10"/>
        <v>5298106</v>
      </c>
      <c r="E75" s="318">
        <f t="shared" si="10"/>
        <v>6160495</v>
      </c>
      <c r="F75" s="319">
        <f t="shared" si="10"/>
        <v>4734161.0000000093</v>
      </c>
      <c r="G75" s="320">
        <f t="shared" si="10"/>
        <v>3050413.0000000112</v>
      </c>
      <c r="H75" s="319">
        <f t="shared" si="10"/>
        <v>0</v>
      </c>
      <c r="I75" s="318">
        <f t="shared" si="15"/>
        <v>0</v>
      </c>
      <c r="J75" s="319">
        <f t="shared" si="15"/>
        <v>0</v>
      </c>
      <c r="K75" s="320">
        <f t="shared" si="15"/>
        <v>0</v>
      </c>
      <c r="L75" s="319">
        <f t="shared" si="11"/>
        <v>0</v>
      </c>
      <c r="M75" s="318">
        <f t="shared" si="11"/>
        <v>0</v>
      </c>
      <c r="N75" s="319">
        <f t="shared" ref="N75:Q84" si="17">N15*N45</f>
        <v>0</v>
      </c>
      <c r="O75" s="320">
        <f t="shared" si="17"/>
        <v>0</v>
      </c>
      <c r="P75" s="1563">
        <f t="shared" si="17"/>
        <v>0</v>
      </c>
      <c r="Q75" s="1564">
        <f t="shared" si="17"/>
        <v>0</v>
      </c>
      <c r="R75" s="1563">
        <f t="shared" ref="R75:S75" si="18">R15*R45</f>
        <v>0</v>
      </c>
      <c r="S75" s="1565">
        <f t="shared" si="18"/>
        <v>0</v>
      </c>
    </row>
    <row r="76" spans="1:19">
      <c r="A76" s="848" t="str">
        <f t="shared" si="7"/>
        <v>6 Gbps</v>
      </c>
      <c r="B76" s="294" t="str">
        <f t="shared" si="8"/>
        <v>0.5-7 km</v>
      </c>
      <c r="C76" s="295" t="str">
        <f t="shared" si="8"/>
        <v>all</v>
      </c>
      <c r="D76" s="1039">
        <f t="shared" si="10"/>
        <v>12330105</v>
      </c>
      <c r="E76" s="259">
        <f t="shared" si="10"/>
        <v>11011350</v>
      </c>
      <c r="F76" s="299">
        <f t="shared" si="10"/>
        <v>6014620</v>
      </c>
      <c r="G76" s="300">
        <f t="shared" si="10"/>
        <v>6079227</v>
      </c>
      <c r="H76" s="299">
        <f t="shared" si="10"/>
        <v>0</v>
      </c>
      <c r="I76" s="259">
        <f t="shared" si="15"/>
        <v>0</v>
      </c>
      <c r="J76" s="886">
        <f t="shared" si="15"/>
        <v>0</v>
      </c>
      <c r="K76" s="300">
        <f t="shared" si="15"/>
        <v>0</v>
      </c>
      <c r="L76" s="299">
        <f t="shared" si="11"/>
        <v>0</v>
      </c>
      <c r="M76" s="259">
        <f t="shared" si="11"/>
        <v>0</v>
      </c>
      <c r="N76" s="886">
        <f t="shared" si="17"/>
        <v>0</v>
      </c>
      <c r="O76" s="300">
        <f t="shared" si="17"/>
        <v>0</v>
      </c>
      <c r="P76" s="886">
        <f t="shared" si="17"/>
        <v>0</v>
      </c>
      <c r="Q76" s="1559">
        <f t="shared" si="17"/>
        <v>0</v>
      </c>
      <c r="R76" s="886">
        <f t="shared" ref="R76:S76" si="19">R16*R46</f>
        <v>0</v>
      </c>
      <c r="S76" s="1558">
        <f t="shared" si="19"/>
        <v>0</v>
      </c>
    </row>
    <row r="77" spans="1:19" ht="13.8" thickBot="1">
      <c r="A77" s="849" t="str">
        <f t="shared" si="7"/>
        <v>6 Gbps</v>
      </c>
      <c r="B77" s="294" t="str">
        <f t="shared" si="8"/>
        <v>7-20 km</v>
      </c>
      <c r="C77" s="295" t="str">
        <f t="shared" si="8"/>
        <v>all</v>
      </c>
      <c r="D77" s="1039">
        <f t="shared" si="10"/>
        <v>8671096</v>
      </c>
      <c r="E77" s="259">
        <f t="shared" si="10"/>
        <v>7252470</v>
      </c>
      <c r="F77" s="299">
        <f t="shared" si="10"/>
        <v>4482008.0000000009</v>
      </c>
      <c r="G77" s="300">
        <f t="shared" si="10"/>
        <v>5578088.0000000019</v>
      </c>
      <c r="H77" s="299">
        <f t="shared" si="10"/>
        <v>0</v>
      </c>
      <c r="I77" s="259">
        <f t="shared" si="15"/>
        <v>0</v>
      </c>
      <c r="J77" s="886">
        <f t="shared" si="15"/>
        <v>0</v>
      </c>
      <c r="K77" s="300">
        <f t="shared" si="15"/>
        <v>0</v>
      </c>
      <c r="L77" s="299">
        <f t="shared" si="11"/>
        <v>0</v>
      </c>
      <c r="M77" s="259">
        <f t="shared" si="11"/>
        <v>0</v>
      </c>
      <c r="N77" s="886">
        <f t="shared" si="17"/>
        <v>0</v>
      </c>
      <c r="O77" s="300">
        <f t="shared" si="17"/>
        <v>0</v>
      </c>
      <c r="P77" s="886">
        <f t="shared" si="17"/>
        <v>0</v>
      </c>
      <c r="Q77" s="1559">
        <f t="shared" si="17"/>
        <v>0</v>
      </c>
      <c r="R77" s="886">
        <f t="shared" ref="R77:S77" si="20">R17*R47</f>
        <v>0</v>
      </c>
      <c r="S77" s="1558">
        <f t="shared" si="20"/>
        <v>0</v>
      </c>
    </row>
    <row r="78" spans="1:19">
      <c r="A78" s="850" t="str">
        <f t="shared" si="7"/>
        <v>10 Gbps</v>
      </c>
      <c r="B78" s="302" t="str">
        <f t="shared" si="8"/>
        <v>≤ 0.5 km</v>
      </c>
      <c r="C78" s="303" t="str">
        <f t="shared" si="8"/>
        <v>SFP+</v>
      </c>
      <c r="D78" s="1040">
        <f t="shared" si="10"/>
        <v>0</v>
      </c>
      <c r="E78" s="253">
        <f t="shared" si="10"/>
        <v>0</v>
      </c>
      <c r="F78" s="307">
        <f t="shared" si="10"/>
        <v>0</v>
      </c>
      <c r="G78" s="308">
        <f t="shared" si="10"/>
        <v>0</v>
      </c>
      <c r="H78" s="307">
        <f t="shared" si="10"/>
        <v>0</v>
      </c>
      <c r="I78" s="253">
        <f t="shared" si="15"/>
        <v>0</v>
      </c>
      <c r="J78" s="887">
        <f t="shared" si="15"/>
        <v>0</v>
      </c>
      <c r="K78" s="308">
        <f t="shared" si="15"/>
        <v>0</v>
      </c>
      <c r="L78" s="307">
        <f t="shared" si="11"/>
        <v>0</v>
      </c>
      <c r="M78" s="253">
        <f t="shared" si="11"/>
        <v>0</v>
      </c>
      <c r="N78" s="887">
        <f t="shared" si="17"/>
        <v>0</v>
      </c>
      <c r="O78" s="308">
        <f t="shared" si="17"/>
        <v>0</v>
      </c>
      <c r="P78" s="887">
        <f t="shared" si="17"/>
        <v>0</v>
      </c>
      <c r="Q78" s="1560">
        <f t="shared" si="17"/>
        <v>0</v>
      </c>
      <c r="R78" s="887">
        <f t="shared" ref="R78:S78" si="21">R18*R48</f>
        <v>0</v>
      </c>
      <c r="S78" s="1561">
        <f t="shared" si="21"/>
        <v>0</v>
      </c>
    </row>
    <row r="79" spans="1:19">
      <c r="A79" s="848" t="str">
        <f t="shared" si="7"/>
        <v>10 Gbps</v>
      </c>
      <c r="B79" s="294" t="str">
        <f t="shared" si="8"/>
        <v>0.5-7 km</v>
      </c>
      <c r="C79" s="309" t="str">
        <f t="shared" si="8"/>
        <v>SFP+</v>
      </c>
      <c r="D79" s="273">
        <f t="shared" si="10"/>
        <v>10160964</v>
      </c>
      <c r="E79" s="259">
        <f t="shared" si="10"/>
        <v>13809865</v>
      </c>
      <c r="F79" s="299">
        <f t="shared" si="10"/>
        <v>8973785.9999999963</v>
      </c>
      <c r="G79" s="324">
        <f t="shared" si="10"/>
        <v>9412873.0000000019</v>
      </c>
      <c r="H79" s="323">
        <f t="shared" si="10"/>
        <v>0</v>
      </c>
      <c r="I79" s="259">
        <f t="shared" si="15"/>
        <v>0</v>
      </c>
      <c r="J79" s="888">
        <f t="shared" si="15"/>
        <v>0</v>
      </c>
      <c r="K79" s="324">
        <f t="shared" si="15"/>
        <v>0</v>
      </c>
      <c r="L79" s="323">
        <f t="shared" si="11"/>
        <v>0</v>
      </c>
      <c r="M79" s="259">
        <f t="shared" si="11"/>
        <v>0</v>
      </c>
      <c r="N79" s="888">
        <f t="shared" si="17"/>
        <v>0</v>
      </c>
      <c r="O79" s="324">
        <f t="shared" si="17"/>
        <v>0</v>
      </c>
      <c r="P79" s="888">
        <f t="shared" si="17"/>
        <v>0</v>
      </c>
      <c r="Q79" s="1559">
        <f t="shared" si="17"/>
        <v>0</v>
      </c>
      <c r="R79" s="888">
        <f t="shared" ref="R79:S79" si="22">R19*R49</f>
        <v>0</v>
      </c>
      <c r="S79" s="1566">
        <f t="shared" si="22"/>
        <v>0</v>
      </c>
    </row>
    <row r="80" spans="1:19" ht="13.8" thickBot="1">
      <c r="A80" s="849" t="str">
        <f t="shared" si="7"/>
        <v>10 Gbps</v>
      </c>
      <c r="B80" s="311" t="str">
        <f t="shared" si="8"/>
        <v>7-20 km</v>
      </c>
      <c r="C80" s="312" t="str">
        <f t="shared" si="8"/>
        <v>SFP+</v>
      </c>
      <c r="D80" s="1041">
        <f t="shared" si="10"/>
        <v>8057520</v>
      </c>
      <c r="E80" s="313">
        <f t="shared" si="10"/>
        <v>8358588</v>
      </c>
      <c r="F80" s="314">
        <f t="shared" si="10"/>
        <v>4821462.7775106188</v>
      </c>
      <c r="G80" s="315">
        <f t="shared" si="10"/>
        <v>4954055.3962445259</v>
      </c>
      <c r="H80" s="314">
        <f t="shared" si="10"/>
        <v>0</v>
      </c>
      <c r="I80" s="313">
        <f t="shared" si="15"/>
        <v>0</v>
      </c>
      <c r="J80" s="889">
        <f t="shared" si="15"/>
        <v>0</v>
      </c>
      <c r="K80" s="315">
        <f t="shared" si="15"/>
        <v>0</v>
      </c>
      <c r="L80" s="314">
        <f t="shared" si="11"/>
        <v>0</v>
      </c>
      <c r="M80" s="313">
        <f t="shared" si="11"/>
        <v>0</v>
      </c>
      <c r="N80" s="889">
        <f t="shared" si="17"/>
        <v>0</v>
      </c>
      <c r="O80" s="315">
        <f t="shared" si="17"/>
        <v>0</v>
      </c>
      <c r="P80" s="889">
        <f t="shared" si="17"/>
        <v>0</v>
      </c>
      <c r="Q80" s="1567">
        <f t="shared" si="17"/>
        <v>0</v>
      </c>
      <c r="R80" s="889">
        <f t="shared" ref="R80:S80" si="23">R20*R50</f>
        <v>0</v>
      </c>
      <c r="S80" s="1562">
        <f t="shared" si="23"/>
        <v>0</v>
      </c>
    </row>
    <row r="81" spans="1:19">
      <c r="A81" s="850" t="str">
        <f t="shared" si="7"/>
        <v>25 Gbps (MMF)</v>
      </c>
      <c r="B81" s="302" t="str">
        <f t="shared" si="8"/>
        <v>≤ 0.5 km</v>
      </c>
      <c r="C81" s="303" t="str">
        <f t="shared" si="8"/>
        <v>SFP28</v>
      </c>
      <c r="D81" s="270"/>
      <c r="E81" s="858"/>
      <c r="F81" s="362"/>
      <c r="G81" s="859"/>
      <c r="H81" s="362">
        <f>H21*H51</f>
        <v>0</v>
      </c>
      <c r="I81" s="858">
        <f t="shared" si="15"/>
        <v>0</v>
      </c>
      <c r="J81" s="890">
        <f t="shared" si="15"/>
        <v>0</v>
      </c>
      <c r="K81" s="859">
        <f t="shared" si="15"/>
        <v>0</v>
      </c>
      <c r="L81" s="362">
        <f t="shared" si="11"/>
        <v>0</v>
      </c>
      <c r="M81" s="858">
        <f t="shared" si="11"/>
        <v>0</v>
      </c>
      <c r="N81" s="890">
        <f t="shared" si="17"/>
        <v>0</v>
      </c>
      <c r="O81" s="859">
        <f t="shared" si="17"/>
        <v>0</v>
      </c>
      <c r="P81" s="890">
        <f t="shared" si="17"/>
        <v>0</v>
      </c>
      <c r="Q81" s="1568">
        <f t="shared" si="17"/>
        <v>0</v>
      </c>
      <c r="R81" s="890">
        <f t="shared" ref="R81:S81" si="24">R21*R51</f>
        <v>0</v>
      </c>
      <c r="S81" s="892">
        <f t="shared" si="24"/>
        <v>0</v>
      </c>
    </row>
    <row r="82" spans="1:19">
      <c r="A82" s="851" t="str">
        <f t="shared" si="7"/>
        <v>25 Gbps (SMF)</v>
      </c>
      <c r="B82" s="294" t="str">
        <f t="shared" si="8"/>
        <v>≤ 0.5 km</v>
      </c>
      <c r="C82" s="309" t="str">
        <f t="shared" si="8"/>
        <v>SFP28</v>
      </c>
      <c r="D82" s="273"/>
      <c r="E82" s="325"/>
      <c r="F82" s="323"/>
      <c r="G82" s="324"/>
      <c r="H82" s="323"/>
      <c r="I82" s="325"/>
      <c r="J82" s="890">
        <f t="shared" ref="J82:K84" si="25">J22*J52</f>
        <v>0</v>
      </c>
      <c r="K82" s="324">
        <f t="shared" si="25"/>
        <v>0</v>
      </c>
      <c r="L82" s="323">
        <f t="shared" si="11"/>
        <v>0</v>
      </c>
      <c r="M82" s="325">
        <f t="shared" si="11"/>
        <v>0</v>
      </c>
      <c r="N82" s="890">
        <f t="shared" si="17"/>
        <v>0</v>
      </c>
      <c r="O82" s="324">
        <f t="shared" si="17"/>
        <v>0</v>
      </c>
      <c r="P82" s="888">
        <f t="shared" si="17"/>
        <v>0</v>
      </c>
      <c r="Q82" s="1569">
        <f t="shared" si="17"/>
        <v>0</v>
      </c>
      <c r="R82" s="890">
        <f t="shared" ref="R82:S82" si="26">R22*R52</f>
        <v>0</v>
      </c>
      <c r="S82" s="1566">
        <f t="shared" si="26"/>
        <v>0</v>
      </c>
    </row>
    <row r="83" spans="1:19">
      <c r="A83" s="848" t="str">
        <f t="shared" si="7"/>
        <v>25 Gbps</v>
      </c>
      <c r="B83" s="294" t="str">
        <f t="shared" si="8"/>
        <v>0.5-7 km</v>
      </c>
      <c r="C83" s="309" t="str">
        <f t="shared" si="8"/>
        <v>SFP28</v>
      </c>
      <c r="D83" s="273"/>
      <c r="E83" s="325"/>
      <c r="F83" s="323"/>
      <c r="G83" s="324"/>
      <c r="H83" s="323">
        <f>H23*H53</f>
        <v>0</v>
      </c>
      <c r="I83" s="325">
        <f>I23*I53</f>
        <v>0</v>
      </c>
      <c r="J83" s="888">
        <f t="shared" si="25"/>
        <v>0</v>
      </c>
      <c r="K83" s="324">
        <f t="shared" si="25"/>
        <v>0</v>
      </c>
      <c r="L83" s="323">
        <f t="shared" si="11"/>
        <v>0</v>
      </c>
      <c r="M83" s="325">
        <f t="shared" si="11"/>
        <v>0</v>
      </c>
      <c r="N83" s="888">
        <f t="shared" si="17"/>
        <v>0</v>
      </c>
      <c r="O83" s="324">
        <f t="shared" si="17"/>
        <v>0</v>
      </c>
      <c r="P83" s="888">
        <f t="shared" si="17"/>
        <v>0</v>
      </c>
      <c r="Q83" s="1569">
        <f t="shared" si="17"/>
        <v>0</v>
      </c>
      <c r="R83" s="888">
        <f t="shared" ref="R83:S83" si="27">R23*R53</f>
        <v>0</v>
      </c>
      <c r="S83" s="1566">
        <f t="shared" si="27"/>
        <v>0</v>
      </c>
    </row>
    <row r="84" spans="1:19">
      <c r="A84" s="848" t="str">
        <f t="shared" si="7"/>
        <v>25 Gbps</v>
      </c>
      <c r="B84" s="294" t="str">
        <f t="shared" si="8"/>
        <v>7-20 km</v>
      </c>
      <c r="C84" s="309" t="str">
        <f t="shared" si="8"/>
        <v>Duplex</v>
      </c>
      <c r="D84" s="1039"/>
      <c r="E84" s="259"/>
      <c r="F84" s="299"/>
      <c r="G84" s="300"/>
      <c r="H84" s="299">
        <f>H24*H54</f>
        <v>0</v>
      </c>
      <c r="I84" s="259">
        <f>I24*I54</f>
        <v>0</v>
      </c>
      <c r="J84" s="886">
        <f t="shared" si="25"/>
        <v>0</v>
      </c>
      <c r="K84" s="300">
        <f t="shared" si="25"/>
        <v>0</v>
      </c>
      <c r="L84" s="299">
        <f t="shared" si="11"/>
        <v>0</v>
      </c>
      <c r="M84" s="259">
        <f t="shared" si="11"/>
        <v>0</v>
      </c>
      <c r="N84" s="886">
        <f t="shared" si="17"/>
        <v>0</v>
      </c>
      <c r="O84" s="300">
        <f t="shared" si="17"/>
        <v>0</v>
      </c>
      <c r="P84" s="886">
        <f t="shared" si="17"/>
        <v>0</v>
      </c>
      <c r="Q84" s="886">
        <f t="shared" si="17"/>
        <v>0</v>
      </c>
      <c r="R84" s="886">
        <f t="shared" ref="R84:S85" si="28">R24*R54</f>
        <v>0</v>
      </c>
      <c r="S84" s="1558">
        <f t="shared" si="28"/>
        <v>0</v>
      </c>
    </row>
    <row r="85" spans="1:19" ht="13.8" thickBot="1">
      <c r="A85" s="1612" t="s">
        <v>452</v>
      </c>
      <c r="B85" s="288" t="s">
        <v>235</v>
      </c>
      <c r="C85" s="1613" t="s">
        <v>636</v>
      </c>
      <c r="D85" s="1039"/>
      <c r="E85" s="260"/>
      <c r="F85" s="1039"/>
      <c r="G85" s="1039"/>
      <c r="H85" s="1039"/>
      <c r="I85" s="260"/>
      <c r="J85" s="1631"/>
      <c r="K85" s="1039"/>
      <c r="L85" s="1039"/>
      <c r="M85" s="260"/>
      <c r="N85" s="1631"/>
      <c r="O85" s="1039"/>
      <c r="P85" s="886">
        <f t="shared" ref="P85:Q93" si="29">P25*P55</f>
        <v>0</v>
      </c>
      <c r="Q85" s="886">
        <f t="shared" si="29"/>
        <v>0</v>
      </c>
      <c r="R85" s="886">
        <f t="shared" si="28"/>
        <v>0</v>
      </c>
      <c r="S85" s="1558">
        <f t="shared" si="28"/>
        <v>0</v>
      </c>
    </row>
    <row r="86" spans="1:19">
      <c r="A86" s="850" t="str">
        <f t="shared" ref="A86:C88" si="30">A26</f>
        <v>50 Gbps</v>
      </c>
      <c r="B86" s="302" t="str">
        <f t="shared" si="30"/>
        <v>≤ 10 km</v>
      </c>
      <c r="C86" s="303" t="str">
        <f t="shared" si="30"/>
        <v>QSFP28</v>
      </c>
      <c r="D86" s="1634"/>
      <c r="E86" s="1635"/>
      <c r="F86" s="1636"/>
      <c r="G86" s="1637"/>
      <c r="H86" s="1636"/>
      <c r="I86" s="1635"/>
      <c r="J86" s="1638"/>
      <c r="K86" s="1637"/>
      <c r="L86" s="1636">
        <f t="shared" ref="L86:O93" si="31">L26*L56</f>
        <v>0</v>
      </c>
      <c r="M86" s="1635">
        <f t="shared" si="31"/>
        <v>0</v>
      </c>
      <c r="N86" s="1638">
        <f t="shared" si="31"/>
        <v>0</v>
      </c>
      <c r="O86" s="1637">
        <f t="shared" si="31"/>
        <v>0</v>
      </c>
      <c r="P86" s="1638">
        <f t="shared" si="29"/>
        <v>0</v>
      </c>
      <c r="Q86" s="1639">
        <f t="shared" si="29"/>
        <v>0</v>
      </c>
      <c r="R86" s="1638">
        <f t="shared" ref="R86:S86" si="32">R26*R56</f>
        <v>0</v>
      </c>
      <c r="S86" s="1640">
        <f t="shared" si="32"/>
        <v>0</v>
      </c>
    </row>
    <row r="87" spans="1:19">
      <c r="A87" s="848" t="str">
        <f t="shared" si="30"/>
        <v>50 Gbps</v>
      </c>
      <c r="B87" s="294" t="str">
        <f t="shared" si="30"/>
        <v>10-20 km</v>
      </c>
      <c r="C87" s="309" t="str">
        <f t="shared" si="30"/>
        <v>QSFP28</v>
      </c>
      <c r="D87" s="273"/>
      <c r="E87" s="325"/>
      <c r="F87" s="323"/>
      <c r="G87" s="324"/>
      <c r="H87" s="323"/>
      <c r="I87" s="325"/>
      <c r="J87" s="888"/>
      <c r="K87" s="324"/>
      <c r="L87" s="323">
        <f t="shared" si="31"/>
        <v>0</v>
      </c>
      <c r="M87" s="325">
        <f t="shared" si="31"/>
        <v>0</v>
      </c>
      <c r="N87" s="888">
        <f t="shared" si="31"/>
        <v>0</v>
      </c>
      <c r="O87" s="324">
        <f t="shared" si="31"/>
        <v>0</v>
      </c>
      <c r="P87" s="888">
        <f t="shared" si="29"/>
        <v>0</v>
      </c>
      <c r="Q87" s="1569">
        <f t="shared" si="29"/>
        <v>0</v>
      </c>
      <c r="R87" s="888">
        <f t="shared" ref="R87:S87" si="33">R27*R57</f>
        <v>0</v>
      </c>
      <c r="S87" s="1566">
        <f t="shared" si="33"/>
        <v>0</v>
      </c>
    </row>
    <row r="88" spans="1:19" ht="13.8" thickBot="1">
      <c r="A88" s="1620" t="str">
        <f t="shared" si="30"/>
        <v>100 Gbps</v>
      </c>
      <c r="B88" s="1630" t="str">
        <f t="shared" si="30"/>
        <v>≤ 10 km</v>
      </c>
      <c r="C88" s="1622" t="str">
        <f t="shared" si="30"/>
        <v>QSFP28</v>
      </c>
      <c r="D88" s="1041"/>
      <c r="E88" s="313"/>
      <c r="F88" s="314"/>
      <c r="G88" s="315"/>
      <c r="H88" s="314"/>
      <c r="I88" s="313"/>
      <c r="J88" s="889"/>
      <c r="K88" s="315"/>
      <c r="L88" s="314">
        <f t="shared" si="31"/>
        <v>0</v>
      </c>
      <c r="M88" s="313">
        <f t="shared" si="31"/>
        <v>0</v>
      </c>
      <c r="N88" s="889">
        <f t="shared" si="31"/>
        <v>0</v>
      </c>
      <c r="O88" s="315">
        <f t="shared" si="31"/>
        <v>0</v>
      </c>
      <c r="P88" s="889">
        <f t="shared" si="29"/>
        <v>0</v>
      </c>
      <c r="Q88" s="1567">
        <f t="shared" si="29"/>
        <v>0</v>
      </c>
      <c r="R88" s="889">
        <f t="shared" ref="R88:S88" si="34">R28*R58</f>
        <v>0</v>
      </c>
      <c r="S88" s="1562">
        <f t="shared" si="34"/>
        <v>0</v>
      </c>
    </row>
    <row r="89" spans="1:19" ht="13.8" thickBot="1">
      <c r="A89" s="1848" t="s">
        <v>583</v>
      </c>
      <c r="B89" s="1630" t="str">
        <f>B29</f>
        <v>all</v>
      </c>
      <c r="C89" s="1622" t="str">
        <f>C29</f>
        <v>all</v>
      </c>
      <c r="D89" s="1632"/>
      <c r="E89" s="876"/>
      <c r="F89" s="875"/>
      <c r="G89" s="877"/>
      <c r="H89" s="875">
        <f>H29*H59</f>
        <v>0</v>
      </c>
      <c r="I89" s="875">
        <f>I29*I59</f>
        <v>0</v>
      </c>
      <c r="J89" s="875">
        <f>J29*J59</f>
        <v>0</v>
      </c>
      <c r="K89" s="877">
        <f>K29*K59</f>
        <v>0</v>
      </c>
      <c r="L89" s="875">
        <f t="shared" si="31"/>
        <v>0</v>
      </c>
      <c r="M89" s="875">
        <f t="shared" si="31"/>
        <v>0</v>
      </c>
      <c r="N89" s="875">
        <f t="shared" si="31"/>
        <v>0</v>
      </c>
      <c r="O89" s="877">
        <f t="shared" si="31"/>
        <v>0</v>
      </c>
      <c r="P89" s="1633">
        <f t="shared" si="29"/>
        <v>0</v>
      </c>
      <c r="Q89" s="1633">
        <f t="shared" si="29"/>
        <v>0</v>
      </c>
      <c r="R89" s="1633">
        <f t="shared" ref="R89:S89" si="35">R29*R59</f>
        <v>0</v>
      </c>
      <c r="S89" s="1570">
        <f t="shared" si="35"/>
        <v>0</v>
      </c>
    </row>
    <row r="90" spans="1:19" ht="13.8" thickBot="1">
      <c r="A90" s="1478" t="s">
        <v>584</v>
      </c>
      <c r="B90" s="717"/>
      <c r="C90" s="917"/>
      <c r="D90" s="1043"/>
      <c r="E90" s="876"/>
      <c r="F90" s="875"/>
      <c r="G90" s="877"/>
      <c r="H90" s="363"/>
      <c r="I90" s="363"/>
      <c r="J90" s="363"/>
      <c r="K90" s="877"/>
      <c r="L90" s="363">
        <f t="shared" si="31"/>
        <v>0</v>
      </c>
      <c r="M90" s="363">
        <f t="shared" si="31"/>
        <v>0</v>
      </c>
      <c r="N90" s="363">
        <f t="shared" si="31"/>
        <v>0</v>
      </c>
      <c r="O90" s="877">
        <f t="shared" si="31"/>
        <v>0</v>
      </c>
      <c r="P90" s="891">
        <f t="shared" si="29"/>
        <v>0</v>
      </c>
      <c r="Q90" s="891">
        <f t="shared" si="29"/>
        <v>0</v>
      </c>
      <c r="R90" s="891">
        <f t="shared" ref="R90:S90" si="36">R30*R60</f>
        <v>0</v>
      </c>
      <c r="S90" s="1570">
        <f t="shared" si="36"/>
        <v>0</v>
      </c>
    </row>
    <row r="91" spans="1:19" ht="13.8" thickBot="1">
      <c r="A91" s="1478" t="s">
        <v>585</v>
      </c>
      <c r="B91" s="717"/>
      <c r="C91" s="917"/>
      <c r="D91" s="1043"/>
      <c r="E91" s="876"/>
      <c r="F91" s="875"/>
      <c r="G91" s="877"/>
      <c r="H91" s="363"/>
      <c r="I91" s="363"/>
      <c r="J91" s="363"/>
      <c r="K91" s="877"/>
      <c r="L91" s="363">
        <f t="shared" si="31"/>
        <v>0</v>
      </c>
      <c r="M91" s="363">
        <f t="shared" si="31"/>
        <v>0</v>
      </c>
      <c r="N91" s="363">
        <f t="shared" si="31"/>
        <v>0</v>
      </c>
      <c r="O91" s="877">
        <f t="shared" si="31"/>
        <v>0</v>
      </c>
      <c r="P91" s="891">
        <f t="shared" si="29"/>
        <v>0</v>
      </c>
      <c r="Q91" s="891">
        <f t="shared" si="29"/>
        <v>0</v>
      </c>
      <c r="R91" s="891">
        <f t="shared" ref="R91:S91" si="37">R31*R61</f>
        <v>0</v>
      </c>
      <c r="S91" s="1570">
        <f t="shared" si="37"/>
        <v>0</v>
      </c>
    </row>
    <row r="92" spans="1:19" ht="13.8" thickBot="1">
      <c r="A92" s="1478" t="s">
        <v>586</v>
      </c>
      <c r="B92" s="717" t="str">
        <f t="shared" ref="B92:C92" si="38">B32</f>
        <v>all</v>
      </c>
      <c r="C92" s="917" t="str">
        <f t="shared" si="38"/>
        <v>all</v>
      </c>
      <c r="D92" s="1044"/>
      <c r="E92" s="873"/>
      <c r="F92" s="363"/>
      <c r="G92" s="874"/>
      <c r="H92" s="363">
        <f t="shared" ref="H92:K93" si="39">H32*H62</f>
        <v>0</v>
      </c>
      <c r="I92" s="873">
        <f t="shared" si="39"/>
        <v>0</v>
      </c>
      <c r="J92" s="891">
        <f t="shared" si="39"/>
        <v>0</v>
      </c>
      <c r="K92" s="874">
        <f t="shared" si="39"/>
        <v>0</v>
      </c>
      <c r="L92" s="363">
        <f t="shared" si="31"/>
        <v>0</v>
      </c>
      <c r="M92" s="873">
        <f t="shared" si="31"/>
        <v>0</v>
      </c>
      <c r="N92" s="891">
        <f t="shared" si="31"/>
        <v>0</v>
      </c>
      <c r="O92" s="874">
        <f t="shared" si="31"/>
        <v>0</v>
      </c>
      <c r="P92" s="891">
        <f t="shared" si="29"/>
        <v>0</v>
      </c>
      <c r="Q92" s="1571">
        <f t="shared" si="29"/>
        <v>0</v>
      </c>
      <c r="R92" s="891">
        <f t="shared" ref="R92:S92" si="40">R32*R62</f>
        <v>0</v>
      </c>
      <c r="S92" s="1572">
        <f t="shared" si="40"/>
        <v>0</v>
      </c>
    </row>
    <row r="93" spans="1:19" ht="13.8" thickBot="1">
      <c r="A93" s="1865" t="str">
        <f>A33</f>
        <v>Miscellaneous</v>
      </c>
      <c r="B93" s="1866"/>
      <c r="C93" s="1866"/>
      <c r="D93" s="362">
        <f>D33*D63</f>
        <v>1759500</v>
      </c>
      <c r="E93" s="858">
        <f>E33*E63</f>
        <v>1761200</v>
      </c>
      <c r="F93" s="362">
        <f>F33*F63</f>
        <v>932000</v>
      </c>
      <c r="G93" s="859">
        <f>G33*G63</f>
        <v>1498000</v>
      </c>
      <c r="H93" s="363">
        <f t="shared" si="39"/>
        <v>0</v>
      </c>
      <c r="I93" s="873">
        <f t="shared" si="39"/>
        <v>0</v>
      </c>
      <c r="J93" s="891">
        <f t="shared" si="39"/>
        <v>0</v>
      </c>
      <c r="K93" s="874">
        <f t="shared" si="39"/>
        <v>0</v>
      </c>
      <c r="L93" s="363">
        <f t="shared" si="31"/>
        <v>0</v>
      </c>
      <c r="M93" s="873">
        <f t="shared" si="31"/>
        <v>0</v>
      </c>
      <c r="N93" s="891">
        <f t="shared" si="31"/>
        <v>0</v>
      </c>
      <c r="O93" s="874">
        <f t="shared" si="31"/>
        <v>0</v>
      </c>
      <c r="P93" s="891">
        <f t="shared" si="29"/>
        <v>0</v>
      </c>
      <c r="Q93" s="1571">
        <f t="shared" si="29"/>
        <v>0</v>
      </c>
      <c r="R93" s="891">
        <f t="shared" ref="R93:S93" si="41">R33*R63</f>
        <v>0</v>
      </c>
      <c r="S93" s="1572">
        <f t="shared" si="41"/>
        <v>0</v>
      </c>
    </row>
    <row r="94" spans="1:19" ht="13.8" thickBot="1">
      <c r="A94" s="863" t="str">
        <f>A34</f>
        <v>Total</v>
      </c>
      <c r="B94" s="847" t="str">
        <f>B34</f>
        <v>All</v>
      </c>
      <c r="C94" s="327" t="str">
        <f>C34</f>
        <v>All</v>
      </c>
      <c r="D94" s="202">
        <f t="shared" ref="D94:K94" si="42">SUM(D69:D93)</f>
        <v>49844619</v>
      </c>
      <c r="E94" s="201">
        <f t="shared" si="42"/>
        <v>50637574</v>
      </c>
      <c r="F94" s="200">
        <f t="shared" si="42"/>
        <v>30340037.777510628</v>
      </c>
      <c r="G94" s="202">
        <f t="shared" si="42"/>
        <v>31020656.396244541</v>
      </c>
      <c r="H94" s="363">
        <f t="shared" si="42"/>
        <v>0</v>
      </c>
      <c r="I94" s="873">
        <f t="shared" si="42"/>
        <v>0</v>
      </c>
      <c r="J94" s="891">
        <f t="shared" si="42"/>
        <v>0</v>
      </c>
      <c r="K94" s="874">
        <f t="shared" si="42"/>
        <v>0</v>
      </c>
      <c r="L94" s="363">
        <f t="shared" ref="L94:S94" si="43">SUM(L69:L93)</f>
        <v>0</v>
      </c>
      <c r="M94" s="873">
        <f t="shared" si="43"/>
        <v>0</v>
      </c>
      <c r="N94" s="891">
        <f t="shared" si="43"/>
        <v>0</v>
      </c>
      <c r="O94" s="874">
        <f t="shared" si="43"/>
        <v>0</v>
      </c>
      <c r="P94" s="363">
        <f t="shared" si="43"/>
        <v>0</v>
      </c>
      <c r="Q94" s="873">
        <f t="shared" si="43"/>
        <v>0</v>
      </c>
      <c r="R94" s="891">
        <f t="shared" si="43"/>
        <v>0</v>
      </c>
      <c r="S94" s="874">
        <f t="shared" si="43"/>
        <v>0</v>
      </c>
    </row>
    <row r="95" spans="1:19" ht="15">
      <c r="O95" s="1479"/>
      <c r="P95" s="1479"/>
      <c r="Q95" s="1479"/>
      <c r="R95" s="1479"/>
      <c r="S95" s="1479"/>
    </row>
    <row r="96" spans="1:19" ht="15">
      <c r="N96" s="1480"/>
      <c r="O96" s="1481"/>
      <c r="P96" s="1481"/>
      <c r="Q96" s="1481"/>
      <c r="R96" s="1481"/>
      <c r="S96" s="1481"/>
    </row>
    <row r="97" spans="7:19">
      <c r="G97" s="125">
        <f>SUM(D94:G94)</f>
        <v>161842887.17375517</v>
      </c>
      <c r="K97" s="125">
        <f>SUM(H94:K94)</f>
        <v>0</v>
      </c>
      <c r="O97" s="125"/>
    </row>
    <row r="98" spans="7:19">
      <c r="G98" s="133"/>
      <c r="K98" s="133">
        <f>K97/G97-1</f>
        <v>-1</v>
      </c>
      <c r="O98" s="133"/>
    </row>
    <row r="99" spans="7:19">
      <c r="P99" s="133"/>
      <c r="Q99" s="133"/>
      <c r="R99" s="133"/>
      <c r="S99" s="133"/>
    </row>
  </sheetData>
  <mergeCells count="6">
    <mergeCell ref="A93:C93"/>
    <mergeCell ref="A33:C33"/>
    <mergeCell ref="A63:C63"/>
    <mergeCell ref="R7:S7"/>
    <mergeCell ref="R37:S37"/>
    <mergeCell ref="R67:S67"/>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M61"/>
  <sheetViews>
    <sheetView showGridLines="0" zoomScale="70" zoomScaleNormal="70" zoomScalePageLayoutView="80" workbookViewId="0">
      <pane xSplit="2" ySplit="8" topLeftCell="E9" activePane="bottomRight" state="frozen"/>
      <selection pane="topRight" activeCell="C1" sqref="C1"/>
      <selection pane="bottomLeft" activeCell="A9" sqref="A9"/>
      <selection pane="bottomRight" activeCell="A4" sqref="A4"/>
    </sheetView>
  </sheetViews>
  <sheetFormatPr defaultColWidth="8.6640625" defaultRowHeight="13.2"/>
  <cols>
    <col min="1" max="1" width="22.33203125" style="45" customWidth="1"/>
    <col min="2" max="2" width="16.33203125" style="284" customWidth="1"/>
    <col min="3" max="10" width="12.21875" style="45" customWidth="1"/>
    <col min="11" max="11" width="12.33203125" style="45" customWidth="1"/>
    <col min="12" max="13" width="13.77734375" style="45" customWidth="1"/>
    <col min="14" max="14" width="13.6640625" style="45" customWidth="1"/>
    <col min="15" max="18" width="13.44140625" style="45" customWidth="1"/>
    <col min="19" max="21" width="8" style="45" customWidth="1"/>
    <col min="22" max="30" width="12.33203125" style="45" customWidth="1"/>
    <col min="31" max="31" width="14.6640625" style="45" customWidth="1"/>
    <col min="32" max="33" width="12.33203125" style="45" customWidth="1"/>
    <col min="34" max="34" width="8.6640625" style="45"/>
    <col min="35" max="35" width="12.77734375" style="45" bestFit="1" customWidth="1"/>
    <col min="36" max="39" width="8.6640625" style="45"/>
  </cols>
  <sheetData>
    <row r="1" spans="1:39" ht="24.45" customHeight="1">
      <c r="A1" s="136" t="str">
        <f>Introduction!$B$1</f>
        <v xml:space="preserve">Vendor Survey Results through Q4 2021 </v>
      </c>
    </row>
    <row r="2" spans="1:39" ht="17.55" customHeight="1">
      <c r="A2" s="388" t="str">
        <f>Introduction!$B$2</f>
        <v>Sample template as of March 2022</v>
      </c>
    </row>
    <row r="3" spans="1:39" ht="25.05" customHeight="1">
      <c r="A3" s="825" t="s">
        <v>21</v>
      </c>
    </row>
    <row r="5" spans="1:39" ht="15.6">
      <c r="M5" s="1115"/>
    </row>
    <row r="6" spans="1:39" ht="16.2" thickBot="1">
      <c r="M6" s="1115"/>
      <c r="N6"/>
      <c r="O6" s="1115"/>
      <c r="P6" s="14"/>
      <c r="Q6" s="1115"/>
      <c r="R6" s="14"/>
    </row>
    <row r="7" spans="1:39" s="908" customFormat="1" ht="16.2" thickBot="1">
      <c r="A7" s="840" t="str">
        <f>A3</f>
        <v>Optical Interconnects</v>
      </c>
      <c r="B7" s="909"/>
      <c r="D7" s="910"/>
      <c r="E7" s="910"/>
      <c r="F7" s="910"/>
      <c r="G7" s="804" t="s">
        <v>209</v>
      </c>
      <c r="H7" s="910"/>
      <c r="I7" s="910"/>
      <c r="J7" s="910"/>
      <c r="K7" s="910"/>
      <c r="L7" s="910"/>
      <c r="M7" s="804" t="s">
        <v>209</v>
      </c>
      <c r="N7" s="45"/>
      <c r="O7"/>
      <c r="P7"/>
      <c r="Q7" s="1862" t="s">
        <v>352</v>
      </c>
      <c r="R7" s="1863"/>
    </row>
    <row r="8" spans="1:39" ht="13.8" thickBot="1">
      <c r="A8" s="620" t="s">
        <v>285</v>
      </c>
      <c r="B8" s="620" t="s">
        <v>211</v>
      </c>
      <c r="C8" s="143" t="s">
        <v>130</v>
      </c>
      <c r="D8" s="144" t="s">
        <v>131</v>
      </c>
      <c r="E8" s="144" t="s">
        <v>132</v>
      </c>
      <c r="F8" s="152" t="s">
        <v>133</v>
      </c>
      <c r="G8" s="1149" t="s">
        <v>134</v>
      </c>
      <c r="H8" s="144" t="s">
        <v>135</v>
      </c>
      <c r="I8" s="144" t="s">
        <v>136</v>
      </c>
      <c r="J8" s="192" t="s">
        <v>137</v>
      </c>
      <c r="K8" s="143" t="s">
        <v>138</v>
      </c>
      <c r="L8" s="144" t="s">
        <v>139</v>
      </c>
      <c r="M8" s="144" t="s">
        <v>140</v>
      </c>
      <c r="N8" s="152" t="s">
        <v>141</v>
      </c>
      <c r="O8" s="1661" t="s">
        <v>142</v>
      </c>
      <c r="P8" s="771" t="s">
        <v>143</v>
      </c>
      <c r="Q8" s="774" t="s">
        <v>621</v>
      </c>
      <c r="R8" s="774" t="s">
        <v>622</v>
      </c>
      <c r="AM8" s="72"/>
    </row>
    <row r="9" spans="1:39" ht="37.950000000000003" customHeight="1">
      <c r="A9" s="911" t="s">
        <v>286</v>
      </c>
      <c r="B9" s="1652" t="s">
        <v>535</v>
      </c>
      <c r="C9" s="351">
        <v>47963</v>
      </c>
      <c r="D9" s="348">
        <v>47387</v>
      </c>
      <c r="E9" s="461">
        <v>39043</v>
      </c>
      <c r="F9" s="462">
        <v>26100</v>
      </c>
      <c r="G9" s="1654"/>
      <c r="H9" s="348"/>
      <c r="I9" s="461"/>
      <c r="J9" s="1659"/>
      <c r="K9" s="351"/>
      <c r="L9" s="348"/>
      <c r="M9" s="461"/>
      <c r="N9" s="462"/>
      <c r="O9" s="1844"/>
      <c r="P9" s="461"/>
      <c r="Q9" s="463"/>
      <c r="R9" s="462"/>
      <c r="AM9" s="72"/>
    </row>
    <row r="10" spans="1:39" ht="15.45" customHeight="1">
      <c r="A10" s="912" t="s">
        <v>649</v>
      </c>
      <c r="B10" s="1653" t="s">
        <v>536</v>
      </c>
      <c r="C10" s="1656">
        <v>11244</v>
      </c>
      <c r="D10" s="1651">
        <v>10866</v>
      </c>
      <c r="E10" s="463">
        <v>13416</v>
      </c>
      <c r="F10" s="462">
        <v>20365</v>
      </c>
      <c r="G10" s="1655"/>
      <c r="H10" s="349"/>
      <c r="I10" s="463"/>
      <c r="J10" s="1659"/>
      <c r="K10" s="1656"/>
      <c r="L10" s="1651"/>
      <c r="M10" s="463"/>
      <c r="N10" s="462"/>
      <c r="O10" s="463"/>
      <c r="P10" s="1845"/>
      <c r="Q10" s="463"/>
      <c r="R10" s="462"/>
      <c r="AM10" s="72"/>
    </row>
    <row r="11" spans="1:39" ht="15.45" customHeight="1">
      <c r="A11" s="1648" t="s">
        <v>647</v>
      </c>
      <c r="B11" s="424" t="s">
        <v>651</v>
      </c>
      <c r="C11" s="1657"/>
      <c r="D11" s="1650"/>
      <c r="E11" s="1650"/>
      <c r="F11" s="1658"/>
      <c r="G11" s="463"/>
      <c r="H11" s="1651"/>
      <c r="I11" s="1650"/>
      <c r="J11" s="1660"/>
      <c r="K11" s="1656"/>
      <c r="L11" s="1651"/>
      <c r="M11" s="1650"/>
      <c r="N11" s="1658"/>
      <c r="O11" s="463"/>
      <c r="P11" s="1650"/>
      <c r="Q11" s="1846"/>
      <c r="R11" s="1847"/>
      <c r="AM11" s="72"/>
    </row>
    <row r="12" spans="1:39" ht="15.45" customHeight="1">
      <c r="A12" s="1648" t="s">
        <v>647</v>
      </c>
      <c r="B12" s="424" t="s">
        <v>652</v>
      </c>
      <c r="C12" s="1657"/>
      <c r="D12" s="1650"/>
      <c r="E12" s="1650"/>
      <c r="F12" s="1658"/>
      <c r="G12" s="463"/>
      <c r="H12" s="1651"/>
      <c r="I12" s="1650"/>
      <c r="J12" s="1660"/>
      <c r="K12" s="1656"/>
      <c r="L12" s="1651"/>
      <c r="M12" s="1650"/>
      <c r="N12" s="1658"/>
      <c r="O12" s="463"/>
      <c r="P12" s="1650"/>
      <c r="Q12" s="1846"/>
      <c r="R12" s="1847"/>
      <c r="AM12" s="72"/>
    </row>
    <row r="13" spans="1:39" ht="15.45" customHeight="1">
      <c r="A13" s="1648" t="s">
        <v>647</v>
      </c>
      <c r="B13" s="424" t="s">
        <v>609</v>
      </c>
      <c r="C13" s="1657"/>
      <c r="D13" s="1650"/>
      <c r="E13" s="1650"/>
      <c r="F13" s="1658"/>
      <c r="G13" s="463"/>
      <c r="H13" s="1651"/>
      <c r="I13" s="1650"/>
      <c r="J13" s="1660"/>
      <c r="K13" s="1656"/>
      <c r="L13" s="1651"/>
      <c r="M13" s="1650"/>
      <c r="N13" s="1658"/>
      <c r="O13" s="463"/>
      <c r="P13" s="1650"/>
      <c r="Q13" s="1846"/>
      <c r="R13" s="1847"/>
      <c r="AM13" s="72"/>
    </row>
    <row r="14" spans="1:39" ht="15.45" customHeight="1">
      <c r="A14" s="1648" t="s">
        <v>647</v>
      </c>
      <c r="B14" s="424" t="s">
        <v>641</v>
      </c>
      <c r="C14" s="1657"/>
      <c r="D14" s="1650"/>
      <c r="E14" s="1650"/>
      <c r="F14" s="1658"/>
      <c r="G14" s="463"/>
      <c r="H14" s="1651"/>
      <c r="I14" s="1650"/>
      <c r="J14" s="1660"/>
      <c r="K14" s="1656"/>
      <c r="L14" s="1651"/>
      <c r="M14" s="1650"/>
      <c r="N14" s="1658"/>
      <c r="O14" s="463"/>
      <c r="P14" s="1650"/>
      <c r="Q14" s="1846"/>
      <c r="R14" s="1847"/>
      <c r="AM14" s="72"/>
    </row>
    <row r="15" spans="1:39" ht="15.45" customHeight="1">
      <c r="A15" s="1648" t="s">
        <v>647</v>
      </c>
      <c r="B15" s="424" t="s">
        <v>642</v>
      </c>
      <c r="C15" s="1657"/>
      <c r="D15" s="1650"/>
      <c r="E15" s="1650"/>
      <c r="F15" s="1658"/>
      <c r="G15" s="463"/>
      <c r="H15" s="1651"/>
      <c r="I15" s="1650"/>
      <c r="J15" s="1660"/>
      <c r="K15" s="1656"/>
      <c r="L15" s="1651"/>
      <c r="M15" s="1650"/>
      <c r="N15" s="1658"/>
      <c r="O15" s="463"/>
      <c r="P15" s="1650"/>
      <c r="Q15" s="1846"/>
      <c r="R15" s="1847"/>
      <c r="AM15" s="72"/>
    </row>
    <row r="16" spans="1:39" ht="15.45" customHeight="1">
      <c r="A16" s="1648" t="s">
        <v>647</v>
      </c>
      <c r="B16" s="424" t="s">
        <v>643</v>
      </c>
      <c r="C16" s="1657"/>
      <c r="D16" s="1650"/>
      <c r="E16" s="1650"/>
      <c r="F16" s="1658"/>
      <c r="G16" s="463"/>
      <c r="H16" s="1651"/>
      <c r="I16" s="1650"/>
      <c r="J16" s="1660"/>
      <c r="K16" s="1656"/>
      <c r="L16" s="1651"/>
      <c r="M16" s="1650"/>
      <c r="N16" s="1658"/>
      <c r="O16" s="463"/>
      <c r="P16" s="1650"/>
      <c r="Q16" s="1846"/>
      <c r="R16" s="1847"/>
      <c r="AM16" s="72"/>
    </row>
    <row r="17" spans="1:39" ht="15.45" customHeight="1">
      <c r="A17" s="1648" t="s">
        <v>647</v>
      </c>
      <c r="B17" s="424" t="s">
        <v>644</v>
      </c>
      <c r="C17" s="1657"/>
      <c r="D17" s="1650"/>
      <c r="E17" s="1650"/>
      <c r="F17" s="1658"/>
      <c r="G17" s="463"/>
      <c r="H17" s="1651"/>
      <c r="I17" s="1650"/>
      <c r="J17" s="1660"/>
      <c r="K17" s="1656"/>
      <c r="L17" s="1651"/>
      <c r="M17" s="1650"/>
      <c r="N17" s="1658"/>
      <c r="O17" s="463"/>
      <c r="P17" s="1650"/>
      <c r="Q17" s="1846"/>
      <c r="R17" s="1847"/>
      <c r="AM17" s="72"/>
    </row>
    <row r="18" spans="1:39" ht="15.45" customHeight="1">
      <c r="A18" s="1648" t="s">
        <v>647</v>
      </c>
      <c r="B18" s="424" t="s">
        <v>645</v>
      </c>
      <c r="C18" s="1657"/>
      <c r="D18" s="1650"/>
      <c r="E18" s="1650"/>
      <c r="F18" s="1658"/>
      <c r="G18" s="463"/>
      <c r="H18" s="1651"/>
      <c r="I18" s="1650"/>
      <c r="J18" s="1660"/>
      <c r="K18" s="1656"/>
      <c r="L18" s="1651"/>
      <c r="M18" s="1650"/>
      <c r="N18" s="1658"/>
      <c r="O18" s="463"/>
      <c r="P18" s="1650"/>
      <c r="Q18" s="1846"/>
      <c r="R18" s="1847"/>
      <c r="AM18" s="72"/>
    </row>
    <row r="19" spans="1:39" ht="15.45" customHeight="1">
      <c r="A19" s="1648" t="s">
        <v>647</v>
      </c>
      <c r="B19" s="424" t="s">
        <v>646</v>
      </c>
      <c r="C19" s="1657"/>
      <c r="D19" s="1650"/>
      <c r="E19" s="1650"/>
      <c r="F19" s="1658"/>
      <c r="G19" s="463"/>
      <c r="H19" s="1651"/>
      <c r="I19" s="1650"/>
      <c r="J19" s="1660"/>
      <c r="K19" s="1656"/>
      <c r="L19" s="1651"/>
      <c r="M19" s="1650"/>
      <c r="N19" s="1658"/>
      <c r="O19" s="463"/>
      <c r="P19" s="1650"/>
      <c r="Q19" s="1846"/>
      <c r="R19" s="1847"/>
      <c r="AM19" s="72"/>
    </row>
    <row r="20" spans="1:39" ht="13.5" customHeight="1" thickBot="1">
      <c r="A20" s="1482" t="s">
        <v>219</v>
      </c>
      <c r="B20" s="1649" t="s">
        <v>648</v>
      </c>
      <c r="C20" s="1662">
        <v>748938</v>
      </c>
      <c r="D20" s="1663">
        <v>978496</v>
      </c>
      <c r="E20" s="1664">
        <v>1104784</v>
      </c>
      <c r="F20" s="1665">
        <v>1108746</v>
      </c>
      <c r="G20" s="1666"/>
      <c r="H20" s="1663"/>
      <c r="I20" s="1664"/>
      <c r="J20" s="1667"/>
      <c r="K20" s="1662"/>
      <c r="L20" s="1662"/>
      <c r="M20" s="1662"/>
      <c r="N20" s="1662"/>
      <c r="O20" s="1662"/>
      <c r="P20" s="1662"/>
      <c r="Q20" s="1846"/>
      <c r="R20" s="1847"/>
      <c r="AM20" s="286"/>
    </row>
    <row r="21" spans="1:39" ht="13.8" thickBot="1">
      <c r="A21" s="1867" t="s">
        <v>155</v>
      </c>
      <c r="B21" s="1868"/>
      <c r="C21" s="350">
        <f>C20+C10+C9</f>
        <v>808145</v>
      </c>
      <c r="D21" s="1668">
        <f t="shared" ref="D21:F21" si="0">D20+D10+D9</f>
        <v>1036749</v>
      </c>
      <c r="E21" s="1668">
        <f t="shared" si="0"/>
        <v>1157243</v>
      </c>
      <c r="F21" s="1669">
        <f t="shared" si="0"/>
        <v>1155211</v>
      </c>
      <c r="G21" s="1670"/>
      <c r="H21" s="1668"/>
      <c r="I21" s="1668"/>
      <c r="J21" s="1671"/>
      <c r="K21" s="1672"/>
      <c r="L21" s="1672"/>
      <c r="M21" s="1672"/>
      <c r="N21" s="1672"/>
      <c r="O21" s="1672"/>
      <c r="P21" s="1672"/>
      <c r="Q21" s="1668"/>
      <c r="R21" s="1669"/>
      <c r="AM21" s="72"/>
    </row>
    <row r="22" spans="1:39">
      <c r="A22" s="287"/>
      <c r="B22" s="287"/>
      <c r="C22" s="287"/>
      <c r="D22" s="287"/>
      <c r="E22" s="287"/>
      <c r="F22" s="287"/>
      <c r="G22" s="287"/>
      <c r="H22" s="287"/>
      <c r="I22" s="287"/>
      <c r="J22" s="287"/>
      <c r="K22" s="287"/>
      <c r="L22" s="287"/>
      <c r="M22" s="287"/>
      <c r="N22" s="287"/>
      <c r="O22" s="287"/>
      <c r="P22" s="287"/>
      <c r="Q22" s="287"/>
      <c r="R22" s="287"/>
      <c r="S22" s="287"/>
      <c r="T22" s="287"/>
      <c r="U22" s="287"/>
    </row>
    <row r="23" spans="1:39" ht="16.2" thickBot="1">
      <c r="H23" s="685"/>
      <c r="M23" s="1115"/>
      <c r="N23"/>
      <c r="O23" s="1115"/>
      <c r="P23" s="14"/>
      <c r="Q23" s="1115"/>
      <c r="R23" s="14"/>
    </row>
    <row r="24" spans="1:39" ht="16.2" thickBot="1">
      <c r="A24" s="840" t="str">
        <f>A7</f>
        <v>Optical Interconnects</v>
      </c>
      <c r="B24" s="909"/>
      <c r="D24" s="1687"/>
      <c r="E24" s="1687"/>
      <c r="F24" s="1687"/>
      <c r="G24" s="773" t="s">
        <v>226</v>
      </c>
      <c r="H24" s="1687"/>
      <c r="I24" s="1687"/>
      <c r="J24" s="1687"/>
      <c r="K24" s="1687"/>
      <c r="L24" s="1687"/>
      <c r="M24" s="773" t="s">
        <v>209</v>
      </c>
      <c r="O24"/>
      <c r="P24"/>
      <c r="Q24" s="1869" t="s">
        <v>623</v>
      </c>
      <c r="R24" s="1870"/>
    </row>
    <row r="25" spans="1:39" ht="13.8" thickBot="1">
      <c r="A25" s="620" t="s">
        <v>285</v>
      </c>
      <c r="B25" s="620" t="s">
        <v>211</v>
      </c>
      <c r="C25" s="143" t="s">
        <v>130</v>
      </c>
      <c r="D25" s="144" t="s">
        <v>131</v>
      </c>
      <c r="E25" s="144" t="s">
        <v>132</v>
      </c>
      <c r="F25" s="152" t="s">
        <v>133</v>
      </c>
      <c r="G25" s="1149" t="str">
        <f t="shared" ref="G25:L25" si="1">G8</f>
        <v>1Q 18</v>
      </c>
      <c r="H25" s="144" t="str">
        <f t="shared" si="1"/>
        <v>2Q 18</v>
      </c>
      <c r="I25" s="144" t="str">
        <f t="shared" si="1"/>
        <v>3Q 18</v>
      </c>
      <c r="J25" s="192" t="str">
        <f t="shared" si="1"/>
        <v>4Q 18</v>
      </c>
      <c r="K25" s="143" t="str">
        <f t="shared" si="1"/>
        <v>1Q 19</v>
      </c>
      <c r="L25" s="144" t="str">
        <f t="shared" si="1"/>
        <v>2Q 19</v>
      </c>
      <c r="M25" s="144" t="s">
        <v>140</v>
      </c>
      <c r="N25" s="152" t="s">
        <v>141</v>
      </c>
      <c r="O25" s="1149" t="s">
        <v>142</v>
      </c>
      <c r="P25" s="144" t="s">
        <v>143</v>
      </c>
      <c r="Q25" s="1688" t="s">
        <v>621</v>
      </c>
      <c r="R25" s="1688" t="s">
        <v>622</v>
      </c>
    </row>
    <row r="26" spans="1:39" ht="39" customHeight="1">
      <c r="A26" s="911" t="s">
        <v>286</v>
      </c>
      <c r="B26" s="1677" t="str">
        <f>B9</f>
        <v>up to 12x16 Gbps</v>
      </c>
      <c r="C26" s="1679">
        <v>213.49738339970395</v>
      </c>
      <c r="D26" s="352">
        <v>180.27062274463461</v>
      </c>
      <c r="E26" s="352">
        <v>173.97510437210249</v>
      </c>
      <c r="F26" s="1680">
        <v>163.85823754789271</v>
      </c>
      <c r="G26" s="352"/>
      <c r="H26" s="352"/>
      <c r="I26" s="996"/>
      <c r="J26" s="1683"/>
      <c r="K26" s="1679"/>
      <c r="L26" s="352"/>
      <c r="M26" s="996"/>
      <c r="N26" s="1685"/>
      <c r="O26" s="1844"/>
      <c r="P26" s="352"/>
      <c r="Q26" s="352"/>
      <c r="R26" s="1680"/>
    </row>
    <row r="27" spans="1:39">
      <c r="A27" s="1709" t="s">
        <v>287</v>
      </c>
      <c r="B27" s="1678" t="str">
        <f>B10</f>
        <v>up to 12x25 Gbps</v>
      </c>
      <c r="C27" s="1681">
        <v>243.96691568836712</v>
      </c>
      <c r="D27" s="353">
        <v>384.58043438247745</v>
      </c>
      <c r="E27" s="353">
        <v>189.85450208706018</v>
      </c>
      <c r="F27" s="1682">
        <v>147.3089614534741</v>
      </c>
      <c r="G27" s="353"/>
      <c r="H27" s="353"/>
      <c r="I27" s="997"/>
      <c r="J27" s="1684"/>
      <c r="K27" s="1681"/>
      <c r="L27" s="353"/>
      <c r="M27" s="997"/>
      <c r="N27" s="1686"/>
      <c r="O27" s="353"/>
      <c r="P27" s="353"/>
      <c r="Q27" s="353"/>
      <c r="R27" s="1682"/>
    </row>
    <row r="28" spans="1:39">
      <c r="A28" s="1648" t="s">
        <v>647</v>
      </c>
      <c r="B28" s="424" t="s">
        <v>482</v>
      </c>
      <c r="C28" s="1681"/>
      <c r="D28" s="1673"/>
      <c r="E28" s="1673"/>
      <c r="F28" s="1682"/>
      <c r="G28" s="353"/>
      <c r="H28" s="1673"/>
      <c r="I28" s="1674"/>
      <c r="J28" s="1684"/>
      <c r="K28" s="1681"/>
      <c r="L28" s="1673"/>
      <c r="M28" s="1674"/>
      <c r="N28" s="1686"/>
      <c r="O28" s="353"/>
      <c r="P28" s="1673"/>
      <c r="Q28" s="1673"/>
      <c r="R28" s="1682"/>
    </row>
    <row r="29" spans="1:39">
      <c r="A29" s="1648" t="s">
        <v>647</v>
      </c>
      <c r="B29" s="424" t="s">
        <v>483</v>
      </c>
      <c r="C29" s="1681"/>
      <c r="D29" s="1673"/>
      <c r="E29" s="1673"/>
      <c r="F29" s="1682"/>
      <c r="G29" s="353"/>
      <c r="H29" s="1673"/>
      <c r="I29" s="1674"/>
      <c r="J29" s="1684"/>
      <c r="K29" s="1681"/>
      <c r="L29" s="1673"/>
      <c r="M29" s="1674"/>
      <c r="N29" s="1686"/>
      <c r="O29" s="353"/>
      <c r="P29" s="1673"/>
      <c r="Q29" s="1673"/>
      <c r="R29" s="1682"/>
    </row>
    <row r="30" spans="1:39">
      <c r="A30" s="1648" t="s">
        <v>647</v>
      </c>
      <c r="B30" s="424" t="s">
        <v>609</v>
      </c>
      <c r="C30" s="1681"/>
      <c r="D30" s="1673"/>
      <c r="E30" s="1673"/>
      <c r="F30" s="1682"/>
      <c r="G30" s="353"/>
      <c r="H30" s="1673"/>
      <c r="I30" s="1674"/>
      <c r="J30" s="1684"/>
      <c r="K30" s="1681"/>
      <c r="L30" s="1673"/>
      <c r="M30" s="1674"/>
      <c r="N30" s="1686"/>
      <c r="O30" s="353"/>
      <c r="P30" s="1673"/>
      <c r="Q30" s="1673"/>
      <c r="R30" s="1682"/>
    </row>
    <row r="31" spans="1:39">
      <c r="A31" s="1648" t="s">
        <v>647</v>
      </c>
      <c r="B31" s="424" t="s">
        <v>641</v>
      </c>
      <c r="C31" s="1681"/>
      <c r="D31" s="1673"/>
      <c r="E31" s="1673"/>
      <c r="F31" s="1682"/>
      <c r="G31" s="353"/>
      <c r="H31" s="1673"/>
      <c r="I31" s="1674"/>
      <c r="J31" s="1684"/>
      <c r="K31" s="1681"/>
      <c r="L31" s="1673"/>
      <c r="M31" s="1674"/>
      <c r="N31" s="1686"/>
      <c r="O31" s="353"/>
      <c r="P31" s="1673"/>
      <c r="Q31" s="1673"/>
      <c r="R31" s="1682"/>
    </row>
    <row r="32" spans="1:39">
      <c r="A32" s="1648" t="s">
        <v>647</v>
      </c>
      <c r="B32" s="424" t="s">
        <v>642</v>
      </c>
      <c r="C32" s="1681"/>
      <c r="D32" s="1673"/>
      <c r="E32" s="1673"/>
      <c r="F32" s="1682"/>
      <c r="G32" s="353"/>
      <c r="H32" s="1673"/>
      <c r="I32" s="1674"/>
      <c r="J32" s="1684"/>
      <c r="K32" s="1681"/>
      <c r="L32" s="1673"/>
      <c r="M32" s="1674"/>
      <c r="N32" s="1686"/>
      <c r="O32" s="353"/>
      <c r="P32" s="1673"/>
      <c r="Q32" s="1673"/>
      <c r="R32" s="1682"/>
    </row>
    <row r="33" spans="1:18">
      <c r="A33" s="1648" t="s">
        <v>647</v>
      </c>
      <c r="B33" s="424" t="s">
        <v>643</v>
      </c>
      <c r="C33" s="1681"/>
      <c r="D33" s="1673"/>
      <c r="E33" s="1673"/>
      <c r="F33" s="1682"/>
      <c r="G33" s="353"/>
      <c r="H33" s="1673"/>
      <c r="I33" s="1674"/>
      <c r="J33" s="1684"/>
      <c r="K33" s="1681"/>
      <c r="L33" s="1673"/>
      <c r="M33" s="1674"/>
      <c r="N33" s="1686"/>
      <c r="O33" s="353"/>
      <c r="P33" s="1673"/>
      <c r="Q33" s="1673"/>
      <c r="R33" s="1682"/>
    </row>
    <row r="34" spans="1:18">
      <c r="A34" s="1648" t="s">
        <v>647</v>
      </c>
      <c r="B34" s="424" t="s">
        <v>644</v>
      </c>
      <c r="C34" s="1681"/>
      <c r="D34" s="1673"/>
      <c r="E34" s="1673"/>
      <c r="F34" s="1682"/>
      <c r="G34" s="353"/>
      <c r="H34" s="1673"/>
      <c r="I34" s="1674"/>
      <c r="J34" s="1684"/>
      <c r="K34" s="1681"/>
      <c r="L34" s="1673"/>
      <c r="M34" s="1674"/>
      <c r="N34" s="1686"/>
      <c r="O34" s="353"/>
      <c r="P34" s="1673"/>
      <c r="Q34" s="1673"/>
      <c r="R34" s="1682"/>
    </row>
    <row r="35" spans="1:18">
      <c r="A35" s="1648" t="s">
        <v>647</v>
      </c>
      <c r="B35" s="424" t="s">
        <v>645</v>
      </c>
      <c r="C35" s="1681"/>
      <c r="D35" s="1673"/>
      <c r="E35" s="1673"/>
      <c r="F35" s="1682"/>
      <c r="G35" s="353"/>
      <c r="H35" s="1673"/>
      <c r="I35" s="1674"/>
      <c r="J35" s="1684"/>
      <c r="K35" s="1681"/>
      <c r="L35" s="1673"/>
      <c r="M35" s="1674"/>
      <c r="N35" s="1686"/>
      <c r="O35" s="353"/>
      <c r="P35" s="1673"/>
      <c r="Q35" s="1673"/>
      <c r="R35" s="1682"/>
    </row>
    <row r="36" spans="1:18" ht="13.8" thickBot="1">
      <c r="A36" s="1710" t="s">
        <v>647</v>
      </c>
      <c r="B36" s="1711" t="s">
        <v>646</v>
      </c>
      <c r="C36" s="1712"/>
      <c r="D36" s="1713"/>
      <c r="E36" s="1713"/>
      <c r="F36" s="1714"/>
      <c r="G36" s="1715"/>
      <c r="H36" s="1713"/>
      <c r="I36" s="1689"/>
      <c r="J36" s="1690"/>
      <c r="K36" s="1712"/>
      <c r="L36" s="1713"/>
      <c r="M36" s="1689"/>
      <c r="N36" s="1691"/>
      <c r="O36" s="1715"/>
      <c r="P36" s="1713"/>
      <c r="Q36" s="1713"/>
      <c r="R36" s="1714"/>
    </row>
    <row r="38" spans="1:18" ht="16.2" thickBot="1">
      <c r="M38" s="1115"/>
      <c r="N38"/>
      <c r="O38" s="1115"/>
      <c r="P38" s="14"/>
      <c r="Q38" s="1115"/>
      <c r="R38" s="14"/>
    </row>
    <row r="39" spans="1:18" ht="16.2" thickBot="1">
      <c r="A39" s="840" t="str">
        <f>A7</f>
        <v>Optical Interconnects</v>
      </c>
      <c r="B39" s="909"/>
      <c r="D39" s="910"/>
      <c r="E39" s="910"/>
      <c r="F39" s="910"/>
      <c r="G39" s="804" t="s">
        <v>210</v>
      </c>
      <c r="H39" s="910"/>
      <c r="I39" s="910"/>
      <c r="J39" s="910"/>
      <c r="K39" s="910"/>
      <c r="L39" s="910"/>
      <c r="M39" s="804" t="s">
        <v>209</v>
      </c>
      <c r="O39"/>
      <c r="P39"/>
      <c r="Q39" s="1869" t="s">
        <v>624</v>
      </c>
      <c r="R39" s="1870"/>
    </row>
    <row r="40" spans="1:18" ht="13.8" thickBot="1">
      <c r="A40" s="620" t="s">
        <v>285</v>
      </c>
      <c r="B40" s="620" t="s">
        <v>211</v>
      </c>
      <c r="C40" s="1696" t="s">
        <v>130</v>
      </c>
      <c r="D40" s="1697" t="s">
        <v>131</v>
      </c>
      <c r="E40" s="1697" t="s">
        <v>132</v>
      </c>
      <c r="F40" s="1698" t="s">
        <v>133</v>
      </c>
      <c r="G40" s="1699" t="str">
        <f t="shared" ref="G40:L40" si="2">G25</f>
        <v>1Q 18</v>
      </c>
      <c r="H40" s="1697" t="str">
        <f t="shared" si="2"/>
        <v>2Q 18</v>
      </c>
      <c r="I40" s="1697" t="str">
        <f t="shared" si="2"/>
        <v>3Q 18</v>
      </c>
      <c r="J40" s="1700" t="str">
        <f t="shared" si="2"/>
        <v>4Q 18</v>
      </c>
      <c r="K40" s="1696" t="str">
        <f t="shared" si="2"/>
        <v>1Q 19</v>
      </c>
      <c r="L40" s="1697" t="str">
        <f t="shared" si="2"/>
        <v>2Q 19</v>
      </c>
      <c r="M40" s="1697" t="s">
        <v>140</v>
      </c>
      <c r="N40" s="1698" t="s">
        <v>141</v>
      </c>
      <c r="O40" s="1696" t="s">
        <v>142</v>
      </c>
      <c r="P40" s="1697" t="s">
        <v>143</v>
      </c>
      <c r="Q40" s="1702" t="s">
        <v>621</v>
      </c>
      <c r="R40" s="1702" t="s">
        <v>622</v>
      </c>
    </row>
    <row r="41" spans="1:18" ht="27.45" customHeight="1">
      <c r="A41" s="911" t="s">
        <v>286</v>
      </c>
      <c r="B41" s="1677" t="str">
        <f>B9</f>
        <v>up to 12x16 Gbps</v>
      </c>
      <c r="C41" s="1222">
        <f t="shared" ref="C41:N41" si="3">C26*C9</f>
        <v>10239975</v>
      </c>
      <c r="D41" s="1223">
        <f t="shared" si="3"/>
        <v>8542484</v>
      </c>
      <c r="E41" s="1223">
        <f t="shared" si="3"/>
        <v>6792509.9999999972</v>
      </c>
      <c r="F41" s="1224">
        <f t="shared" si="3"/>
        <v>4276700</v>
      </c>
      <c r="G41" s="1527"/>
      <c r="H41" s="1223"/>
      <c r="I41" s="1223"/>
      <c r="J41" s="1703"/>
      <c r="K41" s="1222">
        <f t="shared" si="3"/>
        <v>0</v>
      </c>
      <c r="L41" s="1223">
        <f t="shared" si="3"/>
        <v>0</v>
      </c>
      <c r="M41" s="1223">
        <f t="shared" si="3"/>
        <v>0</v>
      </c>
      <c r="N41" s="1224">
        <f t="shared" si="3"/>
        <v>0</v>
      </c>
      <c r="O41" s="1646" t="s">
        <v>639</v>
      </c>
      <c r="P41" s="1223"/>
      <c r="Q41" s="1223">
        <v>0</v>
      </c>
      <c r="R41" s="1224">
        <v>0</v>
      </c>
    </row>
    <row r="42" spans="1:18">
      <c r="A42" s="912" t="s">
        <v>287</v>
      </c>
      <c r="B42" s="1678" t="str">
        <f>B10</f>
        <v>up to 12x25 Gbps</v>
      </c>
      <c r="C42" s="1693">
        <f t="shared" ref="C42:K42" si="4">C27*C10</f>
        <v>2743164</v>
      </c>
      <c r="D42" s="1676">
        <f t="shared" si="4"/>
        <v>4178851</v>
      </c>
      <c r="E42" s="1676">
        <f t="shared" si="4"/>
        <v>2547087.9999999995</v>
      </c>
      <c r="F42" s="1694">
        <f t="shared" si="4"/>
        <v>2999947</v>
      </c>
      <c r="G42" s="221"/>
      <c r="H42" s="1676"/>
      <c r="I42" s="1676"/>
      <c r="J42" s="274"/>
      <c r="K42" s="1693">
        <f t="shared" si="4"/>
        <v>0</v>
      </c>
      <c r="L42" s="1693">
        <f t="shared" ref="L42:P42" si="5">L27*L10</f>
        <v>0</v>
      </c>
      <c r="M42" s="1693">
        <f t="shared" si="5"/>
        <v>0</v>
      </c>
      <c r="N42" s="1693">
        <f t="shared" si="5"/>
        <v>0</v>
      </c>
      <c r="O42" s="1693">
        <f t="shared" si="5"/>
        <v>0</v>
      </c>
      <c r="P42" s="1693">
        <f t="shared" si="5"/>
        <v>0</v>
      </c>
      <c r="Q42" s="1676">
        <f t="shared" ref="Q42:R42" si="6">Q27*Q10</f>
        <v>0</v>
      </c>
      <c r="R42" s="1694">
        <f t="shared" si="6"/>
        <v>0</v>
      </c>
    </row>
    <row r="43" spans="1:18">
      <c r="A43" s="1648" t="s">
        <v>647</v>
      </c>
      <c r="B43" s="424" t="s">
        <v>482</v>
      </c>
      <c r="C43" s="1693"/>
      <c r="D43" s="1676"/>
      <c r="E43" s="1676"/>
      <c r="F43" s="1694"/>
      <c r="G43" s="221"/>
      <c r="H43" s="1676"/>
      <c r="I43" s="1676"/>
      <c r="J43" s="274"/>
      <c r="K43" s="1693">
        <f t="shared" ref="K43:P43" si="7">K28*K11</f>
        <v>0</v>
      </c>
      <c r="L43" s="1693">
        <f t="shared" si="7"/>
        <v>0</v>
      </c>
      <c r="M43" s="1693">
        <f t="shared" si="7"/>
        <v>0</v>
      </c>
      <c r="N43" s="1693">
        <f t="shared" si="7"/>
        <v>0</v>
      </c>
      <c r="O43" s="1693">
        <f t="shared" si="7"/>
        <v>0</v>
      </c>
      <c r="P43" s="1693">
        <f t="shared" si="7"/>
        <v>0</v>
      </c>
      <c r="Q43" s="1676">
        <f t="shared" ref="Q43:R43" si="8">Q28*Q11</f>
        <v>0</v>
      </c>
      <c r="R43" s="1694">
        <f t="shared" si="8"/>
        <v>0</v>
      </c>
    </row>
    <row r="44" spans="1:18">
      <c r="A44" s="1648" t="s">
        <v>647</v>
      </c>
      <c r="B44" s="424" t="s">
        <v>483</v>
      </c>
      <c r="C44" s="1693"/>
      <c r="D44" s="1676"/>
      <c r="E44" s="1676"/>
      <c r="F44" s="1694"/>
      <c r="G44" s="221"/>
      <c r="H44" s="1676"/>
      <c r="I44" s="1676"/>
      <c r="J44" s="274"/>
      <c r="K44" s="1693">
        <f t="shared" ref="K44:P44" si="9">K29*K12</f>
        <v>0</v>
      </c>
      <c r="L44" s="1693">
        <f t="shared" si="9"/>
        <v>0</v>
      </c>
      <c r="M44" s="1693">
        <f t="shared" si="9"/>
        <v>0</v>
      </c>
      <c r="N44" s="1693">
        <f t="shared" si="9"/>
        <v>0</v>
      </c>
      <c r="O44" s="1693">
        <f t="shared" si="9"/>
        <v>0</v>
      </c>
      <c r="P44" s="1693">
        <f t="shared" si="9"/>
        <v>0</v>
      </c>
      <c r="Q44" s="1676">
        <f t="shared" ref="Q44:R44" si="10">Q29*Q12</f>
        <v>0</v>
      </c>
      <c r="R44" s="1694">
        <f t="shared" si="10"/>
        <v>0</v>
      </c>
    </row>
    <row r="45" spans="1:18">
      <c r="A45" s="1648" t="s">
        <v>647</v>
      </c>
      <c r="B45" s="424" t="s">
        <v>609</v>
      </c>
      <c r="C45" s="1693"/>
      <c r="D45" s="1676"/>
      <c r="E45" s="1676"/>
      <c r="F45" s="1694"/>
      <c r="G45" s="221"/>
      <c r="H45" s="1676"/>
      <c r="I45" s="1676"/>
      <c r="J45" s="274"/>
      <c r="K45" s="1693">
        <f t="shared" ref="K45:P45" si="11">K30*K13</f>
        <v>0</v>
      </c>
      <c r="L45" s="1693">
        <f t="shared" si="11"/>
        <v>0</v>
      </c>
      <c r="M45" s="1693">
        <f t="shared" si="11"/>
        <v>0</v>
      </c>
      <c r="N45" s="1693">
        <f t="shared" si="11"/>
        <v>0</v>
      </c>
      <c r="O45" s="1693">
        <f t="shared" si="11"/>
        <v>0</v>
      </c>
      <c r="P45" s="1693">
        <f t="shared" si="11"/>
        <v>0</v>
      </c>
      <c r="Q45" s="1676">
        <f t="shared" ref="Q45:R45" si="12">Q30*Q13</f>
        <v>0</v>
      </c>
      <c r="R45" s="1694">
        <f t="shared" si="12"/>
        <v>0</v>
      </c>
    </row>
    <row r="46" spans="1:18">
      <c r="A46" s="1648" t="s">
        <v>647</v>
      </c>
      <c r="B46" s="424" t="s">
        <v>641</v>
      </c>
      <c r="C46" s="1693"/>
      <c r="D46" s="1676"/>
      <c r="E46" s="1676"/>
      <c r="F46" s="1694"/>
      <c r="G46" s="221"/>
      <c r="H46" s="1676"/>
      <c r="I46" s="1676"/>
      <c r="J46" s="274"/>
      <c r="K46" s="1693">
        <f t="shared" ref="K46:P46" si="13">K31*K14</f>
        <v>0</v>
      </c>
      <c r="L46" s="1693">
        <f t="shared" si="13"/>
        <v>0</v>
      </c>
      <c r="M46" s="1693">
        <f t="shared" si="13"/>
        <v>0</v>
      </c>
      <c r="N46" s="1693">
        <f t="shared" si="13"/>
        <v>0</v>
      </c>
      <c r="O46" s="1693">
        <f t="shared" si="13"/>
        <v>0</v>
      </c>
      <c r="P46" s="1693">
        <f t="shared" si="13"/>
        <v>0</v>
      </c>
      <c r="Q46" s="1676">
        <f t="shared" ref="Q46:R46" si="14">Q31*Q14</f>
        <v>0</v>
      </c>
      <c r="R46" s="1694">
        <f t="shared" si="14"/>
        <v>0</v>
      </c>
    </row>
    <row r="47" spans="1:18">
      <c r="A47" s="1648" t="s">
        <v>647</v>
      </c>
      <c r="B47" s="424" t="s">
        <v>642</v>
      </c>
      <c r="C47" s="1693"/>
      <c r="D47" s="1676"/>
      <c r="E47" s="1676"/>
      <c r="F47" s="1694"/>
      <c r="G47" s="221"/>
      <c r="H47" s="1676"/>
      <c r="I47" s="1676"/>
      <c r="J47" s="274"/>
      <c r="K47" s="1693">
        <f t="shared" ref="K47:P47" si="15">K32*K15</f>
        <v>0</v>
      </c>
      <c r="L47" s="1693">
        <f t="shared" si="15"/>
        <v>0</v>
      </c>
      <c r="M47" s="1693">
        <f t="shared" si="15"/>
        <v>0</v>
      </c>
      <c r="N47" s="1693">
        <f t="shared" si="15"/>
        <v>0</v>
      </c>
      <c r="O47" s="1693">
        <f t="shared" si="15"/>
        <v>0</v>
      </c>
      <c r="P47" s="1693">
        <f t="shared" si="15"/>
        <v>0</v>
      </c>
      <c r="Q47" s="1676">
        <f t="shared" ref="Q47:R47" si="16">Q32*Q15</f>
        <v>0</v>
      </c>
      <c r="R47" s="1694">
        <f t="shared" si="16"/>
        <v>0</v>
      </c>
    </row>
    <row r="48" spans="1:18">
      <c r="A48" s="1648" t="s">
        <v>647</v>
      </c>
      <c r="B48" s="424" t="s">
        <v>643</v>
      </c>
      <c r="C48" s="1693"/>
      <c r="D48" s="1676"/>
      <c r="E48" s="1676"/>
      <c r="F48" s="1694"/>
      <c r="G48" s="221"/>
      <c r="H48" s="1676"/>
      <c r="I48" s="1676"/>
      <c r="J48" s="274"/>
      <c r="K48" s="1693">
        <f t="shared" ref="K48:P48" si="17">K33*K16</f>
        <v>0</v>
      </c>
      <c r="L48" s="1693">
        <f t="shared" si="17"/>
        <v>0</v>
      </c>
      <c r="M48" s="1693">
        <f t="shared" si="17"/>
        <v>0</v>
      </c>
      <c r="N48" s="1693">
        <f t="shared" si="17"/>
        <v>0</v>
      </c>
      <c r="O48" s="1693">
        <f t="shared" si="17"/>
        <v>0</v>
      </c>
      <c r="P48" s="1693">
        <f t="shared" si="17"/>
        <v>0</v>
      </c>
      <c r="Q48" s="1676">
        <f t="shared" ref="Q48:R48" si="18">Q33*Q16</f>
        <v>0</v>
      </c>
      <c r="R48" s="1694">
        <f t="shared" si="18"/>
        <v>0</v>
      </c>
    </row>
    <row r="49" spans="1:18">
      <c r="A49" s="1648" t="s">
        <v>647</v>
      </c>
      <c r="B49" s="424" t="s">
        <v>644</v>
      </c>
      <c r="C49" s="1693"/>
      <c r="D49" s="1676"/>
      <c r="E49" s="1676"/>
      <c r="F49" s="1694"/>
      <c r="G49" s="221"/>
      <c r="H49" s="1676"/>
      <c r="I49" s="1676"/>
      <c r="J49" s="274"/>
      <c r="K49" s="1693">
        <f t="shared" ref="K49:P49" si="19">K34*K17</f>
        <v>0</v>
      </c>
      <c r="L49" s="1693">
        <f t="shared" si="19"/>
        <v>0</v>
      </c>
      <c r="M49" s="1693">
        <f t="shared" si="19"/>
        <v>0</v>
      </c>
      <c r="N49" s="1693">
        <f t="shared" si="19"/>
        <v>0</v>
      </c>
      <c r="O49" s="1693">
        <f t="shared" si="19"/>
        <v>0</v>
      </c>
      <c r="P49" s="1693">
        <f t="shared" si="19"/>
        <v>0</v>
      </c>
      <c r="Q49" s="1676">
        <f t="shared" ref="Q49:R49" si="20">Q34*Q17</f>
        <v>0</v>
      </c>
      <c r="R49" s="1694">
        <f t="shared" si="20"/>
        <v>0</v>
      </c>
    </row>
    <row r="50" spans="1:18">
      <c r="A50" s="1648" t="s">
        <v>647</v>
      </c>
      <c r="B50" s="424" t="s">
        <v>645</v>
      </c>
      <c r="C50" s="1693"/>
      <c r="D50" s="1676"/>
      <c r="E50" s="1676"/>
      <c r="F50" s="1694"/>
      <c r="G50" s="221"/>
      <c r="H50" s="1676"/>
      <c r="I50" s="1676"/>
      <c r="J50" s="274"/>
      <c r="K50" s="1693">
        <f t="shared" ref="K50:P50" si="21">K35*K18</f>
        <v>0</v>
      </c>
      <c r="L50" s="1693">
        <f t="shared" si="21"/>
        <v>0</v>
      </c>
      <c r="M50" s="1693">
        <f t="shared" si="21"/>
        <v>0</v>
      </c>
      <c r="N50" s="1693">
        <f t="shared" si="21"/>
        <v>0</v>
      </c>
      <c r="O50" s="1693">
        <f t="shared" si="21"/>
        <v>0</v>
      </c>
      <c r="P50" s="1693">
        <f t="shared" si="21"/>
        <v>0</v>
      </c>
      <c r="Q50" s="1676">
        <f t="shared" ref="Q50:R50" si="22">Q35*Q18</f>
        <v>0</v>
      </c>
      <c r="R50" s="1694">
        <f t="shared" si="22"/>
        <v>0</v>
      </c>
    </row>
    <row r="51" spans="1:18">
      <c r="A51" s="1648" t="s">
        <v>647</v>
      </c>
      <c r="B51" s="424" t="s">
        <v>646</v>
      </c>
      <c r="C51" s="1693"/>
      <c r="D51" s="1676"/>
      <c r="E51" s="1676"/>
      <c r="F51" s="1694"/>
      <c r="G51" s="221"/>
      <c r="H51" s="1676"/>
      <c r="I51" s="1676"/>
      <c r="J51" s="274"/>
      <c r="K51" s="1693">
        <f t="shared" ref="K51:P51" si="23">K36*K19</f>
        <v>0</v>
      </c>
      <c r="L51" s="1693">
        <f t="shared" si="23"/>
        <v>0</v>
      </c>
      <c r="M51" s="1693">
        <f t="shared" si="23"/>
        <v>0</v>
      </c>
      <c r="N51" s="1693">
        <f t="shared" si="23"/>
        <v>0</v>
      </c>
      <c r="O51" s="1693">
        <f t="shared" si="23"/>
        <v>0</v>
      </c>
      <c r="P51" s="1693">
        <f t="shared" si="23"/>
        <v>0</v>
      </c>
      <c r="Q51" s="1676">
        <f t="shared" ref="Q51:R51" si="24">Q36*Q19</f>
        <v>0</v>
      </c>
      <c r="R51" s="1694">
        <f t="shared" si="24"/>
        <v>0</v>
      </c>
    </row>
    <row r="52" spans="1:18" ht="13.8" thickBot="1">
      <c r="A52" s="1482" t="s">
        <v>219</v>
      </c>
      <c r="B52" s="1649" t="str">
        <f>B20</f>
        <v>AOCs total</v>
      </c>
      <c r="C52" s="1704">
        <v>50974855</v>
      </c>
      <c r="D52" s="1705">
        <v>50024224</v>
      </c>
      <c r="E52" s="1705">
        <v>54798230.949999981</v>
      </c>
      <c r="F52" s="1706">
        <v>54782512.623799995</v>
      </c>
      <c r="G52" s="1707"/>
      <c r="H52" s="1705"/>
      <c r="I52" s="1705"/>
      <c r="J52" s="1708"/>
      <c r="K52" s="1704">
        <f>SUM(K43:K51)</f>
        <v>0</v>
      </c>
      <c r="L52" s="1704">
        <f t="shared" ref="L52:P52" si="25">SUM(L43:L51)</f>
        <v>0</v>
      </c>
      <c r="M52" s="1704">
        <f t="shared" si="25"/>
        <v>0</v>
      </c>
      <c r="N52" s="1704">
        <f t="shared" si="25"/>
        <v>0</v>
      </c>
      <c r="O52" s="1704">
        <f t="shared" si="25"/>
        <v>0</v>
      </c>
      <c r="P52" s="1704">
        <f t="shared" si="25"/>
        <v>0</v>
      </c>
      <c r="Q52" s="1676">
        <f t="shared" ref="Q52:R52" si="26">SUM(Q43:Q51)</f>
        <v>0</v>
      </c>
      <c r="R52" s="1694">
        <f t="shared" si="26"/>
        <v>0</v>
      </c>
    </row>
    <row r="53" spans="1:18" ht="13.8" thickBot="1">
      <c r="A53" s="1867" t="s">
        <v>155</v>
      </c>
      <c r="B53" s="1868"/>
      <c r="C53" s="1675">
        <f t="shared" ref="C53:F53" si="27">SUM(C41:C52)</f>
        <v>63957994</v>
      </c>
      <c r="D53" s="1675">
        <f t="shared" si="27"/>
        <v>62745559</v>
      </c>
      <c r="E53" s="1675">
        <f t="shared" si="27"/>
        <v>64137828.949999973</v>
      </c>
      <c r="F53" s="1695">
        <f t="shared" si="27"/>
        <v>62059159.623799995</v>
      </c>
      <c r="G53" s="1692"/>
      <c r="H53" s="1675"/>
      <c r="I53" s="1675"/>
      <c r="J53" s="1701"/>
      <c r="K53" s="1675">
        <f>SUM(K41:K51)</f>
        <v>0</v>
      </c>
      <c r="L53" s="1675">
        <f t="shared" ref="L53:P53" si="28">SUM(L41:L51)</f>
        <v>0</v>
      </c>
      <c r="M53" s="1675">
        <f t="shared" si="28"/>
        <v>0</v>
      </c>
      <c r="N53" s="1675">
        <f t="shared" si="28"/>
        <v>0</v>
      </c>
      <c r="O53" s="1675">
        <f t="shared" si="28"/>
        <v>0</v>
      </c>
      <c r="P53" s="1675">
        <f t="shared" si="28"/>
        <v>0</v>
      </c>
      <c r="Q53" s="1675">
        <f t="shared" ref="Q53:R53" si="29">SUM(Q41:Q51)</f>
        <v>0</v>
      </c>
      <c r="R53" s="1675">
        <f t="shared" si="29"/>
        <v>0</v>
      </c>
    </row>
    <row r="54" spans="1:18">
      <c r="C54" s="1118"/>
      <c r="D54" s="1118"/>
      <c r="E54" s="1118"/>
      <c r="F54" s="1118"/>
      <c r="G54" s="1118"/>
      <c r="H54" s="1118"/>
      <c r="I54" s="1118"/>
      <c r="J54" s="1118"/>
      <c r="K54" s="1118"/>
      <c r="L54" s="1118"/>
      <c r="M54" s="1118"/>
      <c r="N54" s="1118"/>
      <c r="O54" s="1118"/>
      <c r="P54" s="1118"/>
      <c r="Q54" s="1118"/>
      <c r="R54" s="1118"/>
    </row>
    <row r="55" spans="1:18">
      <c r="H55" s="125"/>
    </row>
    <row r="56" spans="1:18">
      <c r="H56" s="125"/>
    </row>
    <row r="57" spans="1:18">
      <c r="H57" s="1477"/>
    </row>
    <row r="59" spans="1:18">
      <c r="H59" s="133"/>
    </row>
    <row r="60" spans="1:18">
      <c r="H60" s="133"/>
    </row>
    <row r="61" spans="1:18">
      <c r="H61" s="133"/>
    </row>
  </sheetData>
  <mergeCells count="5">
    <mergeCell ref="A53:B53"/>
    <mergeCell ref="A21:B21"/>
    <mergeCell ref="Q7:R7"/>
    <mergeCell ref="Q24:R24"/>
    <mergeCell ref="Q39:R39"/>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BC342"/>
  <sheetViews>
    <sheetView zoomScale="60" zoomScaleNormal="60" zoomScalePageLayoutView="80" workbookViewId="0">
      <pane xSplit="5" topLeftCell="F1" activePane="topRight" state="frozen"/>
      <selection activeCell="Y23" sqref="Y23"/>
      <selection pane="topRight"/>
    </sheetView>
  </sheetViews>
  <sheetFormatPr defaultColWidth="8.77734375" defaultRowHeight="13.2"/>
  <cols>
    <col min="1" max="1" width="4.44140625" customWidth="1"/>
    <col min="5" max="5" width="19.77734375" customWidth="1"/>
    <col min="6" max="6" width="12.77734375" customWidth="1"/>
    <col min="7" max="7" width="13.44140625" customWidth="1"/>
    <col min="8" max="8" width="9.77734375" customWidth="1"/>
    <col min="9" max="9" width="10.6640625" customWidth="1"/>
    <col min="10" max="10" width="11.77734375" customWidth="1"/>
    <col min="11" max="11" width="11.33203125" bestFit="1" customWidth="1"/>
    <col min="12" max="12" width="11.33203125" customWidth="1"/>
    <col min="13" max="21" width="11.33203125" bestFit="1" customWidth="1"/>
    <col min="22" max="23" width="10.44140625" customWidth="1"/>
    <col min="24" max="29" width="11.33203125" bestFit="1" customWidth="1"/>
    <col min="30" max="30" width="10.44140625" customWidth="1"/>
    <col min="31" max="31" width="9.6640625" customWidth="1"/>
    <col min="32" max="34" width="9.21875" customWidth="1"/>
    <col min="35" max="35" width="9.77734375" customWidth="1"/>
    <col min="36" max="36" width="11.33203125" bestFit="1" customWidth="1"/>
    <col min="37" max="38" width="9.21875" customWidth="1"/>
    <col min="39" max="39" width="8.77734375" customWidth="1"/>
    <col min="40" max="40" width="9.33203125" customWidth="1"/>
    <col min="41" max="44" width="11.33203125" bestFit="1" customWidth="1"/>
  </cols>
  <sheetData>
    <row r="1" spans="1:49">
      <c r="A1" s="67"/>
      <c r="B1" s="67"/>
      <c r="C1" s="67"/>
      <c r="D1" s="67"/>
      <c r="E1" s="67"/>
      <c r="F1" s="67"/>
      <c r="G1" s="67"/>
      <c r="H1" s="67"/>
      <c r="I1" s="67"/>
      <c r="J1" s="67"/>
      <c r="K1" s="67"/>
      <c r="L1" s="67"/>
      <c r="M1" s="67"/>
      <c r="N1" s="67"/>
      <c r="O1" s="67"/>
      <c r="P1" s="67"/>
      <c r="Q1" s="67"/>
      <c r="R1" s="67"/>
      <c r="S1" s="67"/>
      <c r="T1" s="67"/>
      <c r="U1" s="67"/>
    </row>
    <row r="2" spans="1:49" ht="17.399999999999999">
      <c r="A2" s="67"/>
      <c r="B2" s="68" t="s">
        <v>668</v>
      </c>
      <c r="C2" s="67"/>
      <c r="D2" s="67"/>
      <c r="E2" s="67"/>
      <c r="F2" s="67"/>
      <c r="G2" s="67"/>
      <c r="H2" s="67"/>
      <c r="I2" s="67"/>
      <c r="J2" s="67"/>
      <c r="K2" s="67"/>
      <c r="L2" s="67"/>
      <c r="M2" s="67"/>
      <c r="N2" s="67"/>
      <c r="O2" s="67"/>
      <c r="P2" s="67"/>
      <c r="Q2" s="67"/>
      <c r="R2" s="67"/>
      <c r="S2" s="67"/>
      <c r="T2" s="67"/>
      <c r="U2" s="67"/>
    </row>
    <row r="3" spans="1:49" ht="18.75" customHeight="1">
      <c r="A3" s="67"/>
      <c r="B3" s="344" t="str">
        <f>Introduction!$B$2</f>
        <v>Sample template as of March 2022</v>
      </c>
      <c r="C3" s="67"/>
      <c r="D3" s="67"/>
      <c r="E3" s="67"/>
      <c r="F3" s="67"/>
      <c r="G3" s="67"/>
      <c r="H3" s="67"/>
      <c r="I3" s="67"/>
      <c r="J3" s="67"/>
      <c r="K3" s="67"/>
      <c r="L3" s="67"/>
      <c r="M3" s="67"/>
      <c r="N3" s="67"/>
      <c r="O3" s="67"/>
      <c r="P3" s="67"/>
      <c r="Q3" s="67"/>
      <c r="R3" s="67"/>
      <c r="S3" s="67"/>
      <c r="T3" s="67"/>
      <c r="U3" s="67"/>
    </row>
    <row r="4" spans="1:49" ht="17.399999999999999">
      <c r="A4" s="67"/>
      <c r="B4" s="69"/>
      <c r="C4" s="67"/>
      <c r="D4" s="67"/>
      <c r="E4" s="67"/>
      <c r="F4" s="67"/>
      <c r="G4" s="67"/>
      <c r="H4" s="67"/>
      <c r="I4" s="67"/>
      <c r="J4" s="67"/>
      <c r="K4" s="67"/>
      <c r="L4" s="67"/>
      <c r="M4" s="67"/>
      <c r="N4" s="67"/>
      <c r="O4" s="67"/>
      <c r="P4" s="67"/>
      <c r="Q4" s="67"/>
      <c r="R4" s="67"/>
      <c r="S4" s="67"/>
      <c r="T4" s="67"/>
      <c r="U4" s="67"/>
    </row>
    <row r="5" spans="1:49" ht="17.399999999999999">
      <c r="A5" s="46"/>
      <c r="B5" s="75" t="s">
        <v>3</v>
      </c>
      <c r="C5" s="46"/>
      <c r="D5" s="76"/>
      <c r="E5" s="46"/>
      <c r="F5" s="46" t="s">
        <v>181</v>
      </c>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row>
    <row r="6" spans="1:49">
      <c r="D6" s="7"/>
    </row>
    <row r="7" spans="1:49" ht="15.6">
      <c r="D7" s="7"/>
      <c r="E7" s="571" t="s">
        <v>100</v>
      </c>
      <c r="F7" s="51"/>
      <c r="G7" s="51"/>
      <c r="H7" s="51"/>
      <c r="I7" s="51"/>
      <c r="J7" s="571" t="s">
        <v>101</v>
      </c>
      <c r="K7" s="51"/>
      <c r="L7" s="51"/>
      <c r="M7" s="51"/>
    </row>
    <row r="8" spans="1:49" ht="46.8">
      <c r="D8" s="7"/>
      <c r="E8" s="919" t="s">
        <v>36</v>
      </c>
      <c r="F8" s="920" t="s">
        <v>495</v>
      </c>
      <c r="G8" s="920" t="s">
        <v>658</v>
      </c>
      <c r="H8" s="51"/>
      <c r="I8" s="51"/>
      <c r="J8" s="920" t="s">
        <v>36</v>
      </c>
      <c r="K8" s="920" t="s">
        <v>495</v>
      </c>
      <c r="L8" s="920" t="str">
        <f>G8</f>
        <v>3Q20/3Q19 revenue growth</v>
      </c>
      <c r="M8" s="51"/>
    </row>
    <row r="9" spans="1:49" ht="30" customHeight="1">
      <c r="D9" s="7"/>
      <c r="E9" s="921" t="s">
        <v>423</v>
      </c>
      <c r="F9" s="923">
        <f>H39</f>
        <v>-1</v>
      </c>
      <c r="G9" s="923" t="e">
        <f>CSPs!U25</f>
        <v>#DIV/0!</v>
      </c>
      <c r="H9" s="51"/>
      <c r="I9" s="51"/>
      <c r="J9" s="922" t="s">
        <v>427</v>
      </c>
      <c r="K9" s="926">
        <f>H91</f>
        <v>-1</v>
      </c>
      <c r="L9" s="927" t="e">
        <f>ICPs!U24</f>
        <v>#DIV/0!</v>
      </c>
      <c r="M9" s="51"/>
    </row>
    <row r="10" spans="1:49" ht="31.2">
      <c r="D10" s="7"/>
      <c r="E10" s="921" t="s">
        <v>426</v>
      </c>
      <c r="F10" s="924">
        <f>O39</f>
        <v>-1</v>
      </c>
      <c r="G10" s="925" t="e">
        <f>CSPs!U47</f>
        <v>#DIV/0!</v>
      </c>
      <c r="H10" s="51"/>
      <c r="I10" s="51"/>
      <c r="J10" s="922" t="s">
        <v>428</v>
      </c>
      <c r="K10" s="928">
        <f>O91</f>
        <v>-1</v>
      </c>
      <c r="L10" s="927" t="e">
        <f>ICPs!U45</f>
        <v>#DIV/0!</v>
      </c>
      <c r="M10" s="51"/>
    </row>
    <row r="11" spans="1:49" ht="30" customHeight="1">
      <c r="D11" s="7"/>
      <c r="E11" s="921" t="s">
        <v>39</v>
      </c>
      <c r="F11" s="923">
        <f>H68</f>
        <v>-1</v>
      </c>
      <c r="G11" s="923" t="e">
        <f>'Network equip'!U19</f>
        <v>#DIV/0!</v>
      </c>
      <c r="H11" s="51"/>
      <c r="I11" s="51"/>
      <c r="J11" s="922" t="s">
        <v>1</v>
      </c>
      <c r="K11" s="924">
        <f>H124</f>
        <v>-1</v>
      </c>
      <c r="L11" s="928" t="e">
        <f>'Datacom equip'!U23</f>
        <v>#DIV/0!</v>
      </c>
      <c r="M11" s="51"/>
    </row>
    <row r="12" spans="1:49" ht="31.2">
      <c r="D12" s="7"/>
      <c r="E12" s="921" t="s">
        <v>98</v>
      </c>
      <c r="F12" s="923">
        <f>AB261</f>
        <v>-1</v>
      </c>
      <c r="G12" s="923" t="e">
        <f>AV270</f>
        <v>#DIV/0!</v>
      </c>
      <c r="H12" s="51"/>
      <c r="I12" s="51"/>
      <c r="J12" s="922" t="s">
        <v>99</v>
      </c>
      <c r="K12" s="929">
        <f>AB260</f>
        <v>-1</v>
      </c>
      <c r="L12" s="930" t="e">
        <f>AV269</f>
        <v>#DIV/0!</v>
      </c>
      <c r="M12" s="51"/>
    </row>
    <row r="13" spans="1:49" ht="13.8">
      <c r="D13" s="7"/>
      <c r="E13" s="51"/>
      <c r="F13" s="51"/>
      <c r="G13" s="101"/>
      <c r="H13" s="51"/>
      <c r="I13" s="51"/>
      <c r="J13" s="1012"/>
      <c r="K13" s="51"/>
      <c r="L13" s="101"/>
      <c r="M13" s="51"/>
    </row>
    <row r="14" spans="1:49" ht="13.8">
      <c r="D14" s="7"/>
      <c r="E14" s="51"/>
      <c r="F14" s="51"/>
      <c r="G14" s="51"/>
      <c r="H14" s="51"/>
      <c r="I14" s="51"/>
      <c r="J14" s="51"/>
      <c r="K14" s="51"/>
      <c r="L14" s="51"/>
      <c r="M14" s="51"/>
    </row>
    <row r="15" spans="1:49" ht="46.8">
      <c r="D15" s="7"/>
      <c r="E15" s="51"/>
      <c r="F15" s="920" t="s">
        <v>167</v>
      </c>
      <c r="G15" s="920" t="s">
        <v>166</v>
      </c>
      <c r="H15" s="51"/>
      <c r="I15" t="s">
        <v>654</v>
      </c>
      <c r="K15" s="373" t="s">
        <v>16</v>
      </c>
      <c r="L15" s="2" t="s">
        <v>15</v>
      </c>
      <c r="M15" s="51"/>
    </row>
    <row r="16" spans="1:49" ht="18.75" customHeight="1">
      <c r="D16" s="7"/>
      <c r="E16" s="921" t="s">
        <v>496</v>
      </c>
      <c r="F16" s="923">
        <f>I203</f>
        <v>-1</v>
      </c>
      <c r="G16" s="923">
        <f>AB258</f>
        <v>0.12993044055206626</v>
      </c>
      <c r="H16" s="51"/>
      <c r="J16" t="s">
        <v>35</v>
      </c>
      <c r="K16" s="90" t="e">
        <f>L10</f>
        <v>#DIV/0!</v>
      </c>
      <c r="L16" s="90" t="e">
        <f>G10</f>
        <v>#DIV/0!</v>
      </c>
      <c r="M16" s="51"/>
    </row>
    <row r="17" spans="1:49" ht="31.2">
      <c r="D17" s="7"/>
      <c r="E17" s="921" t="str">
        <f>G8</f>
        <v>3Q20/3Q19 revenue growth</v>
      </c>
      <c r="F17" s="923" t="e">
        <f>AV207</f>
        <v>#DIV/0!</v>
      </c>
      <c r="G17" s="923" t="e">
        <f>AV245</f>
        <v>#DIV/0!</v>
      </c>
      <c r="H17" s="51"/>
      <c r="J17" t="s">
        <v>168</v>
      </c>
      <c r="K17" s="90" t="e">
        <f>L11</f>
        <v>#DIV/0!</v>
      </c>
      <c r="L17" s="90" t="e">
        <f>G11</f>
        <v>#DIV/0!</v>
      </c>
      <c r="M17" s="51"/>
    </row>
    <row r="18" spans="1:49">
      <c r="D18" s="7"/>
      <c r="G18" s="101"/>
      <c r="J18" t="s">
        <v>169</v>
      </c>
      <c r="K18" s="102" t="e">
        <f>L12</f>
        <v>#DIV/0!</v>
      </c>
      <c r="L18" s="102" t="e">
        <f>G12</f>
        <v>#DIV/0!</v>
      </c>
    </row>
    <row r="19" spans="1:49">
      <c r="D19" s="7"/>
      <c r="G19" s="14"/>
      <c r="K19" s="90"/>
      <c r="L19" s="101"/>
    </row>
    <row r="20" spans="1:49">
      <c r="D20" s="7"/>
    </row>
    <row r="21" spans="1:49" ht="17.399999999999999">
      <c r="A21" s="46"/>
      <c r="B21" s="75" t="s">
        <v>421</v>
      </c>
      <c r="C21" s="46"/>
      <c r="D21" s="76"/>
      <c r="E21" s="46"/>
      <c r="F21" s="46"/>
      <c r="G21" s="46"/>
      <c r="H21" s="46"/>
      <c r="I21" s="46"/>
      <c r="J21" s="46"/>
      <c r="K21" s="46"/>
      <c r="L21" s="46"/>
      <c r="M21" s="46"/>
      <c r="N21" s="46"/>
      <c r="O21" s="98" t="s">
        <v>661</v>
      </c>
      <c r="P21" s="98"/>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row>
    <row r="22" spans="1:49">
      <c r="D22" s="7"/>
    </row>
    <row r="23" spans="1:49">
      <c r="D23" s="7"/>
    </row>
    <row r="24" spans="1:49" ht="14.4">
      <c r="B24" s="60" t="s">
        <v>95</v>
      </c>
      <c r="C24" s="60"/>
      <c r="D24" s="7"/>
    </row>
    <row r="25" spans="1:49" ht="14.4">
      <c r="B25" s="73" t="str">
        <f>CSPs!B30</f>
        <v>AT&amp;T</v>
      </c>
      <c r="D25" s="7"/>
    </row>
    <row r="26" spans="1:49" ht="14.4">
      <c r="B26" s="73" t="str">
        <f>CSPs!B31</f>
        <v>BT</v>
      </c>
      <c r="D26" s="7"/>
    </row>
    <row r="27" spans="1:49" ht="14.4">
      <c r="B27" s="73" t="str">
        <f>CSPs!B32</f>
        <v>China Mobile</v>
      </c>
      <c r="D27" s="7"/>
    </row>
    <row r="28" spans="1:49" ht="14.4">
      <c r="B28" s="73" t="str">
        <f>CSPs!B33</f>
        <v>China Telecom</v>
      </c>
      <c r="D28" s="7"/>
    </row>
    <row r="29" spans="1:49" ht="14.4">
      <c r="B29" s="73" t="str">
        <f>CSPs!B34</f>
        <v>China Unicom</v>
      </c>
      <c r="D29" s="7"/>
      <c r="V29" s="2" t="str">
        <f t="shared" ref="V29:AE29" si="0">V40</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ref="AF29:AK29" si="1">AF40</f>
        <v>3Q 16</v>
      </c>
      <c r="AG29" s="2" t="str">
        <f t="shared" si="1"/>
        <v>4Q 16</v>
      </c>
      <c r="AH29" s="2" t="str">
        <f t="shared" si="1"/>
        <v>1Q 17</v>
      </c>
      <c r="AI29" s="2" t="str">
        <f t="shared" si="1"/>
        <v>2Q 17</v>
      </c>
      <c r="AJ29" s="2" t="str">
        <f t="shared" si="1"/>
        <v>3Q 17</v>
      </c>
      <c r="AK29" s="2" t="str">
        <f t="shared" si="1"/>
        <v>4Q 17</v>
      </c>
      <c r="AL29" s="2" t="str">
        <f>AL40</f>
        <v>1Q 18</v>
      </c>
      <c r="AM29" s="2" t="str">
        <f>AM40</f>
        <v>2Q 18</v>
      </c>
      <c r="AN29" s="2" t="str">
        <f t="shared" ref="AN29:AQ29" si="2">AN40</f>
        <v>3Q 18</v>
      </c>
      <c r="AO29" s="2" t="str">
        <f t="shared" si="2"/>
        <v>4Q 18</v>
      </c>
      <c r="AP29" s="2" t="str">
        <f t="shared" si="2"/>
        <v>1Q 19</v>
      </c>
      <c r="AQ29" s="2" t="str">
        <f t="shared" si="2"/>
        <v>2Q 19</v>
      </c>
      <c r="AR29" s="2" t="str">
        <f t="shared" ref="AR29:AS29" si="3">AR40</f>
        <v>3Q 19</v>
      </c>
      <c r="AS29" s="2" t="str">
        <f t="shared" si="3"/>
        <v>4Q 19</v>
      </c>
      <c r="AT29" s="2" t="str">
        <f t="shared" ref="AT29:AU29" si="4">AT40</f>
        <v>1Q 20</v>
      </c>
      <c r="AU29" s="2" t="str">
        <f t="shared" si="4"/>
        <v>2Q 20</v>
      </c>
      <c r="AV29" s="2" t="str">
        <f t="shared" ref="AV29" si="5">AV40</f>
        <v>3Q 20</v>
      </c>
    </row>
    <row r="30" spans="1:49" ht="14.4">
      <c r="B30" s="73" t="str">
        <f>CSPs!B35</f>
        <v>Comcast</v>
      </c>
      <c r="D30" s="7"/>
      <c r="U30" t="s">
        <v>380</v>
      </c>
      <c r="V30" s="5">
        <f>V42/R42-1</f>
        <v>4.0202562387704477E-2</v>
      </c>
      <c r="W30" s="5">
        <f t="shared" ref="W30:AN30" si="6">W42/S42-1</f>
        <v>0.12455164512505768</v>
      </c>
      <c r="X30" s="5">
        <f t="shared" si="6"/>
        <v>-7.607003621134556E-2</v>
      </c>
      <c r="Y30" s="5">
        <f t="shared" si="6"/>
        <v>-5.5563585566848372E-2</v>
      </c>
      <c r="Z30" s="5">
        <f t="shared" si="6"/>
        <v>-0.12033516676227562</v>
      </c>
      <c r="AA30" s="5">
        <f t="shared" si="6"/>
        <v>-0.12359542930168566</v>
      </c>
      <c r="AB30" s="5">
        <f t="shared" si="6"/>
        <v>0.15246042320500131</v>
      </c>
      <c r="AC30" s="5">
        <f t="shared" si="6"/>
        <v>0.12907665023773518</v>
      </c>
      <c r="AD30" s="5">
        <f t="shared" si="6"/>
        <v>0.11977151481958725</v>
      </c>
      <c r="AE30" s="5">
        <f t="shared" si="6"/>
        <v>4.4844851645826855E-2</v>
      </c>
      <c r="AF30" s="5">
        <f t="shared" si="6"/>
        <v>-9.8608119321726861E-2</v>
      </c>
      <c r="AG30" s="5">
        <f t="shared" si="6"/>
        <v>-6.4565403022654344E-2</v>
      </c>
      <c r="AH30" s="5">
        <f t="shared" si="6"/>
        <v>-2.2848672767193046E-2</v>
      </c>
      <c r="AI30" s="5">
        <f t="shared" si="6"/>
        <v>4.8579782894682122E-2</v>
      </c>
      <c r="AJ30" s="5">
        <f t="shared" si="6"/>
        <v>-9.5993202268847E-3</v>
      </c>
      <c r="AK30" s="5">
        <f t="shared" si="6"/>
        <v>-7.491155070947908E-2</v>
      </c>
      <c r="AL30" s="5">
        <f t="shared" si="6"/>
        <v>-1</v>
      </c>
      <c r="AM30" s="5">
        <f t="shared" si="6"/>
        <v>-1</v>
      </c>
      <c r="AN30" s="5">
        <f t="shared" si="6"/>
        <v>-1</v>
      </c>
      <c r="AO30" s="5">
        <f t="shared" ref="AO30:AV30" si="7">AO42/AK42-1</f>
        <v>-1</v>
      </c>
      <c r="AP30" s="42" t="e">
        <f t="shared" si="7"/>
        <v>#DIV/0!</v>
      </c>
      <c r="AQ30" s="42" t="e">
        <f t="shared" si="7"/>
        <v>#DIV/0!</v>
      </c>
      <c r="AR30" s="42" t="e">
        <f t="shared" si="7"/>
        <v>#DIV/0!</v>
      </c>
      <c r="AS30" s="42" t="e">
        <f t="shared" si="7"/>
        <v>#DIV/0!</v>
      </c>
      <c r="AT30" s="42" t="e">
        <f t="shared" si="7"/>
        <v>#DIV/0!</v>
      </c>
      <c r="AU30" s="42" t="e">
        <f t="shared" si="7"/>
        <v>#DIV/0!</v>
      </c>
      <c r="AV30" s="42" t="e">
        <f t="shared" si="7"/>
        <v>#DIV/0!</v>
      </c>
    </row>
    <row r="31" spans="1:49" ht="14.4">
      <c r="B31" s="73" t="str">
        <f>CSPs!B36</f>
        <v>Deutsche Telekom</v>
      </c>
      <c r="D31" s="7"/>
      <c r="U31" t="s">
        <v>381</v>
      </c>
      <c r="V31" s="11">
        <f>V97</f>
        <v>0.2647115180315962</v>
      </c>
      <c r="W31" s="11">
        <f t="shared" ref="W31:AC31" si="8">W97</f>
        <v>0.2264248424026587</v>
      </c>
      <c r="X31" s="11">
        <f t="shared" si="8"/>
        <v>0.40159851827994353</v>
      </c>
      <c r="Y31" s="11">
        <f t="shared" si="8"/>
        <v>0.38366221434251835</v>
      </c>
      <c r="Z31" s="11">
        <f t="shared" si="8"/>
        <v>0.28624980949418211</v>
      </c>
      <c r="AA31" s="11">
        <f t="shared" si="8"/>
        <v>0.13827721282521077</v>
      </c>
      <c r="AB31" s="11">
        <f t="shared" si="8"/>
        <v>4.6632607062302656E-2</v>
      </c>
      <c r="AC31" s="11">
        <f t="shared" si="8"/>
        <v>1.207115884894927E-2</v>
      </c>
      <c r="AD31" s="11">
        <f t="shared" ref="AD31:AI31" si="9">AD97</f>
        <v>0.13470305881494249</v>
      </c>
      <c r="AE31" s="11">
        <f t="shared" si="9"/>
        <v>0.13803079233548687</v>
      </c>
      <c r="AF31" s="11">
        <f t="shared" si="9"/>
        <v>0.17236170014942043</v>
      </c>
      <c r="AG31" s="11">
        <f t="shared" si="9"/>
        <v>0.21570078329681963</v>
      </c>
      <c r="AH31" s="11">
        <f t="shared" si="9"/>
        <v>0.11549390892446554</v>
      </c>
      <c r="AI31" s="11">
        <f t="shared" si="9"/>
        <v>0.22537080078287453</v>
      </c>
      <c r="AJ31" s="11">
        <f>AJ97</f>
        <v>0.18984010722799738</v>
      </c>
      <c r="AK31" s="11">
        <f>AK97</f>
        <v>0.3243810903471458</v>
      </c>
      <c r="AL31" s="11">
        <f>AL97</f>
        <v>-1</v>
      </c>
      <c r="AM31" s="11">
        <f>AM97</f>
        <v>-1</v>
      </c>
      <c r="AN31" s="11">
        <f>AN97</f>
        <v>-1</v>
      </c>
      <c r="AO31" s="11">
        <f t="shared" ref="AO31" si="10">AO97</f>
        <v>-1</v>
      </c>
      <c r="AP31" s="11" t="e">
        <f t="shared" ref="AP31:AR31" si="11">AP97</f>
        <v>#DIV/0!</v>
      </c>
      <c r="AQ31" s="11" t="e">
        <f t="shared" si="11"/>
        <v>#DIV/0!</v>
      </c>
      <c r="AR31" s="11" t="e">
        <f t="shared" si="11"/>
        <v>#DIV/0!</v>
      </c>
      <c r="AS31" s="11" t="e">
        <f t="shared" ref="AS31:AT31" si="12">AS97</f>
        <v>#DIV/0!</v>
      </c>
      <c r="AT31" s="11" t="e">
        <f t="shared" si="12"/>
        <v>#DIV/0!</v>
      </c>
      <c r="AU31" s="11" t="e">
        <f t="shared" ref="AU31:AV31" si="13">AU97</f>
        <v>#DIV/0!</v>
      </c>
      <c r="AV31" s="11" t="e">
        <f t="shared" si="13"/>
        <v>#DIV/0!</v>
      </c>
      <c r="AW31" s="11" t="str">
        <f>AW97</f>
        <v>Spending growth rate</v>
      </c>
    </row>
    <row r="32" spans="1:49" ht="14.4">
      <c r="B32" s="73" t="str">
        <f>CSPs!B37</f>
        <v>France Telecom</v>
      </c>
      <c r="D32" s="7"/>
    </row>
    <row r="33" spans="2:51" ht="14.4">
      <c r="B33" s="73" t="str">
        <f>CSPs!B38</f>
        <v>KDDI</v>
      </c>
      <c r="D33" s="7"/>
      <c r="U33" s="3">
        <v>2010</v>
      </c>
      <c r="V33" s="3">
        <v>2011</v>
      </c>
      <c r="W33" s="3">
        <v>2012</v>
      </c>
      <c r="X33" s="3">
        <v>2013</v>
      </c>
      <c r="Y33" s="3">
        <v>2014</v>
      </c>
      <c r="Z33" s="3">
        <v>2015</v>
      </c>
      <c r="AA33" s="3">
        <v>2016</v>
      </c>
      <c r="AB33" s="3">
        <v>2017</v>
      </c>
      <c r="AC33" s="3">
        <v>2018</v>
      </c>
      <c r="AD33" s="3">
        <v>2019</v>
      </c>
    </row>
    <row r="34" spans="2:51" ht="14.4">
      <c r="B34" s="73" t="str">
        <f>CSPs!B39</f>
        <v>NTT</v>
      </c>
      <c r="D34" s="7"/>
      <c r="T34" s="2" t="s">
        <v>17</v>
      </c>
      <c r="U34" s="17">
        <f>SUM(F41:I41)</f>
        <v>950.1164248034471</v>
      </c>
      <c r="V34" s="17">
        <f>SUM(J41:M41)</f>
        <v>1020.1808574139789</v>
      </c>
      <c r="W34" s="17">
        <f>SUM(N41:Q41)</f>
        <v>1026.5605907059658</v>
      </c>
      <c r="X34" s="17">
        <f>SUM(R41:U41)</f>
        <v>1039.4246746048786</v>
      </c>
      <c r="Y34" s="17">
        <f>SUM(V41:Y41)</f>
        <v>1054.3749479085416</v>
      </c>
      <c r="Z34" s="17">
        <f>SUM(Z41:AC41)</f>
        <v>1021.2127521291349</v>
      </c>
      <c r="AA34" s="17">
        <f>SUM(AD41:AG41)</f>
        <v>1144.320217012651</v>
      </c>
      <c r="AB34" s="17">
        <f>SUM(AH41:AK41)</f>
        <v>1141.9248227246719</v>
      </c>
      <c r="AC34" s="17">
        <f>SUM(AL41:AO41)</f>
        <v>0</v>
      </c>
      <c r="AD34" s="17">
        <f>SUM(AP41:AS41)</f>
        <v>0</v>
      </c>
    </row>
    <row r="35" spans="2:51" ht="14.4">
      <c r="B35" s="73" t="str">
        <f>CSPs!B40</f>
        <v>Softbank</v>
      </c>
      <c r="D35" s="7"/>
      <c r="T35" s="2" t="s">
        <v>35</v>
      </c>
      <c r="U35" s="17">
        <f>SUM(F42:I42)</f>
        <v>160.68837236058459</v>
      </c>
      <c r="V35" s="17">
        <f>SUM(J42:M42)</f>
        <v>172.0472339565332</v>
      </c>
      <c r="W35" s="17">
        <f>SUM(N42:Q42)</f>
        <v>173.54001356777343</v>
      </c>
      <c r="X35" s="17">
        <f>SUM(R42:U42)</f>
        <v>187.90737037424964</v>
      </c>
      <c r="Y35" s="17">
        <f>SUM(V42:Y42)</f>
        <v>187.71378406541717</v>
      </c>
      <c r="Z35" s="17">
        <f>SUM(Z42:AC42)</f>
        <v>190.56491019906508</v>
      </c>
      <c r="AA35" s="17">
        <f>SUM(AD42:AG42)</f>
        <v>187.99401394446227</v>
      </c>
      <c r="AB35" s="17">
        <f>SUM(AH42:AK42)</f>
        <v>184.40458147824518</v>
      </c>
      <c r="AC35" s="17">
        <f>SUM(AL42:AO42)</f>
        <v>0</v>
      </c>
      <c r="AD35" s="17">
        <f>SUM(AP42:AS42)</f>
        <v>0</v>
      </c>
    </row>
    <row r="36" spans="2:51" ht="14.4">
      <c r="B36" s="73" t="str">
        <f>CSPs!B41</f>
        <v>Telecom Italia</v>
      </c>
      <c r="D36" s="7"/>
    </row>
    <row r="37" spans="2:51" ht="14.4">
      <c r="B37" s="73" t="str">
        <f>CSPs!B42</f>
        <v>Telefonica</v>
      </c>
      <c r="D37" s="7"/>
      <c r="P37" s="11"/>
      <c r="Z37" s="2"/>
      <c r="AA37" s="2"/>
    </row>
    <row r="38" spans="2:51" ht="14.4">
      <c r="B38" s="73" t="str">
        <f>CSPs!B44</f>
        <v>Verizon</v>
      </c>
      <c r="D38" s="7"/>
      <c r="I38" s="11"/>
      <c r="J38" s="11"/>
      <c r="K38" s="11"/>
      <c r="L38" s="11"/>
      <c r="M38" s="11"/>
      <c r="Y38" s="2" t="s">
        <v>176</v>
      </c>
      <c r="Z38" s="42">
        <f t="shared" ref="Z38:AE39" si="14">Z41/V41-1</f>
        <v>-6.2485488423270841E-2</v>
      </c>
      <c r="AA38" s="42">
        <f t="shared" si="14"/>
        <v>-6.0449139506673299E-2</v>
      </c>
      <c r="AB38" s="42">
        <f t="shared" si="14"/>
        <v>-4.3614058053516036E-3</v>
      </c>
      <c r="AC38" s="42">
        <f t="shared" si="14"/>
        <v>3.2646342118285432E-3</v>
      </c>
      <c r="AD38" s="42">
        <f t="shared" si="14"/>
        <v>0.12331263959754968</v>
      </c>
      <c r="AE38" s="42">
        <f>AE41/AA41-1</f>
        <v>0.13745373426157825</v>
      </c>
      <c r="AF38" s="42">
        <f t="shared" ref="AF38:AK39" si="15">AF41/AB41-1</f>
        <v>0.10614264900087078</v>
      </c>
      <c r="AG38" s="42">
        <f t="shared" si="15"/>
        <v>0.11592835225161591</v>
      </c>
      <c r="AH38" s="42">
        <f t="shared" si="15"/>
        <v>-2.1489138676765385E-2</v>
      </c>
      <c r="AI38" s="42">
        <f t="shared" si="15"/>
        <v>-5.8550548230824617E-3</v>
      </c>
      <c r="AJ38" s="42">
        <f>AJ41/AF41-1</f>
        <v>7.014889574752381E-4</v>
      </c>
      <c r="AK38" s="42">
        <f>AK41/AG41-1</f>
        <v>1.7671470526429367E-2</v>
      </c>
      <c r="AL38" s="42">
        <f>AL41/AH41-1</f>
        <v>-1</v>
      </c>
      <c r="AM38" s="42">
        <f t="shared" ref="AM38:AQ38" si="16">AM41/AI41-1</f>
        <v>-1</v>
      </c>
      <c r="AN38" s="42">
        <f t="shared" si="16"/>
        <v>-1</v>
      </c>
      <c r="AO38" s="42">
        <f t="shared" si="16"/>
        <v>-1</v>
      </c>
      <c r="AP38" s="42" t="e">
        <f t="shared" si="16"/>
        <v>#DIV/0!</v>
      </c>
      <c r="AQ38" s="42" t="e">
        <f t="shared" si="16"/>
        <v>#DIV/0!</v>
      </c>
      <c r="AR38" s="42" t="e">
        <f t="shared" ref="AR38:AV39" si="17">AR41/AN41-1</f>
        <v>#DIV/0!</v>
      </c>
      <c r="AS38" s="42" t="e">
        <f t="shared" si="17"/>
        <v>#DIV/0!</v>
      </c>
      <c r="AT38" s="42" t="e">
        <f t="shared" si="17"/>
        <v>#DIV/0!</v>
      </c>
      <c r="AU38" s="42" t="e">
        <f t="shared" si="17"/>
        <v>#DIV/0!</v>
      </c>
      <c r="AV38" s="42" t="e">
        <f t="shared" si="17"/>
        <v>#DIV/0!</v>
      </c>
    </row>
    <row r="39" spans="2:51" ht="14.4">
      <c r="B39" s="73" t="str">
        <f>CSPs!B45</f>
        <v>Vodafone</v>
      </c>
      <c r="D39" s="7"/>
      <c r="F39" s="2"/>
      <c r="G39" s="2" t="s">
        <v>4</v>
      </c>
      <c r="H39" s="11">
        <f>(AD34/U34)^(1/9)-1</f>
        <v>-1</v>
      </c>
      <c r="I39" s="2"/>
      <c r="J39" s="2"/>
      <c r="K39" s="2"/>
      <c r="L39" s="2"/>
      <c r="M39" s="2"/>
      <c r="N39" s="12" t="s">
        <v>4</v>
      </c>
      <c r="O39" s="11">
        <f>(AD35/U35)^(1/9)-1</f>
        <v>-1</v>
      </c>
      <c r="P39" s="2"/>
      <c r="Q39" s="2"/>
      <c r="R39" s="2"/>
      <c r="S39" s="2"/>
      <c r="T39" s="2"/>
      <c r="U39" s="2"/>
      <c r="V39" s="2"/>
      <c r="W39" s="2"/>
      <c r="X39" s="2"/>
      <c r="Y39" s="2" t="s">
        <v>177</v>
      </c>
      <c r="Z39" s="42">
        <f t="shared" si="14"/>
        <v>-0.12033516676227562</v>
      </c>
      <c r="AA39" s="42">
        <f t="shared" si="14"/>
        <v>-0.12359542930168566</v>
      </c>
      <c r="AB39" s="42">
        <f t="shared" si="14"/>
        <v>0.15246042320500131</v>
      </c>
      <c r="AC39" s="42">
        <f t="shared" si="14"/>
        <v>0.12907665023773518</v>
      </c>
      <c r="AD39" s="42">
        <f t="shared" si="14"/>
        <v>0.11977151481958725</v>
      </c>
      <c r="AE39" s="42">
        <f t="shared" si="14"/>
        <v>4.4844851645826855E-2</v>
      </c>
      <c r="AF39" s="42">
        <f t="shared" si="15"/>
        <v>-9.8608119321726861E-2</v>
      </c>
      <c r="AG39" s="42">
        <f t="shared" si="15"/>
        <v>-6.4565403022654344E-2</v>
      </c>
      <c r="AH39" s="42">
        <f t="shared" si="15"/>
        <v>-2.2848672767193046E-2</v>
      </c>
      <c r="AI39" s="42">
        <f t="shared" si="15"/>
        <v>4.8579782894682122E-2</v>
      </c>
      <c r="AJ39" s="42">
        <f t="shared" si="15"/>
        <v>-9.5993202268847E-3</v>
      </c>
      <c r="AK39" s="42">
        <f t="shared" si="15"/>
        <v>-7.491155070947908E-2</v>
      </c>
      <c r="AL39" s="42">
        <f>AL42/AH42-1</f>
        <v>-1</v>
      </c>
      <c r="AM39" s="42">
        <f t="shared" ref="AM39:AQ39" si="18">AM42/AI42-1</f>
        <v>-1</v>
      </c>
      <c r="AN39" s="42">
        <f t="shared" si="18"/>
        <v>-1</v>
      </c>
      <c r="AO39" s="42">
        <f t="shared" si="18"/>
        <v>-1</v>
      </c>
      <c r="AP39" s="42" t="e">
        <f t="shared" si="18"/>
        <v>#DIV/0!</v>
      </c>
      <c r="AQ39" s="42" t="e">
        <f t="shared" si="18"/>
        <v>#DIV/0!</v>
      </c>
      <c r="AR39" s="42" t="e">
        <f t="shared" si="17"/>
        <v>#DIV/0!</v>
      </c>
      <c r="AS39" s="42" t="e">
        <f t="shared" si="17"/>
        <v>#DIV/0!</v>
      </c>
      <c r="AT39" s="42" t="e">
        <f t="shared" si="17"/>
        <v>#DIV/0!</v>
      </c>
      <c r="AU39" s="42" t="e">
        <f t="shared" si="17"/>
        <v>#DIV/0!</v>
      </c>
      <c r="AV39" s="42" t="e">
        <f t="shared" si="17"/>
        <v>#DIV/0!</v>
      </c>
      <c r="AW39" s="2"/>
    </row>
    <row r="40" spans="2:51">
      <c r="D40" s="7"/>
      <c r="E40" s="9"/>
      <c r="F40" s="10" t="s">
        <v>116</v>
      </c>
      <c r="G40" s="10" t="s">
        <v>117</v>
      </c>
      <c r="H40" s="10" t="s">
        <v>118</v>
      </c>
      <c r="I40" s="10" t="s">
        <v>119</v>
      </c>
      <c r="J40" s="10" t="s">
        <v>120</v>
      </c>
      <c r="K40" s="10" t="s">
        <v>121</v>
      </c>
      <c r="L40" s="10" t="s">
        <v>122</v>
      </c>
      <c r="M40" s="10" t="s">
        <v>123</v>
      </c>
      <c r="N40" s="10" t="s">
        <v>102</v>
      </c>
      <c r="O40" s="10" t="s">
        <v>103</v>
      </c>
      <c r="P40" s="10" t="s">
        <v>104</v>
      </c>
      <c r="Q40" s="10" t="s">
        <v>105</v>
      </c>
      <c r="R40" s="10" t="s">
        <v>106</v>
      </c>
      <c r="S40" s="10" t="s">
        <v>107</v>
      </c>
      <c r="T40" s="10" t="s">
        <v>108</v>
      </c>
      <c r="U40" s="10" t="s">
        <v>109</v>
      </c>
      <c r="V40" s="10" t="s">
        <v>110</v>
      </c>
      <c r="W40" s="10" t="s">
        <v>111</v>
      </c>
      <c r="X40" s="10" t="s">
        <v>112</v>
      </c>
      <c r="Y40" s="10" t="s">
        <v>113</v>
      </c>
      <c r="Z40" s="10" t="s">
        <v>114</v>
      </c>
      <c r="AA40" s="10" t="s">
        <v>115</v>
      </c>
      <c r="AB40" s="10" t="s">
        <v>124</v>
      </c>
      <c r="AC40" s="10" t="s">
        <v>125</v>
      </c>
      <c r="AD40" s="10" t="s">
        <v>126</v>
      </c>
      <c r="AE40" s="10" t="s">
        <v>127</v>
      </c>
      <c r="AF40" s="10" t="s">
        <v>128</v>
      </c>
      <c r="AG40" s="10" t="s">
        <v>129</v>
      </c>
      <c r="AH40" s="10" t="s">
        <v>130</v>
      </c>
      <c r="AI40" s="10" t="s">
        <v>131</v>
      </c>
      <c r="AJ40" s="10" t="s">
        <v>132</v>
      </c>
      <c r="AK40" s="10" t="s">
        <v>133</v>
      </c>
      <c r="AL40" s="10" t="s">
        <v>134</v>
      </c>
      <c r="AM40" s="10" t="s">
        <v>135</v>
      </c>
      <c r="AN40" s="10" t="s">
        <v>136</v>
      </c>
      <c r="AO40" s="10" t="s">
        <v>137</v>
      </c>
      <c r="AP40" s="10" t="s">
        <v>138</v>
      </c>
      <c r="AQ40" s="10" t="s">
        <v>139</v>
      </c>
      <c r="AR40" s="10" t="s">
        <v>140</v>
      </c>
      <c r="AS40" s="10" t="s">
        <v>141</v>
      </c>
      <c r="AT40" s="10" t="s">
        <v>142</v>
      </c>
      <c r="AU40" s="10" t="s">
        <v>143</v>
      </c>
      <c r="AV40" s="10" t="s">
        <v>144</v>
      </c>
      <c r="AW40" s="10" t="s">
        <v>145</v>
      </c>
    </row>
    <row r="41" spans="2:51">
      <c r="D41" s="7"/>
      <c r="E41" s="2" t="s">
        <v>14</v>
      </c>
      <c r="F41" s="81">
        <v>228.60809635797696</v>
      </c>
      <c r="G41" s="81">
        <v>230.33528564203172</v>
      </c>
      <c r="H41" s="81">
        <v>241.33341306125129</v>
      </c>
      <c r="I41" s="81">
        <v>249.83962974218716</v>
      </c>
      <c r="J41" s="81">
        <v>248.54039385533795</v>
      </c>
      <c r="K41" s="81">
        <v>257.11682506777794</v>
      </c>
      <c r="L41" s="81">
        <v>253.30655447806231</v>
      </c>
      <c r="M41" s="81">
        <v>261.21708401280051</v>
      </c>
      <c r="N41" s="81">
        <v>255.98924592429833</v>
      </c>
      <c r="O41" s="81">
        <v>251.41857207868992</v>
      </c>
      <c r="P41" s="81">
        <v>256.0751665743224</v>
      </c>
      <c r="Q41" s="81">
        <v>263.07760612865525</v>
      </c>
      <c r="R41" s="81">
        <v>247.60170493693698</v>
      </c>
      <c r="S41" s="81">
        <v>253.19389128007066</v>
      </c>
      <c r="T41" s="81">
        <v>269.04524889610042</v>
      </c>
      <c r="U41" s="81">
        <v>269.58382949177047</v>
      </c>
      <c r="V41" s="81">
        <v>268.53915563856322</v>
      </c>
      <c r="W41" s="81">
        <v>266.35868403109487</v>
      </c>
      <c r="X41" s="81">
        <v>259.26233852863658</v>
      </c>
      <c r="Y41" s="81">
        <v>260.2147697102468</v>
      </c>
      <c r="Z41" s="81">
        <v>251.75935533771485</v>
      </c>
      <c r="AA41" s="81">
        <v>250.25753078128531</v>
      </c>
      <c r="AB41" s="81">
        <v>258.13159026026875</v>
      </c>
      <c r="AC41" s="81">
        <v>261.06427574986594</v>
      </c>
      <c r="AD41" s="622">
        <f>(CSPs!C24)/1000</f>
        <v>282.80446598778593</v>
      </c>
      <c r="AE41" s="622">
        <f>(CSPs!D24)/1000</f>
        <v>284.65636291425483</v>
      </c>
      <c r="AF41" s="622">
        <f>(CSPs!E24)/1000</f>
        <v>285.53036104130103</v>
      </c>
      <c r="AG41" s="622">
        <f>(CSPs!F24)/1000</f>
        <v>291.3290270693094</v>
      </c>
      <c r="AH41" s="622">
        <f>(CSPs!G24)/1000</f>
        <v>276.72724159976582</v>
      </c>
      <c r="AI41" s="622">
        <f>(CSPs!H24)/1000</f>
        <v>282.98968430365261</v>
      </c>
      <c r="AJ41" s="622">
        <f>(CSPs!I24)/1000</f>
        <v>285.73065743659544</v>
      </c>
      <c r="AK41" s="622">
        <f>(CSPs!J24)/1000</f>
        <v>296.47723938465805</v>
      </c>
      <c r="AL41" s="622">
        <f>(CSPs!K24)/1000</f>
        <v>0</v>
      </c>
      <c r="AM41" s="622">
        <f>(CSPs!L24)/1000</f>
        <v>0</v>
      </c>
      <c r="AN41" s="622">
        <f>(CSPs!M24)/1000</f>
        <v>0</v>
      </c>
      <c r="AO41" s="622">
        <f>(CSPs!N24)/1000</f>
        <v>0</v>
      </c>
      <c r="AP41" s="622">
        <f>(CSPs!O24)/1000</f>
        <v>0</v>
      </c>
      <c r="AQ41" s="622">
        <f>(CSPs!P24)/1000</f>
        <v>0</v>
      </c>
      <c r="AR41" s="622">
        <f>(CSPs!Q24)/1000</f>
        <v>0</v>
      </c>
      <c r="AS41" s="622">
        <f>(CSPs!R24)/1000</f>
        <v>0</v>
      </c>
      <c r="AT41" s="622">
        <f>(CSPs!S24)/1000</f>
        <v>0</v>
      </c>
      <c r="AU41" s="622">
        <f>(CSPs!T24)/1000</f>
        <v>0</v>
      </c>
      <c r="AV41" s="622">
        <f>(CSPs!U24)/1000</f>
        <v>0</v>
      </c>
      <c r="AW41" s="341" t="e">
        <f>AV41/AU41-1</f>
        <v>#DIV/0!</v>
      </c>
      <c r="AX41" s="341" t="e">
        <f>AV41/AR41-1</f>
        <v>#DIV/0!</v>
      </c>
      <c r="AY41" t="s">
        <v>434</v>
      </c>
    </row>
    <row r="42" spans="2:51">
      <c r="D42" s="7"/>
      <c r="E42" s="2" t="s">
        <v>65</v>
      </c>
      <c r="F42" s="81">
        <v>34.728936726271193</v>
      </c>
      <c r="G42" s="81">
        <v>35.195084173639771</v>
      </c>
      <c r="H42" s="81">
        <v>41.757859752434477</v>
      </c>
      <c r="I42" s="81">
        <v>49.006491708239125</v>
      </c>
      <c r="J42" s="81">
        <v>40.802992378535876</v>
      </c>
      <c r="K42" s="81">
        <v>38.67971954480619</v>
      </c>
      <c r="L42" s="81">
        <v>43.444508998498812</v>
      </c>
      <c r="M42" s="81">
        <v>49.12001303469232</v>
      </c>
      <c r="N42" s="81">
        <v>41.66857376166098</v>
      </c>
      <c r="O42" s="81">
        <v>37.988977656145394</v>
      </c>
      <c r="P42" s="81">
        <v>43.261286405944581</v>
      </c>
      <c r="Q42" s="81">
        <v>50.621175744022473</v>
      </c>
      <c r="R42" s="81">
        <v>43.12644455701529</v>
      </c>
      <c r="S42" s="81">
        <v>39.678424341122017</v>
      </c>
      <c r="T42" s="81">
        <v>50.204742797414575</v>
      </c>
      <c r="U42" s="81">
        <v>54.897758678697755</v>
      </c>
      <c r="V42" s="81">
        <v>44.860238134878571</v>
      </c>
      <c r="W42" s="81">
        <v>44.620437368778894</v>
      </c>
      <c r="X42" s="81">
        <v>46.385666194833959</v>
      </c>
      <c r="Y42" s="81">
        <v>51.84744236692574</v>
      </c>
      <c r="Z42" s="81">
        <v>39.461973897922562</v>
      </c>
      <c r="AA42" s="382">
        <v>39.105555256555689</v>
      </c>
      <c r="AB42" s="81">
        <v>53.457644493544272</v>
      </c>
      <c r="AC42" s="81">
        <v>58.539736551042552</v>
      </c>
      <c r="AD42" s="622">
        <f>CSPs!C46/1000</f>
        <v>44.188394289447757</v>
      </c>
      <c r="AE42" s="626">
        <f>CSPs!D46/1000</f>
        <v>40.859238080563614</v>
      </c>
      <c r="AF42" s="626">
        <f>CSPs!E46/1000</f>
        <v>48.186286706666401</v>
      </c>
      <c r="AG42" s="626">
        <f>CSPs!F46/1000</f>
        <v>54.760094867784481</v>
      </c>
      <c r="AH42" s="626">
        <f>CSPs!G46/1000</f>
        <v>43.178748128220462</v>
      </c>
      <c r="AI42" s="626">
        <f>CSPs!H46/1000</f>
        <v>42.844170995759526</v>
      </c>
      <c r="AJ42" s="626">
        <f>CSPs!I46/1000</f>
        <v>47.72373111002463</v>
      </c>
      <c r="AK42" s="626">
        <f>CSPs!J46/1000</f>
        <v>50.657931244240558</v>
      </c>
      <c r="AL42" s="626">
        <f>CSPs!K46/1000</f>
        <v>0</v>
      </c>
      <c r="AM42" s="626">
        <f>CSPs!L46/1000</f>
        <v>0</v>
      </c>
      <c r="AN42" s="626">
        <f>CSPs!M46/1000</f>
        <v>0</v>
      </c>
      <c r="AO42" s="626">
        <f>CSPs!N46/1000</f>
        <v>0</v>
      </c>
      <c r="AP42" s="626">
        <f>CSPs!O46/1000</f>
        <v>0</v>
      </c>
      <c r="AQ42" s="626">
        <f>CSPs!P46/1000</f>
        <v>0</v>
      </c>
      <c r="AR42" s="626">
        <f>CSPs!Q46/1000</f>
        <v>0</v>
      </c>
      <c r="AS42" s="626">
        <f>CSPs!R46/1000</f>
        <v>0</v>
      </c>
      <c r="AT42" s="626">
        <f>CSPs!S46/1000</f>
        <v>0</v>
      </c>
      <c r="AU42" s="626">
        <f>CSPs!T46/1000</f>
        <v>0</v>
      </c>
      <c r="AV42" s="626">
        <f>CSPs!U46/1000</f>
        <v>0</v>
      </c>
      <c r="AW42" s="341" t="e">
        <f>AV42/AU42-1</f>
        <v>#DIV/0!</v>
      </c>
      <c r="AX42" s="341" t="e">
        <f>AV42/AR42-1</f>
        <v>#DIV/0!</v>
      </c>
      <c r="AY42" t="s">
        <v>434</v>
      </c>
    </row>
    <row r="43" spans="2:51">
      <c r="D43" s="7"/>
      <c r="E43" t="s">
        <v>77</v>
      </c>
      <c r="F43" s="42">
        <f>F42/F41</f>
        <v>0.15191472777888504</v>
      </c>
      <c r="G43" s="42">
        <f t="shared" ref="G43:Y43" si="19">G42/G41</f>
        <v>0.15279935974871472</v>
      </c>
      <c r="H43" s="42">
        <f t="shared" si="19"/>
        <v>0.17302974844115837</v>
      </c>
      <c r="I43" s="42">
        <f t="shared" si="19"/>
        <v>0.1961517944883667</v>
      </c>
      <c r="J43" s="42">
        <f t="shared" si="19"/>
        <v>0.16417046640026295</v>
      </c>
      <c r="K43" s="42">
        <f t="shared" si="19"/>
        <v>0.15043636111565209</v>
      </c>
      <c r="L43" s="42">
        <f t="shared" si="19"/>
        <v>0.17150961248522029</v>
      </c>
      <c r="M43" s="42">
        <f t="shared" si="19"/>
        <v>0.18804288096365579</v>
      </c>
      <c r="N43" s="42">
        <f t="shared" si="19"/>
        <v>0.1627747041138724</v>
      </c>
      <c r="O43" s="42">
        <f t="shared" si="19"/>
        <v>0.15109853397884809</v>
      </c>
      <c r="P43" s="42">
        <f t="shared" si="19"/>
        <v>0.1689397960164504</v>
      </c>
      <c r="Q43" s="42">
        <f t="shared" si="19"/>
        <v>0.19241917428451411</v>
      </c>
      <c r="R43" s="42">
        <f t="shared" si="19"/>
        <v>0.17417668657814533</v>
      </c>
      <c r="S43" s="42">
        <f t="shared" si="19"/>
        <v>0.15671161788509222</v>
      </c>
      <c r="T43" s="42">
        <f t="shared" si="19"/>
        <v>0.18660334275890739</v>
      </c>
      <c r="U43" s="42">
        <f t="shared" si="19"/>
        <v>0.20363891551727367</v>
      </c>
      <c r="V43" s="42">
        <f t="shared" si="19"/>
        <v>0.16705287550415041</v>
      </c>
      <c r="W43" s="42">
        <f t="shared" si="19"/>
        <v>0.16752011495735533</v>
      </c>
      <c r="X43" s="42">
        <f t="shared" si="19"/>
        <v>0.17891401604290658</v>
      </c>
      <c r="Y43" s="42">
        <f t="shared" si="19"/>
        <v>0.19924865304401698</v>
      </c>
      <c r="Z43" s="42">
        <f t="shared" ref="Z43:AE43" si="20">Z42/Z41</f>
        <v>0.15674481627500003</v>
      </c>
      <c r="AA43" s="42">
        <f t="shared" si="20"/>
        <v>0.15626125269625679</v>
      </c>
      <c r="AB43" s="42">
        <f t="shared" si="20"/>
        <v>0.20709454600130126</v>
      </c>
      <c r="AC43" s="42">
        <f t="shared" si="20"/>
        <v>0.22423495663240936</v>
      </c>
      <c r="AD43" s="42">
        <f t="shared" si="20"/>
        <v>0.15625069475160344</v>
      </c>
      <c r="AE43" s="42">
        <f t="shared" si="20"/>
        <v>0.14353881874360691</v>
      </c>
      <c r="AF43" s="42">
        <f t="shared" ref="AF43:AK43" si="21">AF42/AF41</f>
        <v>0.16876064083320516</v>
      </c>
      <c r="AG43" s="42">
        <f t="shared" si="21"/>
        <v>0.1879664907361141</v>
      </c>
      <c r="AH43" s="42">
        <f t="shared" si="21"/>
        <v>0.15603360145753356</v>
      </c>
      <c r="AI43" s="42">
        <f t="shared" si="21"/>
        <v>0.15139834902881838</v>
      </c>
      <c r="AJ43" s="42">
        <f t="shared" si="21"/>
        <v>0.1670234882674943</v>
      </c>
      <c r="AK43" s="42">
        <f t="shared" si="21"/>
        <v>0.17086617289536857</v>
      </c>
      <c r="AL43" s="42" t="e">
        <f t="shared" ref="AL43:AQ43" si="22">AL42/AL41</f>
        <v>#DIV/0!</v>
      </c>
      <c r="AM43" s="42" t="e">
        <f t="shared" si="22"/>
        <v>#DIV/0!</v>
      </c>
      <c r="AN43" s="42" t="e">
        <f t="shared" si="22"/>
        <v>#DIV/0!</v>
      </c>
      <c r="AO43" s="42" t="e">
        <f t="shared" si="22"/>
        <v>#DIV/0!</v>
      </c>
      <c r="AP43" s="42" t="e">
        <f t="shared" si="22"/>
        <v>#DIV/0!</v>
      </c>
      <c r="AQ43" s="42" t="e">
        <f t="shared" si="22"/>
        <v>#DIV/0!</v>
      </c>
      <c r="AR43" s="42" t="e">
        <f t="shared" ref="AR43:AS43" si="23">AR42/AR41</f>
        <v>#DIV/0!</v>
      </c>
      <c r="AS43" s="42" t="e">
        <f t="shared" si="23"/>
        <v>#DIV/0!</v>
      </c>
      <c r="AT43" s="42" t="e">
        <f>AT42/AT41</f>
        <v>#DIV/0!</v>
      </c>
      <c r="AU43" s="42" t="e">
        <f>AU42/AU41</f>
        <v>#DIV/0!</v>
      </c>
      <c r="AV43" s="42" t="e">
        <f>AV42/AV41</f>
        <v>#DIV/0!</v>
      </c>
      <c r="AY43" t="s">
        <v>434</v>
      </c>
    </row>
    <row r="44" spans="2:51">
      <c r="D44" s="7"/>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row>
    <row r="45" spans="2:51">
      <c r="D45" s="7"/>
      <c r="E45" t="s">
        <v>430</v>
      </c>
      <c r="F45" s="4">
        <v>28.613752452552827</v>
      </c>
      <c r="G45" s="4">
        <v>33.771588173343382</v>
      </c>
      <c r="H45" s="4">
        <v>32.505701671433243</v>
      </c>
      <c r="I45" s="4">
        <v>36.438378354209007</v>
      </c>
      <c r="J45" s="4">
        <v>33.378287359641632</v>
      </c>
      <c r="K45" s="4">
        <v>39.899819791433899</v>
      </c>
      <c r="L45" s="4">
        <v>38.200797933779974</v>
      </c>
      <c r="M45" s="4">
        <v>42.611491362173652</v>
      </c>
      <c r="N45" s="4">
        <v>40.655826943455487</v>
      </c>
      <c r="O45" s="4">
        <v>43.768589723093626</v>
      </c>
      <c r="P45" s="4">
        <v>42.736441742938794</v>
      </c>
      <c r="Q45" s="4">
        <v>47.167611705579588</v>
      </c>
      <c r="R45" s="4">
        <v>45.5259102930968</v>
      </c>
      <c r="S45" s="4">
        <v>52.382574308892359</v>
      </c>
      <c r="T45" s="4">
        <v>51.682499013116093</v>
      </c>
      <c r="U45" s="4">
        <v>53.578597909686742</v>
      </c>
      <c r="V45" s="4">
        <v>51.080057158171478</v>
      </c>
      <c r="W45" s="4">
        <v>52.398438730797629</v>
      </c>
      <c r="X45" s="4">
        <v>48.765900120212841</v>
      </c>
      <c r="Y45" s="4">
        <v>50.108975239457543</v>
      </c>
      <c r="Z45" s="4">
        <v>50.772129570237333</v>
      </c>
      <c r="AA45" s="4">
        <v>53.797594867330815</v>
      </c>
      <c r="AB45" s="4">
        <v>51.260791711965211</v>
      </c>
      <c r="AC45" s="4">
        <v>47.827386541471043</v>
      </c>
      <c r="AD45" s="629">
        <f>CSPs!C60/1000</f>
        <v>54.065705275404923</v>
      </c>
      <c r="AE45" s="629">
        <f>CSPs!D60/1000</f>
        <v>54.065705275404923</v>
      </c>
      <c r="AF45" s="629">
        <f>CSPs!E60/1000</f>
        <v>48.952731092436984</v>
      </c>
      <c r="AG45" s="629">
        <f>CSPs!F60/1000</f>
        <v>53.479680322268798</v>
      </c>
      <c r="AH45" s="629">
        <f>CSPs!G60/1000</f>
        <v>50.026579520697169</v>
      </c>
      <c r="AI45" s="629">
        <f>CSPs!H60/1000</f>
        <v>53.476631425446591</v>
      </c>
      <c r="AJ45" s="629">
        <f>CSPs!I60/1000</f>
        <v>50.807629444136211</v>
      </c>
      <c r="AK45" s="629">
        <f>CSPs!J60/1000</f>
        <v>49.982684252635018</v>
      </c>
      <c r="AL45" s="629">
        <f>CSPs!K60/1000</f>
        <v>0</v>
      </c>
      <c r="AM45" s="629">
        <f>CSPs!L60/1000</f>
        <v>0</v>
      </c>
      <c r="AN45" s="629">
        <f>CSPs!M60/1000</f>
        <v>0</v>
      </c>
      <c r="AO45" s="629">
        <f>CSPs!N60/1000</f>
        <v>0</v>
      </c>
      <c r="AP45" s="629">
        <f>CSPs!O60/1000</f>
        <v>0</v>
      </c>
      <c r="AQ45" s="629">
        <f>CSPs!P60/1000</f>
        <v>0</v>
      </c>
      <c r="AR45" s="629">
        <f>CSPs!Q60/1000</f>
        <v>0</v>
      </c>
      <c r="AS45" s="629">
        <f>CSPs!R60/1000</f>
        <v>0</v>
      </c>
      <c r="AT45" s="629">
        <f>CSPs!S60/1000</f>
        <v>0</v>
      </c>
      <c r="AU45" s="629">
        <f>CSPs!T60/1000</f>
        <v>0</v>
      </c>
      <c r="AV45" s="629">
        <f>CSPs!U60/1000</f>
        <v>0</v>
      </c>
      <c r="AY45" t="s">
        <v>420</v>
      </c>
    </row>
    <row r="46" spans="2:51">
      <c r="D46" s="7"/>
      <c r="E46" t="s">
        <v>431</v>
      </c>
      <c r="F46" s="4">
        <v>7.2849954111438393</v>
      </c>
      <c r="G46" s="4">
        <v>7.2865358859845575</v>
      </c>
      <c r="H46" s="4">
        <v>10.751968204917004</v>
      </c>
      <c r="I46" s="4">
        <v>10.827837645833183</v>
      </c>
      <c r="J46" s="4">
        <v>8.0689960293810454</v>
      </c>
      <c r="K46" s="4">
        <v>8.2166286618638491</v>
      </c>
      <c r="L46" s="4">
        <v>11.88808214554928</v>
      </c>
      <c r="M46" s="4">
        <v>11.941993602055215</v>
      </c>
      <c r="N46" s="4">
        <v>8.822931578717041</v>
      </c>
      <c r="O46" s="4">
        <v>8.8402349301846019</v>
      </c>
      <c r="P46" s="4">
        <v>12.46939988799986</v>
      </c>
      <c r="Q46" s="4">
        <v>12.598628715245054</v>
      </c>
      <c r="R46" s="4">
        <v>10.581440245837769</v>
      </c>
      <c r="S46" s="4">
        <v>10.850246619295215</v>
      </c>
      <c r="T46" s="4">
        <v>16.988732362255366</v>
      </c>
      <c r="U46" s="4">
        <v>17.085589417988537</v>
      </c>
      <c r="V46" s="4">
        <v>13.730876665146953</v>
      </c>
      <c r="W46" s="4">
        <v>13.409018000325082</v>
      </c>
      <c r="X46" s="4">
        <v>16.624665261827015</v>
      </c>
      <c r="Y46" s="4">
        <v>16.907806719096648</v>
      </c>
      <c r="Z46" s="4">
        <v>10.921664528543937</v>
      </c>
      <c r="AA46" s="4">
        <v>10.979059870393653</v>
      </c>
      <c r="AB46" s="4">
        <v>24.171756091321861</v>
      </c>
      <c r="AC46" s="4">
        <v>23.660328638497653</v>
      </c>
      <c r="AD46" s="629">
        <f>CSPs!C52/1000</f>
        <v>10.84383218151795</v>
      </c>
      <c r="AE46" s="629">
        <f>CSPs!D52/1000</f>
        <v>10.857444658767337</v>
      </c>
      <c r="AF46" s="629">
        <f>CSPs!E52/1000</f>
        <v>16.233043217286916</v>
      </c>
      <c r="AG46" s="629">
        <f>CSPs!F52/1000</f>
        <v>16.865778194165348</v>
      </c>
      <c r="AH46" s="629">
        <f>CSPs!G52/1000</f>
        <v>9.1791730223292944</v>
      </c>
      <c r="AI46" s="629">
        <f>CSPs!H52/1000</f>
        <v>9.8809332847247546</v>
      </c>
      <c r="AJ46" s="629">
        <f>CSPs!I52/1000</f>
        <v>13.059350117710569</v>
      </c>
      <c r="AK46" s="629">
        <f>CSPs!J52/1000</f>
        <v>13.07307110438729</v>
      </c>
      <c r="AL46" s="629">
        <f>CSPs!K52/1000</f>
        <v>0</v>
      </c>
      <c r="AM46" s="629">
        <f>CSPs!L52/1000</f>
        <v>0</v>
      </c>
      <c r="AN46" s="629">
        <f>CSPs!M52/1000</f>
        <v>0</v>
      </c>
      <c r="AO46" s="629">
        <f>CSPs!N52/1000</f>
        <v>0</v>
      </c>
      <c r="AP46" s="629">
        <f>CSPs!O52/1000</f>
        <v>0</v>
      </c>
      <c r="AQ46" s="629">
        <f>CSPs!P52/1000</f>
        <v>0</v>
      </c>
      <c r="AR46" s="629">
        <f>CSPs!Q52/1000</f>
        <v>0</v>
      </c>
      <c r="AS46" s="629">
        <f>CSPs!R52/1000</f>
        <v>0</v>
      </c>
      <c r="AT46" s="629">
        <f>CSPs!S52/1000</f>
        <v>0</v>
      </c>
      <c r="AU46" s="629">
        <f>CSPs!T52/1000</f>
        <v>0</v>
      </c>
      <c r="AV46" s="629">
        <f>CSPs!U52/1000</f>
        <v>0</v>
      </c>
      <c r="AY46" t="s">
        <v>420</v>
      </c>
    </row>
    <row r="47" spans="2:51">
      <c r="D47" s="7"/>
      <c r="F47" s="4"/>
      <c r="G47" s="4"/>
      <c r="H47" s="4"/>
      <c r="I47" s="4"/>
      <c r="J47" s="4"/>
      <c r="K47" s="4"/>
      <c r="L47" s="4"/>
      <c r="M47" s="4"/>
      <c r="N47" s="4"/>
      <c r="O47" s="4"/>
      <c r="P47" s="4"/>
      <c r="Q47" s="4"/>
      <c r="R47" s="4"/>
      <c r="S47" s="4"/>
      <c r="T47" s="4"/>
      <c r="U47" s="4"/>
      <c r="V47" s="4"/>
      <c r="W47" s="4"/>
      <c r="X47" s="4"/>
      <c r="Y47" s="4"/>
      <c r="Z47" s="4"/>
      <c r="AA47" s="4"/>
      <c r="AB47" s="4"/>
      <c r="AC47" s="4"/>
      <c r="AD47" s="629"/>
      <c r="AE47" s="629"/>
      <c r="AF47" s="629"/>
      <c r="AG47" s="629"/>
      <c r="AH47" s="629"/>
      <c r="AI47" s="629"/>
      <c r="AJ47" s="629"/>
      <c r="AK47" s="629"/>
      <c r="AL47" s="629"/>
      <c r="AM47" s="629"/>
      <c r="AN47" s="629"/>
    </row>
    <row r="48" spans="2:51">
      <c r="D48" s="7"/>
      <c r="E48" t="s">
        <v>432</v>
      </c>
      <c r="F48" s="4">
        <f>F41-F45</f>
        <v>199.99434390542413</v>
      </c>
      <c r="G48" s="4">
        <f t="shared" ref="G48:AL48" si="24">G41-G45</f>
        <v>196.56369746868833</v>
      </c>
      <c r="H48" s="4">
        <f t="shared" si="24"/>
        <v>208.82771138981803</v>
      </c>
      <c r="I48" s="4">
        <f t="shared" si="24"/>
        <v>213.40125138797816</v>
      </c>
      <c r="J48" s="4">
        <f t="shared" si="24"/>
        <v>215.16210649569632</v>
      </c>
      <c r="K48" s="4">
        <f t="shared" si="24"/>
        <v>217.21700527634403</v>
      </c>
      <c r="L48" s="4">
        <f t="shared" si="24"/>
        <v>215.10575654428234</v>
      </c>
      <c r="M48" s="4">
        <f t="shared" si="24"/>
        <v>218.60559265062687</v>
      </c>
      <c r="N48" s="4">
        <f t="shared" si="24"/>
        <v>215.33341898084285</v>
      </c>
      <c r="O48" s="4">
        <f t="shared" si="24"/>
        <v>207.64998235559631</v>
      </c>
      <c r="P48" s="4">
        <f t="shared" si="24"/>
        <v>213.33872483138362</v>
      </c>
      <c r="Q48" s="4">
        <f t="shared" si="24"/>
        <v>215.90999442307566</v>
      </c>
      <c r="R48" s="4">
        <f t="shared" si="24"/>
        <v>202.0757946438402</v>
      </c>
      <c r="S48" s="4">
        <f t="shared" si="24"/>
        <v>200.81131697117831</v>
      </c>
      <c r="T48" s="4">
        <f t="shared" si="24"/>
        <v>217.36274988298433</v>
      </c>
      <c r="U48" s="4">
        <f t="shared" si="24"/>
        <v>216.00523158208372</v>
      </c>
      <c r="V48" s="4">
        <f t="shared" si="24"/>
        <v>217.45909848039173</v>
      </c>
      <c r="W48" s="4">
        <f t="shared" si="24"/>
        <v>213.96024530029723</v>
      </c>
      <c r="X48" s="4">
        <f t="shared" si="24"/>
        <v>210.49643840842373</v>
      </c>
      <c r="Y48" s="4">
        <f t="shared" si="24"/>
        <v>210.10579447078925</v>
      </c>
      <c r="Z48" s="4">
        <f t="shared" si="24"/>
        <v>200.98722576747753</v>
      </c>
      <c r="AA48" s="4">
        <f t="shared" si="24"/>
        <v>196.4599359139545</v>
      </c>
      <c r="AB48" s="4">
        <f t="shared" si="24"/>
        <v>206.87079854830353</v>
      </c>
      <c r="AC48" s="4">
        <f t="shared" si="24"/>
        <v>213.2368892083949</v>
      </c>
      <c r="AD48" s="4">
        <f t="shared" si="24"/>
        <v>228.73876071238101</v>
      </c>
      <c r="AE48" s="4">
        <f t="shared" si="24"/>
        <v>230.5906576388499</v>
      </c>
      <c r="AF48" s="4">
        <f t="shared" si="24"/>
        <v>236.57762994886406</v>
      </c>
      <c r="AG48" s="4">
        <f t="shared" si="24"/>
        <v>237.84934674704061</v>
      </c>
      <c r="AH48" s="4">
        <f t="shared" si="24"/>
        <v>226.70066207906865</v>
      </c>
      <c r="AI48" s="4">
        <f t="shared" si="24"/>
        <v>229.51305287820603</v>
      </c>
      <c r="AJ48" s="4">
        <f t="shared" si="24"/>
        <v>234.92302799245923</v>
      </c>
      <c r="AK48" s="4">
        <f t="shared" si="24"/>
        <v>246.49455513202304</v>
      </c>
      <c r="AL48" s="4">
        <f t="shared" si="24"/>
        <v>0</v>
      </c>
      <c r="AM48" s="4">
        <f t="shared" ref="AM48:AN48" si="25">AM41-AM45</f>
        <v>0</v>
      </c>
      <c r="AN48" s="4">
        <f t="shared" si="25"/>
        <v>0</v>
      </c>
      <c r="AO48" s="4">
        <f t="shared" ref="AO48:AP48" si="26">AO41-AO45</f>
        <v>0</v>
      </c>
      <c r="AP48" s="4">
        <f t="shared" si="26"/>
        <v>0</v>
      </c>
      <c r="AQ48" s="4">
        <f t="shared" ref="AQ48:AR48" si="27">AQ41-AQ45</f>
        <v>0</v>
      </c>
      <c r="AR48" s="4">
        <f t="shared" si="27"/>
        <v>0</v>
      </c>
      <c r="AS48" s="4">
        <f t="shared" ref="AS48:AT48" si="28">AS41-AS45</f>
        <v>0</v>
      </c>
      <c r="AT48" s="4">
        <f t="shared" si="28"/>
        <v>0</v>
      </c>
      <c r="AU48" s="4">
        <f t="shared" ref="AU48:AV48" si="29">AU41-AU45</f>
        <v>0</v>
      </c>
      <c r="AV48" s="4">
        <f t="shared" si="29"/>
        <v>0</v>
      </c>
      <c r="AY48" t="s">
        <v>419</v>
      </c>
    </row>
    <row r="49" spans="1:51">
      <c r="D49" s="7"/>
      <c r="E49" t="s">
        <v>433</v>
      </c>
      <c r="F49" s="4">
        <f>F42-F46</f>
        <v>27.443941315127354</v>
      </c>
      <c r="G49" s="4">
        <f t="shared" ref="G49:AL49" si="30">G42-G46</f>
        <v>27.908548287655215</v>
      </c>
      <c r="H49" s="4">
        <f t="shared" si="30"/>
        <v>31.005891547517471</v>
      </c>
      <c r="I49" s="4">
        <f t="shared" si="30"/>
        <v>38.17865406240594</v>
      </c>
      <c r="J49" s="4">
        <f t="shared" si="30"/>
        <v>32.733996349154829</v>
      </c>
      <c r="K49" s="4">
        <f t="shared" si="30"/>
        <v>30.463090882942339</v>
      </c>
      <c r="L49" s="4">
        <f t="shared" si="30"/>
        <v>31.556426852949532</v>
      </c>
      <c r="M49" s="4">
        <f t="shared" si="30"/>
        <v>37.178019432637107</v>
      </c>
      <c r="N49" s="4">
        <f t="shared" si="30"/>
        <v>32.845642182943941</v>
      </c>
      <c r="O49" s="4">
        <f t="shared" si="30"/>
        <v>29.148742725960794</v>
      </c>
      <c r="P49" s="4">
        <f t="shared" si="30"/>
        <v>30.791886517944722</v>
      </c>
      <c r="Q49" s="4">
        <f t="shared" si="30"/>
        <v>38.022547028777417</v>
      </c>
      <c r="R49" s="4">
        <f t="shared" si="30"/>
        <v>32.545004311177522</v>
      </c>
      <c r="S49" s="4">
        <f t="shared" si="30"/>
        <v>28.828177721826805</v>
      </c>
      <c r="T49" s="4">
        <f t="shared" si="30"/>
        <v>33.216010435159205</v>
      </c>
      <c r="U49" s="4">
        <f t="shared" si="30"/>
        <v>37.812169260709219</v>
      </c>
      <c r="V49" s="4">
        <f t="shared" si="30"/>
        <v>31.12936146973162</v>
      </c>
      <c r="W49" s="4">
        <f t="shared" si="30"/>
        <v>31.211419368453811</v>
      </c>
      <c r="X49" s="4">
        <f t="shared" si="30"/>
        <v>29.761000933006944</v>
      </c>
      <c r="Y49" s="4">
        <f t="shared" si="30"/>
        <v>34.939635647829093</v>
      </c>
      <c r="Z49" s="4">
        <f t="shared" si="30"/>
        <v>28.540309369378626</v>
      </c>
      <c r="AA49" s="4">
        <f t="shared" si="30"/>
        <v>28.126495386162034</v>
      </c>
      <c r="AB49" s="4">
        <f t="shared" si="30"/>
        <v>29.285888402222412</v>
      </c>
      <c r="AC49" s="4">
        <f t="shared" si="30"/>
        <v>34.879407912544899</v>
      </c>
      <c r="AD49" s="4">
        <f t="shared" si="30"/>
        <v>33.344562107929804</v>
      </c>
      <c r="AE49" s="4">
        <f t="shared" si="30"/>
        <v>30.001793421796279</v>
      </c>
      <c r="AF49" s="4">
        <f t="shared" si="30"/>
        <v>31.953243489379485</v>
      </c>
      <c r="AG49" s="4">
        <f t="shared" si="30"/>
        <v>37.89431667361913</v>
      </c>
      <c r="AH49" s="4">
        <f t="shared" si="30"/>
        <v>33.999575105891168</v>
      </c>
      <c r="AI49" s="4">
        <f t="shared" si="30"/>
        <v>32.963237711034772</v>
      </c>
      <c r="AJ49" s="4">
        <f t="shared" si="30"/>
        <v>34.664380992314065</v>
      </c>
      <c r="AK49" s="4">
        <f t="shared" si="30"/>
        <v>37.584860139853269</v>
      </c>
      <c r="AL49" s="4">
        <f t="shared" si="30"/>
        <v>0</v>
      </c>
      <c r="AM49" s="4">
        <f t="shared" ref="AM49:AN49" si="31">AM42-AM46</f>
        <v>0</v>
      </c>
      <c r="AN49" s="4">
        <f t="shared" si="31"/>
        <v>0</v>
      </c>
      <c r="AO49" s="4">
        <f t="shared" ref="AO49:AP49" si="32">AO42-AO46</f>
        <v>0</v>
      </c>
      <c r="AP49" s="4">
        <f t="shared" si="32"/>
        <v>0</v>
      </c>
      <c r="AQ49" s="4">
        <f t="shared" ref="AQ49:AR49" si="33">AQ42-AQ46</f>
        <v>0</v>
      </c>
      <c r="AR49" s="4">
        <f t="shared" si="33"/>
        <v>0</v>
      </c>
      <c r="AS49" s="4">
        <f t="shared" ref="AS49:AT49" si="34">AS42-AS46</f>
        <v>0</v>
      </c>
      <c r="AT49" s="4">
        <f t="shared" si="34"/>
        <v>0</v>
      </c>
      <c r="AU49" s="4">
        <f t="shared" ref="AU49:AV49" si="35">AU42-AU46</f>
        <v>0</v>
      </c>
      <c r="AV49" s="4">
        <f t="shared" si="35"/>
        <v>0</v>
      </c>
      <c r="AY49" t="s">
        <v>419</v>
      </c>
    </row>
    <row r="50" spans="1:51" ht="17.399999999999999">
      <c r="A50" s="46"/>
      <c r="B50" s="75" t="s">
        <v>2</v>
      </c>
      <c r="C50" s="46"/>
      <c r="D50" s="76"/>
      <c r="E50" s="46"/>
      <c r="F50" s="46"/>
      <c r="G50" s="46"/>
      <c r="H50" s="46"/>
      <c r="I50" s="46"/>
      <c r="J50" s="46"/>
      <c r="K50" s="46"/>
      <c r="L50" s="46"/>
      <c r="M50" s="46"/>
      <c r="N50" s="46"/>
      <c r="O50" s="98" t="s">
        <v>664</v>
      </c>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row>
    <row r="51" spans="1:51">
      <c r="D51" s="7"/>
    </row>
    <row r="52" spans="1:51">
      <c r="D52" s="7"/>
    </row>
    <row r="53" spans="1:51">
      <c r="D53" s="7"/>
    </row>
    <row r="54" spans="1:51" ht="14.4">
      <c r="B54" s="60" t="s">
        <v>95</v>
      </c>
      <c r="D54" s="7"/>
      <c r="AF54" s="3">
        <v>2010</v>
      </c>
      <c r="AG54" s="3">
        <v>2011</v>
      </c>
      <c r="AH54" s="3">
        <v>2012</v>
      </c>
      <c r="AI54" s="3">
        <v>2013</v>
      </c>
      <c r="AJ54" s="3">
        <v>2014</v>
      </c>
      <c r="AK54" s="3">
        <v>2015</v>
      </c>
      <c r="AL54" s="3">
        <v>2016</v>
      </c>
      <c r="AM54" s="3">
        <v>2017</v>
      </c>
      <c r="AN54" s="3">
        <v>2018</v>
      </c>
      <c r="AO54" s="3">
        <v>2019</v>
      </c>
    </row>
    <row r="55" spans="1:51" ht="14.4">
      <c r="B55" s="74" t="s">
        <v>13</v>
      </c>
      <c r="D55" s="7"/>
      <c r="AE55" s="17"/>
      <c r="AF55" s="17">
        <f>SUM(F70:I70)</f>
        <v>99.175971872876161</v>
      </c>
      <c r="AG55" s="17">
        <f>SUM(J70:M70)</f>
        <v>112.36961013199999</v>
      </c>
      <c r="AH55" s="17">
        <f>SUM(N70:Q70)</f>
        <v>105.7359142286291</v>
      </c>
      <c r="AI55" s="17">
        <f>SUM(R70:U70)</f>
        <v>98.612312580580749</v>
      </c>
      <c r="AJ55" s="17">
        <f>SUM(V70:Y70)</f>
        <v>98.365543058509502</v>
      </c>
      <c r="AK55" s="17">
        <f>SUM(Z70:AC70)</f>
        <v>100.90536780086512</v>
      </c>
      <c r="AL55" s="17">
        <f>SUM(AD70:AG70)</f>
        <v>116.3143835902104</v>
      </c>
      <c r="AM55" s="17">
        <f>SUM(AH70:AK70)</f>
        <v>116.58157182961406</v>
      </c>
      <c r="AN55" s="17">
        <f>SUM(AL70:AO70)</f>
        <v>0</v>
      </c>
      <c r="AO55" s="17">
        <f>SUM(AP70:AS70)</f>
        <v>0</v>
      </c>
    </row>
    <row r="56" spans="1:51" ht="14.4">
      <c r="B56" s="74" t="s">
        <v>12</v>
      </c>
      <c r="D56" s="7"/>
      <c r="AM56" s="42">
        <f>AM55/AL55-1</f>
        <v>2.2971212257376639E-3</v>
      </c>
      <c r="AN56" s="42">
        <f>AN55/AM55-1</f>
        <v>-1</v>
      </c>
      <c r="AO56" s="42" t="e">
        <f>AO55/AN55-1</f>
        <v>#DIV/0!</v>
      </c>
    </row>
    <row r="57" spans="1:51" ht="14.4">
      <c r="B57" s="74" t="s">
        <v>11</v>
      </c>
      <c r="D57" s="7"/>
    </row>
    <row r="58" spans="1:51" ht="14.4">
      <c r="B58" s="74" t="s">
        <v>10</v>
      </c>
      <c r="D58" s="7"/>
    </row>
    <row r="59" spans="1:51" ht="14.4">
      <c r="B59" s="74" t="s">
        <v>9</v>
      </c>
      <c r="D59" s="7"/>
    </row>
    <row r="60" spans="1:51" ht="14.4">
      <c r="B60" s="74" t="s">
        <v>8</v>
      </c>
      <c r="D60" s="7"/>
    </row>
    <row r="61" spans="1:51" ht="14.4">
      <c r="B61" s="74" t="s">
        <v>7</v>
      </c>
      <c r="D61" s="7"/>
    </row>
    <row r="62" spans="1:51" ht="14.4">
      <c r="B62" s="389" t="s">
        <v>321</v>
      </c>
      <c r="D62" s="7"/>
    </row>
    <row r="63" spans="1:51" ht="14.4">
      <c r="B63" s="74" t="s">
        <v>6</v>
      </c>
      <c r="D63" s="7"/>
    </row>
    <row r="64" spans="1:51">
      <c r="D64" s="7"/>
    </row>
    <row r="65" spans="1:55">
      <c r="D65" s="7"/>
    </row>
    <row r="66" spans="1:55">
      <c r="D66" s="7"/>
    </row>
    <row r="67" spans="1:55">
      <c r="D67" s="7"/>
    </row>
    <row r="68" spans="1:55">
      <c r="D68" s="7"/>
      <c r="G68" s="2" t="s">
        <v>4</v>
      </c>
      <c r="H68" s="42">
        <f>(AO55/AF55)^(1/9)-1</f>
        <v>-1</v>
      </c>
    </row>
    <row r="69" spans="1:55" s="6" customFormat="1" ht="14.4">
      <c r="D69" s="8"/>
      <c r="F69" s="10" t="s">
        <v>116</v>
      </c>
      <c r="G69" s="10" t="s">
        <v>117</v>
      </c>
      <c r="H69" s="10" t="s">
        <v>118</v>
      </c>
      <c r="I69" s="10" t="s">
        <v>119</v>
      </c>
      <c r="J69" s="10" t="s">
        <v>120</v>
      </c>
      <c r="K69" s="10" t="s">
        <v>121</v>
      </c>
      <c r="L69" s="10" t="s">
        <v>122</v>
      </c>
      <c r="M69" s="10" t="s">
        <v>123</v>
      </c>
      <c r="N69" s="10" t="s">
        <v>102</v>
      </c>
      <c r="O69" s="10" t="s">
        <v>103</v>
      </c>
      <c r="P69" s="10" t="s">
        <v>104</v>
      </c>
      <c r="Q69" s="10" t="s">
        <v>105</v>
      </c>
      <c r="R69" s="10" t="s">
        <v>106</v>
      </c>
      <c r="S69" s="10" t="s">
        <v>107</v>
      </c>
      <c r="T69" s="10" t="s">
        <v>108</v>
      </c>
      <c r="U69" s="10" t="s">
        <v>109</v>
      </c>
      <c r="V69" s="10" t="s">
        <v>110</v>
      </c>
      <c r="W69" s="10" t="s">
        <v>111</v>
      </c>
      <c r="X69" s="10" t="s">
        <v>112</v>
      </c>
      <c r="Y69" s="10" t="s">
        <v>113</v>
      </c>
      <c r="Z69" s="10" t="s">
        <v>114</v>
      </c>
      <c r="AA69" s="10" t="s">
        <v>115</v>
      </c>
      <c r="AB69" s="10" t="s">
        <v>124</v>
      </c>
      <c r="AC69" s="10" t="s">
        <v>125</v>
      </c>
      <c r="AD69" s="10" t="s">
        <v>126</v>
      </c>
      <c r="AE69" s="10" t="s">
        <v>127</v>
      </c>
      <c r="AF69" s="10" t="s">
        <v>128</v>
      </c>
      <c r="AG69" s="10" t="s">
        <v>129</v>
      </c>
      <c r="AH69" s="10" t="s">
        <v>130</v>
      </c>
      <c r="AI69" s="10" t="s">
        <v>131</v>
      </c>
      <c r="AJ69" s="10" t="s">
        <v>132</v>
      </c>
      <c r="AK69" s="10" t="s">
        <v>133</v>
      </c>
      <c r="AL69" s="10" t="s">
        <v>134</v>
      </c>
      <c r="AM69" s="10" t="s">
        <v>135</v>
      </c>
      <c r="AN69" s="10" t="s">
        <v>136</v>
      </c>
      <c r="AO69" s="10" t="s">
        <v>137</v>
      </c>
      <c r="AP69" s="10" t="s">
        <v>138</v>
      </c>
      <c r="AQ69" s="10" t="s">
        <v>139</v>
      </c>
      <c r="AR69" s="10" t="s">
        <v>140</v>
      </c>
      <c r="AS69" s="10" t="s">
        <v>141</v>
      </c>
      <c r="AT69" s="10" t="s">
        <v>142</v>
      </c>
      <c r="AU69" s="10" t="s">
        <v>143</v>
      </c>
      <c r="AV69" s="10" t="s">
        <v>144</v>
      </c>
      <c r="AW69" s="10" t="s">
        <v>145</v>
      </c>
      <c r="AX69"/>
      <c r="AY69"/>
      <c r="AZ69"/>
      <c r="BA69"/>
      <c r="BB69"/>
      <c r="BC69"/>
    </row>
    <row r="70" spans="1:55" s="6" customFormat="1" ht="14.4">
      <c r="D70" s="8"/>
      <c r="E70" s="16" t="s">
        <v>14</v>
      </c>
      <c r="F70" s="37">
        <v>21.325780839975234</v>
      </c>
      <c r="G70" s="37">
        <v>23.002120788969041</v>
      </c>
      <c r="H70" s="37">
        <v>24.630377599969041</v>
      </c>
      <c r="I70" s="37">
        <v>30.217692643962849</v>
      </c>
      <c r="J70" s="37">
        <v>26.376107184000002</v>
      </c>
      <c r="K70" s="37">
        <v>28.871907587999999</v>
      </c>
      <c r="L70" s="37">
        <v>27.136353085</v>
      </c>
      <c r="M70" s="37">
        <v>29.985242274999997</v>
      </c>
      <c r="N70" s="37">
        <v>23.887401476418976</v>
      </c>
      <c r="O70" s="37">
        <v>26.226640441882765</v>
      </c>
      <c r="P70" s="37">
        <v>25.360342601793008</v>
      </c>
      <c r="Q70" s="37">
        <v>30.261529708534351</v>
      </c>
      <c r="R70" s="37">
        <v>24.067650132721706</v>
      </c>
      <c r="S70" s="37">
        <v>25.651934148911408</v>
      </c>
      <c r="T70" s="37">
        <v>22.895238108629382</v>
      </c>
      <c r="U70" s="37">
        <v>25.997490190318242</v>
      </c>
      <c r="V70" s="37">
        <v>22.668790176438726</v>
      </c>
      <c r="W70" s="37">
        <v>24.476015666495265</v>
      </c>
      <c r="X70" s="37">
        <v>25.874016095184526</v>
      </c>
      <c r="Y70" s="37">
        <v>25.346721120390978</v>
      </c>
      <c r="Z70" s="37">
        <v>23.157070769965355</v>
      </c>
      <c r="AA70" s="37">
        <v>24.972164258433846</v>
      </c>
      <c r="AB70" s="37">
        <v>26.088676599744389</v>
      </c>
      <c r="AC70" s="37">
        <v>26.687456172721539</v>
      </c>
      <c r="AD70" s="622">
        <f>'Network equip'!C18/10^3</f>
        <v>27.980003749366777</v>
      </c>
      <c r="AE70" s="622">
        <f>'Network equip'!D18/10^3</f>
        <v>30.542272619302725</v>
      </c>
      <c r="AF70" s="622">
        <f>'Network equip'!E18/10^3</f>
        <v>28.402590375677327</v>
      </c>
      <c r="AG70" s="622">
        <f>'Network equip'!F18/10^3</f>
        <v>29.389516845863564</v>
      </c>
      <c r="AH70" s="622">
        <f>'Network equip'!G18/10^3</f>
        <v>27.544327362838878</v>
      </c>
      <c r="AI70" s="622">
        <f>'Network equip'!H18/10^3</f>
        <v>27.6255665610881</v>
      </c>
      <c r="AJ70" s="622">
        <f>'Network equip'!I18/10^3</f>
        <v>25.523455218028321</v>
      </c>
      <c r="AK70" s="622">
        <f>'Network equip'!J18/10^3</f>
        <v>35.888222687658761</v>
      </c>
      <c r="AL70" s="622">
        <f>'Network equip'!K18/10^3</f>
        <v>0</v>
      </c>
      <c r="AM70" s="622">
        <f>'Network equip'!L18/10^3</f>
        <v>0</v>
      </c>
      <c r="AN70" s="622">
        <f>'Network equip'!M18/10^3</f>
        <v>0</v>
      </c>
      <c r="AO70" s="622">
        <f>'Network equip'!N18/10^3</f>
        <v>0</v>
      </c>
      <c r="AP70" s="622">
        <f>'Network equip'!O18/10^3</f>
        <v>0</v>
      </c>
      <c r="AQ70" s="622">
        <f>'Network equip'!P18/10^3</f>
        <v>0</v>
      </c>
      <c r="AR70" s="622">
        <f>'Network equip'!Q18/10^3</f>
        <v>0</v>
      </c>
      <c r="AS70" s="622">
        <f>'Network equip'!R18/10^3</f>
        <v>0</v>
      </c>
      <c r="AT70" s="622">
        <f>'Network equip'!S18/10^3</f>
        <v>0</v>
      </c>
      <c r="AU70" s="622">
        <f>'Network equip'!T18/10^3</f>
        <v>0</v>
      </c>
      <c r="AV70" s="622">
        <f>'Network equip'!U18/10^3</f>
        <v>0</v>
      </c>
      <c r="AW70" s="332" t="e">
        <f>AV70/AU70-1</f>
        <v>#DIV/0!</v>
      </c>
      <c r="AX70"/>
      <c r="AY70"/>
      <c r="AZ70"/>
      <c r="BA70"/>
      <c r="BB70"/>
      <c r="BC70"/>
    </row>
    <row r="71" spans="1:55" s="6" customFormat="1" ht="14.4">
      <c r="D71" s="8"/>
      <c r="E71" s="691"/>
      <c r="F71" s="15"/>
      <c r="G71" s="15"/>
      <c r="H71" s="15"/>
      <c r="I71" s="15"/>
      <c r="J71" s="15"/>
      <c r="K71" s="15"/>
      <c r="L71" s="15"/>
      <c r="M71" s="15"/>
      <c r="N71" s="15"/>
      <c r="O71" s="15"/>
      <c r="P71" s="15"/>
      <c r="Q71" s="15"/>
      <c r="R71" s="15"/>
      <c r="S71" s="15"/>
      <c r="T71" s="15"/>
      <c r="U71" s="15"/>
      <c r="V71" s="15"/>
      <c r="W71" s="15"/>
      <c r="X71" s="15"/>
      <c r="Y71" s="15"/>
      <c r="Z71" s="95">
        <f t="shared" ref="Z71:AG71" si="36">Z70/V70-1</f>
        <v>2.1539772953306224E-2</v>
      </c>
      <c r="AA71" s="95">
        <f t="shared" si="36"/>
        <v>2.0270807091276266E-2</v>
      </c>
      <c r="AB71" s="95">
        <f t="shared" si="36"/>
        <v>8.2963736193939486E-3</v>
      </c>
      <c r="AC71" s="95">
        <f t="shared" si="36"/>
        <v>5.289579847280379E-2</v>
      </c>
      <c r="AD71" s="95">
        <f t="shared" si="36"/>
        <v>0.20827042536212104</v>
      </c>
      <c r="AE71" s="95">
        <f t="shared" si="36"/>
        <v>0.22305268791381128</v>
      </c>
      <c r="AF71" s="95">
        <f t="shared" si="36"/>
        <v>8.8694179909287074E-2</v>
      </c>
      <c r="AG71" s="95">
        <f t="shared" si="36"/>
        <v>0.10124834138009464</v>
      </c>
      <c r="AH71" s="95">
        <f t="shared" ref="AH71:AN71" si="37">AH70/AD70-1</f>
        <v>-1.5570990998804213E-2</v>
      </c>
      <c r="AI71" s="95">
        <f t="shared" si="37"/>
        <v>-9.5497348693406203E-2</v>
      </c>
      <c r="AJ71" s="95">
        <f t="shared" si="37"/>
        <v>-0.10136875262316092</v>
      </c>
      <c r="AK71" s="95">
        <f t="shared" si="37"/>
        <v>0.22112326228016421</v>
      </c>
      <c r="AL71" s="95">
        <f t="shared" si="37"/>
        <v>-1</v>
      </c>
      <c r="AM71" s="95">
        <f t="shared" si="37"/>
        <v>-1</v>
      </c>
      <c r="AN71" s="95">
        <f t="shared" si="37"/>
        <v>-1</v>
      </c>
      <c r="AO71" s="95">
        <f t="shared" ref="AO71:AT71" si="38">AO70/AK70-1</f>
        <v>-1</v>
      </c>
      <c r="AP71" s="95" t="e">
        <f t="shared" si="38"/>
        <v>#DIV/0!</v>
      </c>
      <c r="AQ71" s="95" t="e">
        <f t="shared" si="38"/>
        <v>#DIV/0!</v>
      </c>
      <c r="AR71" s="95" t="e">
        <f t="shared" si="38"/>
        <v>#DIV/0!</v>
      </c>
      <c r="AS71" s="95" t="e">
        <f t="shared" si="38"/>
        <v>#DIV/0!</v>
      </c>
      <c r="AT71" s="95" t="e">
        <f t="shared" si="38"/>
        <v>#DIV/0!</v>
      </c>
      <c r="AU71" s="95" t="e">
        <f>AU70/AQ70-1</f>
        <v>#DIV/0!</v>
      </c>
      <c r="AV71" s="95" t="e">
        <f>AV70/AR70-1</f>
        <v>#DIV/0!</v>
      </c>
      <c r="AW71" s="15"/>
    </row>
    <row r="72" spans="1:55" s="6" customFormat="1" ht="14.4">
      <c r="D72" s="8"/>
      <c r="E72" s="691"/>
      <c r="F72" s="15"/>
      <c r="G72" s="15"/>
      <c r="H72" s="15"/>
      <c r="I72" s="15"/>
      <c r="J72" s="15"/>
      <c r="K72" s="15"/>
      <c r="L72" s="15"/>
      <c r="M72" s="15"/>
      <c r="N72" s="15"/>
      <c r="O72" s="15"/>
      <c r="P72" s="15"/>
      <c r="Q72" s="15"/>
      <c r="R72" s="15"/>
      <c r="S72" s="15"/>
      <c r="T72" s="15"/>
      <c r="U72" s="15"/>
      <c r="V72" s="15"/>
      <c r="W72" s="15"/>
      <c r="X72" s="15"/>
      <c r="Y72" s="15"/>
      <c r="Z72" s="95"/>
      <c r="AA72" s="95"/>
      <c r="AB72" s="95"/>
      <c r="AC72" s="692" t="s">
        <v>453</v>
      </c>
      <c r="AD72" s="693">
        <f>AD70-(('Network equip'!C17+'Network equip'!C14)/1000)</f>
        <v>13.491552504233598</v>
      </c>
      <c r="AE72" s="693">
        <f>AE70-(('Network equip'!D17+'Network equip'!D14)/1000)</f>
        <v>13.647506636080053</v>
      </c>
      <c r="AF72" s="693">
        <f>AF70-(('Network equip'!E17+'Network equip'!E14)/1000)</f>
        <v>13.299880019820941</v>
      </c>
      <c r="AG72" s="693">
        <f>AG70-(('Network equip'!F17+'Network equip'!F14)/1000)</f>
        <v>14.818458574022314</v>
      </c>
      <c r="AH72" s="693">
        <f>AH70-(('Network equip'!G17+'Network equip'!G14)/1000)</f>
        <v>12.255884246347302</v>
      </c>
      <c r="AI72" s="693">
        <f>AI70-(('Network equip'!H17+'Network equip'!H14)/1000)</f>
        <v>12.680150499222147</v>
      </c>
      <c r="AJ72" s="693">
        <f>AJ70-(('Network equip'!I17+'Network equip'!I14)/1000)</f>
        <v>13.03986725068232</v>
      </c>
      <c r="AK72" s="693">
        <f>AK70-(('Network equip'!J17+'Network equip'!J14)/1000)</f>
        <v>14.119869578110404</v>
      </c>
      <c r="AL72" s="693">
        <f>AL70-(('Network equip'!K17+'Network equip'!K14)/1000)</f>
        <v>0</v>
      </c>
      <c r="AM72" s="693">
        <f>AM70-(('Network equip'!L17+'Network equip'!L14)/1000)</f>
        <v>0</v>
      </c>
      <c r="AN72" s="693">
        <f>AN70-(('Network equip'!M17+'Network equip'!M14)/1000)</f>
        <v>0</v>
      </c>
      <c r="AO72" s="693">
        <f>AO70-(('Network equip'!N17+'Network equip'!N14)/1000)</f>
        <v>0</v>
      </c>
      <c r="AP72" s="693">
        <f>AP70-(('Network equip'!O17+'Network equip'!O14)/1000)</f>
        <v>0</v>
      </c>
      <c r="AQ72" s="693">
        <f>AQ70-(('Network equip'!P17+'Network equip'!P14)/1000)</f>
        <v>0</v>
      </c>
      <c r="AR72" s="693">
        <f>AR70-(('Network equip'!Q17+'Network equip'!Q14)/1000)</f>
        <v>0</v>
      </c>
      <c r="AS72" s="693">
        <f>AS70-(('Network equip'!R17+'Network equip'!R14)/1000)</f>
        <v>0</v>
      </c>
      <c r="AT72" s="693">
        <f>AT70-(('Network equip'!S17+'Network equip'!S14)/1000)</f>
        <v>0</v>
      </c>
      <c r="AU72" s="693">
        <f>AU70-(('Network equip'!T17+'Network equip'!T14)/1000)</f>
        <v>0</v>
      </c>
      <c r="AV72" s="693">
        <f>AV70-(('Network equip'!U17+'Network equip'!U14)/1000)</f>
        <v>0</v>
      </c>
      <c r="AW72" s="15"/>
    </row>
    <row r="73" spans="1:55" ht="17.399999999999999">
      <c r="A73" s="46"/>
      <c r="B73" s="75" t="s">
        <v>295</v>
      </c>
      <c r="C73" s="46"/>
      <c r="D73" s="76"/>
      <c r="E73" s="46"/>
      <c r="F73" s="46" t="s">
        <v>296</v>
      </c>
      <c r="G73" s="46"/>
      <c r="H73" s="46"/>
      <c r="I73" s="46"/>
      <c r="J73" s="46"/>
      <c r="K73" s="46"/>
      <c r="L73" s="46"/>
      <c r="M73" s="46"/>
      <c r="N73" s="46"/>
      <c r="O73" s="98" t="s">
        <v>661</v>
      </c>
      <c r="P73" s="98"/>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row>
    <row r="74" spans="1:55">
      <c r="D74" s="7"/>
    </row>
    <row r="75" spans="1:55">
      <c r="D75" s="7"/>
    </row>
    <row r="76" spans="1:55" ht="14.4">
      <c r="B76" s="60" t="s">
        <v>95</v>
      </c>
      <c r="D76" s="7"/>
    </row>
    <row r="77" spans="1:55">
      <c r="B77" t="str">
        <f>ICPs!B8</f>
        <v>Alibaba</v>
      </c>
      <c r="D77" s="7"/>
    </row>
    <row r="78" spans="1:55">
      <c r="B78" s="1242" t="str">
        <f>ICPs!B9</f>
        <v>Alphabet</v>
      </c>
      <c r="D78" s="7"/>
    </row>
    <row r="79" spans="1:55" ht="14.4">
      <c r="B79" s="1243" t="str">
        <f>ICPs!B10</f>
        <v>Amazon</v>
      </c>
      <c r="D79" s="7"/>
    </row>
    <row r="80" spans="1:55" ht="14.4">
      <c r="B80" s="1243" t="str">
        <f>ICPs!B11</f>
        <v>Apple</v>
      </c>
      <c r="D80" s="7"/>
    </row>
    <row r="81" spans="2:49" ht="14.4">
      <c r="B81" s="1243" t="str">
        <f>ICPs!B12</f>
        <v>Baidu</v>
      </c>
      <c r="D81" s="7"/>
      <c r="S81" s="2"/>
      <c r="T81" s="3">
        <v>2010</v>
      </c>
      <c r="U81" s="3">
        <v>2011</v>
      </c>
      <c r="V81" s="3">
        <v>2012</v>
      </c>
      <c r="W81" s="3">
        <v>2013</v>
      </c>
      <c r="X81" s="3">
        <v>2014</v>
      </c>
      <c r="Y81" s="3">
        <v>2015</v>
      </c>
      <c r="Z81" s="3">
        <v>2016</v>
      </c>
      <c r="AA81" s="3">
        <v>2017</v>
      </c>
      <c r="AB81" s="3">
        <v>2018</v>
      </c>
      <c r="AC81" s="3">
        <v>2019</v>
      </c>
    </row>
    <row r="82" spans="2:49" ht="14.4">
      <c r="B82" s="1243" t="str">
        <f>ICPs!B13</f>
        <v>eBay</v>
      </c>
      <c r="D82" s="7"/>
      <c r="S82" s="87" t="s">
        <v>14</v>
      </c>
      <c r="T82" s="17">
        <f>SUM(F94:I94)</f>
        <v>257.04860351026787</v>
      </c>
      <c r="U82" s="17">
        <f>SUM(J94:M94)</f>
        <v>349.7317794238723</v>
      </c>
      <c r="V82" s="17">
        <f>SUM(N94:Q94)</f>
        <v>426.32401875330027</v>
      </c>
      <c r="W82" s="17">
        <f>SUM(R94:U94)</f>
        <v>495.94580193590309</v>
      </c>
      <c r="X82" s="17">
        <f>SUM(V94:Y94)</f>
        <v>585.54947561359063</v>
      </c>
      <c r="Y82" s="17">
        <f>SUM(Z94:AC94)</f>
        <v>672.45628746928912</v>
      </c>
      <c r="Z82" s="17">
        <f>SUM(AD94:AG94)</f>
        <v>726.56111580597178</v>
      </c>
      <c r="AA82" s="17">
        <f>SUM(AH94:AK94)</f>
        <v>885.15501339102912</v>
      </c>
      <c r="AB82" s="17">
        <f>SUM(AL94:AO94)</f>
        <v>0</v>
      </c>
      <c r="AC82" s="17">
        <f>SUM(AP94:AS94)</f>
        <v>0</v>
      </c>
    </row>
    <row r="83" spans="2:49" ht="14.4">
      <c r="B83" s="1243" t="str">
        <f>ICPs!B14</f>
        <v>Facebook</v>
      </c>
      <c r="D83" s="7"/>
      <c r="S83" s="2" t="s">
        <v>76</v>
      </c>
      <c r="T83" s="17">
        <f>SUM(F95:I95)</f>
        <v>12.282921743650292</v>
      </c>
      <c r="U83" s="17">
        <f>SUM(J95:M95)</f>
        <v>15.274938735233579</v>
      </c>
      <c r="V83" s="17">
        <f>SUM(N95:Q95)</f>
        <v>23.913355681767463</v>
      </c>
      <c r="W83" s="17">
        <f>SUM(R95:U95)</f>
        <v>30.264615535830949</v>
      </c>
      <c r="X83" s="17">
        <f>SUM(V95:Y95)</f>
        <v>40.127780439537247</v>
      </c>
      <c r="Y83" s="17">
        <f>SUM(Z95:AC95)</f>
        <v>44.225717122621973</v>
      </c>
      <c r="Z83" s="17">
        <f>SUM(AD95:AG95)</f>
        <v>51.65095103648698</v>
      </c>
      <c r="AA83" s="17">
        <f>SUM(AH95:AK95)</f>
        <v>63.06262794330226</v>
      </c>
      <c r="AB83" s="17">
        <f>SUM(AL95:AO95)</f>
        <v>0</v>
      </c>
      <c r="AC83" s="17">
        <f>SUM(AP95:AS95)</f>
        <v>0</v>
      </c>
    </row>
    <row r="84" spans="2:49" ht="14.4">
      <c r="B84" s="1243" t="str">
        <f>ICPs!B15</f>
        <v>Microsoft</v>
      </c>
      <c r="D84" s="7"/>
      <c r="S84" s="2"/>
      <c r="Z84" s="5">
        <f t="shared" ref="Z84:AB85" si="39">Z82/Y82-1</f>
        <v>8.0458506143648245E-2</v>
      </c>
      <c r="AA84" s="5">
        <f t="shared" si="39"/>
        <v>0.21828018887183309</v>
      </c>
      <c r="AB84" s="5">
        <f t="shared" si="39"/>
        <v>-1</v>
      </c>
      <c r="AC84" s="5" t="e">
        <f>AC82/AB82-1</f>
        <v>#DIV/0!</v>
      </c>
    </row>
    <row r="85" spans="2:49" ht="14.4">
      <c r="B85" s="1243" t="str">
        <f>ICPs!B16</f>
        <v>Oracle</v>
      </c>
      <c r="D85" s="7"/>
      <c r="Z85" s="5">
        <f t="shared" si="39"/>
        <v>0.16789403082549259</v>
      </c>
      <c r="AA85" s="5">
        <f t="shared" si="39"/>
        <v>0.22093836953271029</v>
      </c>
      <c r="AB85" s="5">
        <f t="shared" si="39"/>
        <v>-1</v>
      </c>
      <c r="AC85" s="5" t="e">
        <f>AC83/AB83-1</f>
        <v>#DIV/0!</v>
      </c>
    </row>
    <row r="86" spans="2:49" ht="14.4">
      <c r="B86" s="1243" t="str">
        <f>ICPs!B17</f>
        <v>PayPal</v>
      </c>
      <c r="D86" s="7"/>
    </row>
    <row r="87" spans="2:49" ht="14.4">
      <c r="B87" s="1243" t="str">
        <f>ICPs!B18</f>
        <v>Tencent</v>
      </c>
      <c r="D87" s="7"/>
    </row>
    <row r="88" spans="2:49" ht="14.4">
      <c r="B88" s="1243" t="str">
        <f>ICPs!B19</f>
        <v>Twitter</v>
      </c>
      <c r="D88" s="7"/>
    </row>
    <row r="89" spans="2:49" ht="14.4">
      <c r="B89" s="1243" t="str">
        <f>ICPs!B20</f>
        <v>JD.com</v>
      </c>
      <c r="D89" s="7"/>
      <c r="H89" s="1"/>
    </row>
    <row r="90" spans="2:49" ht="14.4">
      <c r="B90" s="1243" t="str">
        <f>ICPs!B21</f>
        <v>NetEase</v>
      </c>
      <c r="D90" s="7"/>
      <c r="H90" s="1"/>
    </row>
    <row r="91" spans="2:49">
      <c r="B91" s="1242" t="str">
        <f>ICPs!B22</f>
        <v>VIPShop.com</v>
      </c>
      <c r="D91" s="7"/>
      <c r="G91" s="2" t="s">
        <v>4</v>
      </c>
      <c r="H91" s="44">
        <f>(AC82/T82)^(1/9)-1</f>
        <v>-1</v>
      </c>
      <c r="N91" s="2" t="s">
        <v>4</v>
      </c>
      <c r="O91" s="44">
        <f>(AC83/T83)^(1/9)-1</f>
        <v>-1</v>
      </c>
    </row>
    <row r="92" spans="2:49">
      <c r="D92" s="7"/>
    </row>
    <row r="93" spans="2:49">
      <c r="D93" s="7"/>
      <c r="E93" s="9"/>
      <c r="F93" s="10" t="s">
        <v>116</v>
      </c>
      <c r="G93" s="10" t="s">
        <v>117</v>
      </c>
      <c r="H93" s="10" t="s">
        <v>118</v>
      </c>
      <c r="I93" s="10" t="s">
        <v>119</v>
      </c>
      <c r="J93" s="10" t="s">
        <v>120</v>
      </c>
      <c r="K93" s="10" t="s">
        <v>121</v>
      </c>
      <c r="L93" s="10" t="s">
        <v>122</v>
      </c>
      <c r="M93" s="10" t="s">
        <v>123</v>
      </c>
      <c r="N93" s="10" t="s">
        <v>102</v>
      </c>
      <c r="O93" s="10" t="s">
        <v>103</v>
      </c>
      <c r="P93" s="10" t="s">
        <v>104</v>
      </c>
      <c r="Q93" s="10" t="s">
        <v>105</v>
      </c>
      <c r="R93" s="10" t="s">
        <v>106</v>
      </c>
      <c r="S93" s="10" t="s">
        <v>107</v>
      </c>
      <c r="T93" s="10" t="s">
        <v>108</v>
      </c>
      <c r="U93" s="10" t="s">
        <v>109</v>
      </c>
      <c r="V93" s="10" t="s">
        <v>110</v>
      </c>
      <c r="W93" s="10" t="s">
        <v>111</v>
      </c>
      <c r="X93" s="10" t="s">
        <v>112</v>
      </c>
      <c r="Y93" s="10" t="s">
        <v>113</v>
      </c>
      <c r="Z93" s="10" t="s">
        <v>114</v>
      </c>
      <c r="AA93" s="10" t="s">
        <v>115</v>
      </c>
      <c r="AB93" s="10" t="s">
        <v>124</v>
      </c>
      <c r="AC93" s="10" t="s">
        <v>125</v>
      </c>
      <c r="AD93" s="10" t="s">
        <v>126</v>
      </c>
      <c r="AE93" s="10" t="s">
        <v>127</v>
      </c>
      <c r="AF93" s="10" t="s">
        <v>128</v>
      </c>
      <c r="AG93" s="10" t="s">
        <v>129</v>
      </c>
      <c r="AH93" s="10" t="s">
        <v>130</v>
      </c>
      <c r="AI93" s="10" t="s">
        <v>131</v>
      </c>
      <c r="AJ93" s="10" t="s">
        <v>132</v>
      </c>
      <c r="AK93" s="10" t="s">
        <v>133</v>
      </c>
      <c r="AL93" s="10" t="s">
        <v>134</v>
      </c>
      <c r="AM93" s="10" t="s">
        <v>135</v>
      </c>
      <c r="AN93" s="10" t="s">
        <v>136</v>
      </c>
      <c r="AO93" s="10" t="s">
        <v>137</v>
      </c>
      <c r="AP93" s="10" t="s">
        <v>138</v>
      </c>
      <c r="AQ93" s="10" t="s">
        <v>139</v>
      </c>
      <c r="AR93" s="10" t="s">
        <v>140</v>
      </c>
      <c r="AS93" s="10" t="s">
        <v>141</v>
      </c>
      <c r="AT93" s="10" t="s">
        <v>142</v>
      </c>
      <c r="AU93" s="10" t="s">
        <v>143</v>
      </c>
      <c r="AV93" s="10" t="s">
        <v>144</v>
      </c>
      <c r="AW93" s="10" t="s">
        <v>145</v>
      </c>
    </row>
    <row r="94" spans="2:49" ht="14.4">
      <c r="B94" s="73"/>
      <c r="D94" s="7"/>
      <c r="E94" s="27" t="s">
        <v>14</v>
      </c>
      <c r="F94" s="39">
        <v>53.501341696083173</v>
      </c>
      <c r="G94" s="39">
        <v>60.382184714208151</v>
      </c>
      <c r="H94" s="39">
        <v>62.538742460725004</v>
      </c>
      <c r="I94" s="39">
        <v>80.626334639251539</v>
      </c>
      <c r="J94" s="39">
        <v>72.516456094288799</v>
      </c>
      <c r="K94" s="39">
        <v>81.948929514353821</v>
      </c>
      <c r="L94" s="39">
        <v>81.951138846865774</v>
      </c>
      <c r="M94" s="39">
        <v>113.31525496836389</v>
      </c>
      <c r="N94" s="39">
        <v>98.488891157205245</v>
      </c>
      <c r="O94" s="39">
        <v>99.149912695202772</v>
      </c>
      <c r="P94" s="39">
        <v>96.555889974683524</v>
      </c>
      <c r="Q94" s="39">
        <v>132.12932492620868</v>
      </c>
      <c r="R94" s="39">
        <v>114.42069219147987</v>
      </c>
      <c r="S94" s="39">
        <v>112.56686624425633</v>
      </c>
      <c r="T94" s="39">
        <v>113.92516220933855</v>
      </c>
      <c r="U94" s="39">
        <v>155.03308129082831</v>
      </c>
      <c r="V94" s="39">
        <v>132.66609034867719</v>
      </c>
      <c r="W94" s="39">
        <v>130.49149758108217</v>
      </c>
      <c r="X94" s="39">
        <v>135.27333782949265</v>
      </c>
      <c r="Y94" s="39">
        <v>187.11854985433868</v>
      </c>
      <c r="Z94" s="39">
        <v>156.02661363694673</v>
      </c>
      <c r="AA94" s="39">
        <v>154.36970656720507</v>
      </c>
      <c r="AB94" s="39">
        <v>156.86957500895315</v>
      </c>
      <c r="AC94" s="39">
        <v>205.19039225618414</v>
      </c>
      <c r="AD94" s="626">
        <f>ICPs!C23/10^3</f>
        <v>163.9938052718488</v>
      </c>
      <c r="AE94" s="626">
        <f>ICPs!D23/10^3</f>
        <v>163.93321217966383</v>
      </c>
      <c r="AF94" s="626">
        <f>ICPs!E23/10^3</f>
        <v>169.72450617887156</v>
      </c>
      <c r="AG94" s="626">
        <f>ICPs!F23/10^3</f>
        <v>228.90959217558759</v>
      </c>
      <c r="AH94" s="626">
        <f>ICPs!G23/10^3</f>
        <v>188.90400610021786</v>
      </c>
      <c r="AI94" s="626">
        <f>ICPs!H23/10^3</f>
        <v>195.65393838862559</v>
      </c>
      <c r="AJ94" s="626">
        <f>ICPs!I23/10^3</f>
        <v>212.67691124473302</v>
      </c>
      <c r="AK94" s="626">
        <f>ICPs!J23/10^3</f>
        <v>287.92015765745271</v>
      </c>
      <c r="AL94" s="626">
        <f>ICPs!K23/10^3</f>
        <v>0</v>
      </c>
      <c r="AM94" s="626">
        <f>ICPs!L23/10^3</f>
        <v>0</v>
      </c>
      <c r="AN94" s="626">
        <f>ICPs!M23/10^3</f>
        <v>0</v>
      </c>
      <c r="AO94" s="626">
        <f>ICPs!N23/10^3</f>
        <v>0</v>
      </c>
      <c r="AP94" s="626">
        <f>ICPs!O23/10^3</f>
        <v>0</v>
      </c>
      <c r="AQ94" s="626">
        <f>ICPs!P23/10^3</f>
        <v>0</v>
      </c>
      <c r="AR94" s="626">
        <f>ICPs!Q23/10^3</f>
        <v>0</v>
      </c>
      <c r="AS94" s="626">
        <f>ICPs!R23/10^3</f>
        <v>0</v>
      </c>
      <c r="AT94" s="626">
        <f>ICPs!S23/10^3</f>
        <v>0</v>
      </c>
      <c r="AU94" s="626">
        <f>ICPs!T23/10^3</f>
        <v>0</v>
      </c>
      <c r="AV94" s="626">
        <f>ICPs!U23/10^3</f>
        <v>0</v>
      </c>
    </row>
    <row r="95" spans="2:49" ht="14.4">
      <c r="B95" s="73"/>
      <c r="D95" s="7"/>
      <c r="E95" t="s">
        <v>76</v>
      </c>
      <c r="F95" s="43">
        <v>1.4057760933746863</v>
      </c>
      <c r="G95" s="43">
        <v>2.5239091046132858</v>
      </c>
      <c r="H95" s="43">
        <v>3.0568355329374532</v>
      </c>
      <c r="I95" s="43">
        <v>5.296401012724866</v>
      </c>
      <c r="J95" s="43">
        <v>3.1482440007532757</v>
      </c>
      <c r="K95" s="43">
        <v>3.6319602908939683</v>
      </c>
      <c r="L95" s="43">
        <v>4.2122011728300599</v>
      </c>
      <c r="M95" s="43">
        <v>4.2825332707562751</v>
      </c>
      <c r="N95" s="43">
        <v>4.281497414185524</v>
      </c>
      <c r="O95" s="43">
        <v>5.4025956166333753</v>
      </c>
      <c r="P95" s="43">
        <v>6.7361447552742622</v>
      </c>
      <c r="Q95" s="43">
        <v>7.4931178956743008</v>
      </c>
      <c r="R95" s="43">
        <v>5.9112034146314265</v>
      </c>
      <c r="S95" s="43">
        <v>7.5698916748622871</v>
      </c>
      <c r="T95" s="43">
        <v>8.0945955499867459</v>
      </c>
      <c r="U95" s="43">
        <v>8.6889248963504908</v>
      </c>
      <c r="V95" s="43">
        <v>7.4759670439120658</v>
      </c>
      <c r="W95" s="43">
        <v>9.283903204348178</v>
      </c>
      <c r="X95" s="43">
        <v>11.345373128936847</v>
      </c>
      <c r="Y95" s="43">
        <v>12.022537062340156</v>
      </c>
      <c r="Z95" s="43">
        <v>9.615961186016678</v>
      </c>
      <c r="AA95" s="43">
        <v>10.567655463584487</v>
      </c>
      <c r="AB95" s="43">
        <v>11.874437456033768</v>
      </c>
      <c r="AC95" s="43">
        <v>12.167663016987044</v>
      </c>
      <c r="AD95" s="628">
        <f>ICPs!C44/10^3</f>
        <v>10.911260571218886</v>
      </c>
      <c r="AE95" s="628">
        <f>ICPs!D44/10^3</f>
        <v>12.02631732035149</v>
      </c>
      <c r="AF95" s="628">
        <f>ICPs!E44/10^3</f>
        <v>13.921135684273708</v>
      </c>
      <c r="AG95" s="628">
        <f>ICPs!F44/10^3</f>
        <v>14.792237460642893</v>
      </c>
      <c r="AH95" s="628">
        <f>ICPs!G44/10^3</f>
        <v>12.171444705882351</v>
      </c>
      <c r="AI95" s="628">
        <f>ICPs!H44/10^3</f>
        <v>14.736698085308058</v>
      </c>
      <c r="AJ95" s="628">
        <f>ICPs!I44/10^3</f>
        <v>16.563925575311728</v>
      </c>
      <c r="AK95" s="628">
        <f>ICPs!J44/10^3</f>
        <v>19.590559576800128</v>
      </c>
      <c r="AL95" s="628">
        <f>ICPs!K44/10^3</f>
        <v>0</v>
      </c>
      <c r="AM95" s="628">
        <f>ICPs!L44/10^3</f>
        <v>0</v>
      </c>
      <c r="AN95" s="628">
        <f>ICPs!M44/10^3</f>
        <v>0</v>
      </c>
      <c r="AO95" s="628">
        <f>ICPs!N44/10^3</f>
        <v>0</v>
      </c>
      <c r="AP95" s="628">
        <f>ICPs!O44/10^3</f>
        <v>0</v>
      </c>
      <c r="AQ95" s="628">
        <f>ICPs!P44/10^3</f>
        <v>0</v>
      </c>
      <c r="AR95" s="628">
        <f>ICPs!Q44/10^3</f>
        <v>0</v>
      </c>
      <c r="AS95" s="628">
        <f>ICPs!R44/10^3</f>
        <v>0</v>
      </c>
      <c r="AT95" s="628">
        <f>ICPs!S44/10^3</f>
        <v>0</v>
      </c>
      <c r="AU95" s="628">
        <f>ICPs!T44/10^3</f>
        <v>0</v>
      </c>
      <c r="AV95" s="628">
        <f>ICPs!U44/10^3</f>
        <v>0</v>
      </c>
    </row>
    <row r="96" spans="2:49">
      <c r="D96" s="7"/>
      <c r="E96" t="s">
        <v>77</v>
      </c>
      <c r="F96" s="42">
        <f>F95/F94</f>
        <v>2.6275529712138097E-2</v>
      </c>
      <c r="G96" s="42">
        <f t="shared" ref="G96:Y96" si="40">G95/G94</f>
        <v>4.1798903377860068E-2</v>
      </c>
      <c r="H96" s="42">
        <f t="shared" si="40"/>
        <v>4.8879069400175078E-2</v>
      </c>
      <c r="I96" s="42">
        <f t="shared" si="40"/>
        <v>6.569070808468086E-2</v>
      </c>
      <c r="J96" s="42">
        <f t="shared" si="40"/>
        <v>4.3414201000939741E-2</v>
      </c>
      <c r="K96" s="42">
        <f t="shared" si="40"/>
        <v>4.4319801520504423E-2</v>
      </c>
      <c r="L96" s="42">
        <f t="shared" si="40"/>
        <v>5.1398933951375535E-2</v>
      </c>
      <c r="M96" s="42">
        <f t="shared" si="40"/>
        <v>3.7793086835059421E-2</v>
      </c>
      <c r="N96" s="42">
        <f t="shared" si="40"/>
        <v>4.3471881588670908E-2</v>
      </c>
      <c r="O96" s="42">
        <f t="shared" si="40"/>
        <v>5.4489161611685134E-2</v>
      </c>
      <c r="P96" s="42">
        <f t="shared" si="40"/>
        <v>6.976420347883952E-2</v>
      </c>
      <c r="Q96" s="42">
        <f t="shared" si="40"/>
        <v>5.6710483458982643E-2</v>
      </c>
      <c r="R96" s="42">
        <f t="shared" si="40"/>
        <v>5.166201411139159E-2</v>
      </c>
      <c r="S96" s="42">
        <f t="shared" si="40"/>
        <v>6.7247956058726452E-2</v>
      </c>
      <c r="T96" s="42">
        <f t="shared" si="40"/>
        <v>7.1051867673559685E-2</v>
      </c>
      <c r="U96" s="42">
        <f t="shared" si="40"/>
        <v>5.6045618290014108E-2</v>
      </c>
      <c r="V96" s="42">
        <f t="shared" si="40"/>
        <v>5.6351755179213425E-2</v>
      </c>
      <c r="W96" s="42">
        <f t="shared" si="40"/>
        <v>7.1145656049962439E-2</v>
      </c>
      <c r="X96" s="42">
        <f t="shared" si="40"/>
        <v>8.3869987323276496E-2</v>
      </c>
      <c r="Y96" s="42">
        <f t="shared" si="40"/>
        <v>6.4250909766557229E-2</v>
      </c>
      <c r="Z96" s="42">
        <f t="shared" ref="Z96:AE96" si="41">Z95/Z94</f>
        <v>6.1630262696027914E-2</v>
      </c>
      <c r="AA96" s="42">
        <f t="shared" si="41"/>
        <v>6.845679569251395E-2</v>
      </c>
      <c r="AB96" s="42">
        <f t="shared" si="41"/>
        <v>7.5696242916168083E-2</v>
      </c>
      <c r="AC96" s="42">
        <f t="shared" si="41"/>
        <v>5.9299379874450865E-2</v>
      </c>
      <c r="AD96" s="42">
        <f t="shared" si="41"/>
        <v>6.6534589847046591E-2</v>
      </c>
      <c r="AE96" s="42">
        <f t="shared" si="41"/>
        <v>7.3361078944583588E-2</v>
      </c>
      <c r="AF96" s="42">
        <f t="shared" ref="AF96:AK96" si="42">AF95/AF94</f>
        <v>8.2021954269834857E-2</v>
      </c>
      <c r="AG96" s="42">
        <f t="shared" si="42"/>
        <v>6.4620435168554868E-2</v>
      </c>
      <c r="AH96" s="42">
        <f t="shared" si="42"/>
        <v>6.4431903574480698E-2</v>
      </c>
      <c r="AI96" s="42">
        <f t="shared" si="42"/>
        <v>7.5320222054700944E-2</v>
      </c>
      <c r="AJ96" s="42">
        <f t="shared" si="42"/>
        <v>7.7883045594221434E-2</v>
      </c>
      <c r="AK96" s="42">
        <f t="shared" si="42"/>
        <v>6.8041639516284266E-2</v>
      </c>
      <c r="AL96" s="42" t="e">
        <f t="shared" ref="AL96:AQ96" si="43">AL95/AL94</f>
        <v>#DIV/0!</v>
      </c>
      <c r="AM96" s="42" t="e">
        <f t="shared" si="43"/>
        <v>#DIV/0!</v>
      </c>
      <c r="AN96" s="42" t="e">
        <f t="shared" si="43"/>
        <v>#DIV/0!</v>
      </c>
      <c r="AO96" s="42" t="e">
        <f t="shared" si="43"/>
        <v>#DIV/0!</v>
      </c>
      <c r="AP96" s="42" t="e">
        <f t="shared" si="43"/>
        <v>#DIV/0!</v>
      </c>
      <c r="AQ96" s="42" t="e">
        <f t="shared" si="43"/>
        <v>#DIV/0!</v>
      </c>
      <c r="AR96" s="42" t="e">
        <f t="shared" ref="AR96:AS96" si="44">AR95/AR94</f>
        <v>#DIV/0!</v>
      </c>
      <c r="AS96" s="42" t="e">
        <f t="shared" si="44"/>
        <v>#DIV/0!</v>
      </c>
      <c r="AT96" s="42" t="e">
        <f>AT95/AT94</f>
        <v>#DIV/0!</v>
      </c>
      <c r="AU96" s="42" t="e">
        <f>AU95/AU94</f>
        <v>#DIV/0!</v>
      </c>
      <c r="AV96" s="42" t="e">
        <f>AV95/AV94</f>
        <v>#DIV/0!</v>
      </c>
      <c r="AW96" t="str">
        <f>$E$96</f>
        <v>Spending/Revenue</v>
      </c>
    </row>
    <row r="97" spans="1:49">
      <c r="D97" s="7"/>
      <c r="E97" t="s">
        <v>178</v>
      </c>
      <c r="F97" s="42"/>
      <c r="G97" s="42"/>
      <c r="H97" s="42"/>
      <c r="I97" s="42"/>
      <c r="J97" s="42">
        <f>J95/F95-1</f>
        <v>1.2395060035454475</v>
      </c>
      <c r="K97" s="42">
        <f t="shared" ref="K97:AC97" si="45">K95/G95-1</f>
        <v>0.43902182699660197</v>
      </c>
      <c r="L97" s="42">
        <f t="shared" si="45"/>
        <v>0.37796133532325271</v>
      </c>
      <c r="M97" s="42">
        <f t="shared" si="45"/>
        <v>-0.19142578885789108</v>
      </c>
      <c r="N97" s="42">
        <f t="shared" si="45"/>
        <v>0.35996365375780792</v>
      </c>
      <c r="O97" s="42">
        <f t="shared" si="45"/>
        <v>0.48751505631235403</v>
      </c>
      <c r="P97" s="42">
        <f t="shared" si="45"/>
        <v>0.5991982526201225</v>
      </c>
      <c r="Q97" s="42">
        <f t="shared" si="45"/>
        <v>0.74969286212948716</v>
      </c>
      <c r="R97" s="42">
        <f t="shared" si="45"/>
        <v>0.38063925836935808</v>
      </c>
      <c r="S97" s="42">
        <f t="shared" si="45"/>
        <v>0.40115829723703467</v>
      </c>
      <c r="T97" s="42">
        <f t="shared" si="45"/>
        <v>0.2016659148615898</v>
      </c>
      <c r="U97" s="42">
        <f t="shared" si="45"/>
        <v>0.15958737301684756</v>
      </c>
      <c r="V97" s="42">
        <f t="shared" si="45"/>
        <v>0.2647115180315962</v>
      </c>
      <c r="W97" s="42">
        <f t="shared" si="45"/>
        <v>0.2264248424026587</v>
      </c>
      <c r="X97" s="42">
        <f t="shared" si="45"/>
        <v>0.40159851827994353</v>
      </c>
      <c r="Y97" s="42">
        <f t="shared" si="45"/>
        <v>0.38366221434251835</v>
      </c>
      <c r="Z97" s="42">
        <f t="shared" si="45"/>
        <v>0.28624980949418211</v>
      </c>
      <c r="AA97" s="42">
        <f t="shared" si="45"/>
        <v>0.13827721282521077</v>
      </c>
      <c r="AB97" s="42">
        <f t="shared" si="45"/>
        <v>4.6632607062302656E-2</v>
      </c>
      <c r="AC97" s="42">
        <f t="shared" si="45"/>
        <v>1.207115884894927E-2</v>
      </c>
      <c r="AD97" s="42">
        <f t="shared" ref="AD97:AP97" si="46">AD95/Z95-1</f>
        <v>0.13470305881494249</v>
      </c>
      <c r="AE97" s="42">
        <f t="shared" si="46"/>
        <v>0.13803079233548687</v>
      </c>
      <c r="AF97" s="42">
        <f t="shared" si="46"/>
        <v>0.17236170014942043</v>
      </c>
      <c r="AG97" s="42">
        <f t="shared" si="46"/>
        <v>0.21570078329681963</v>
      </c>
      <c r="AH97" s="42">
        <f t="shared" si="46"/>
        <v>0.11549390892446554</v>
      </c>
      <c r="AI97" s="42">
        <f t="shared" si="46"/>
        <v>0.22537080078287453</v>
      </c>
      <c r="AJ97" s="42">
        <f t="shared" si="46"/>
        <v>0.18984010722799738</v>
      </c>
      <c r="AK97" s="42">
        <f t="shared" si="46"/>
        <v>0.3243810903471458</v>
      </c>
      <c r="AL97" s="42">
        <f t="shared" si="46"/>
        <v>-1</v>
      </c>
      <c r="AM97" s="42">
        <f t="shared" si="46"/>
        <v>-1</v>
      </c>
      <c r="AN97" s="42">
        <f t="shared" si="46"/>
        <v>-1</v>
      </c>
      <c r="AO97" s="42">
        <f t="shared" si="46"/>
        <v>-1</v>
      </c>
      <c r="AP97" s="42" t="e">
        <f t="shared" si="46"/>
        <v>#DIV/0!</v>
      </c>
      <c r="AQ97" s="42" t="e">
        <f t="shared" ref="AQ97:AU97" si="47">AQ95/AM95-1</f>
        <v>#DIV/0!</v>
      </c>
      <c r="AR97" s="42" t="e">
        <f t="shared" si="47"/>
        <v>#DIV/0!</v>
      </c>
      <c r="AS97" s="42" t="e">
        <f t="shared" si="47"/>
        <v>#DIV/0!</v>
      </c>
      <c r="AT97" s="42" t="e">
        <f t="shared" si="47"/>
        <v>#DIV/0!</v>
      </c>
      <c r="AU97" s="42" t="e">
        <f t="shared" si="47"/>
        <v>#DIV/0!</v>
      </c>
      <c r="AV97" s="42" t="e">
        <f>AV95/AR95-1</f>
        <v>#DIV/0!</v>
      </c>
      <c r="AW97" t="str">
        <f>$E$97</f>
        <v>Spending growth rate</v>
      </c>
    </row>
    <row r="98" spans="1:49">
      <c r="D98" s="7"/>
      <c r="E98" t="s">
        <v>376</v>
      </c>
      <c r="J98" s="42">
        <f t="shared" ref="J98" si="48">J94/F94-1</f>
        <v>0.35541378581161309</v>
      </c>
      <c r="K98" s="42">
        <f t="shared" ref="K98" si="49">K94/G94-1</f>
        <v>0.35717066055529689</v>
      </c>
      <c r="L98" s="42">
        <f t="shared" ref="L98" si="50">L94/H94-1</f>
        <v>0.31040592794669575</v>
      </c>
      <c r="M98" s="42">
        <f t="shared" ref="M98" si="51">M94/I94-1</f>
        <v>0.40543726160159976</v>
      </c>
      <c r="N98" s="42">
        <f t="shared" ref="N98" si="52">N94/J94-1</f>
        <v>0.35815918843505057</v>
      </c>
      <c r="O98" s="42">
        <f t="shared" ref="O98" si="53">O94/K94-1</f>
        <v>0.2098988148202241</v>
      </c>
      <c r="P98" s="42">
        <f t="shared" ref="P98" si="54">P94/L94-1</f>
        <v>0.17821291239293502</v>
      </c>
      <c r="Q98" s="42">
        <f t="shared" ref="Q98" si="55">Q94/M94-1</f>
        <v>0.16603298437705871</v>
      </c>
      <c r="R98" s="42">
        <f t="shared" ref="R98" si="56">R94/N94-1</f>
        <v>0.16176241652314594</v>
      </c>
      <c r="S98" s="42">
        <f t="shared" ref="S98" si="57">S94/O94-1</f>
        <v>0.13531987254793343</v>
      </c>
      <c r="T98" s="42">
        <f t="shared" ref="T98" si="58">T94/P94-1</f>
        <v>0.17988827236960026</v>
      </c>
      <c r="U98" s="42">
        <f t="shared" ref="U98" si="59">U94/Q94-1</f>
        <v>0.17334347524602034</v>
      </c>
      <c r="V98" s="42">
        <f t="shared" ref="V98" si="60">V94/R94-1</f>
        <v>0.15945890387259798</v>
      </c>
      <c r="W98" s="42">
        <f t="shared" ref="W98:AB98" si="61">W94/S94-1</f>
        <v>0.15923541211435688</v>
      </c>
      <c r="X98" s="42">
        <f t="shared" si="61"/>
        <v>0.18738771318075131</v>
      </c>
      <c r="Y98" s="42">
        <f t="shared" si="61"/>
        <v>0.20695885224212818</v>
      </c>
      <c r="Z98" s="42">
        <f t="shared" si="61"/>
        <v>0.17608511132628313</v>
      </c>
      <c r="AA98" s="42">
        <f t="shared" si="61"/>
        <v>0.18298670356883551</v>
      </c>
      <c r="AB98" s="42">
        <f t="shared" si="61"/>
        <v>0.15964888222601425</v>
      </c>
      <c r="AC98" s="42">
        <f t="shared" ref="AC98:AO98" si="62">AC94/Y94-1</f>
        <v>9.6579641173541564E-2</v>
      </c>
      <c r="AD98" s="42">
        <f t="shared" si="62"/>
        <v>5.1063029884380162E-2</v>
      </c>
      <c r="AE98" s="42">
        <f t="shared" si="62"/>
        <v>6.1951958225011428E-2</v>
      </c>
      <c r="AF98" s="42">
        <f t="shared" si="62"/>
        <v>8.1946618196579779E-2</v>
      </c>
      <c r="AG98" s="42">
        <f t="shared" si="62"/>
        <v>0.11559605524701944</v>
      </c>
      <c r="AH98" s="42">
        <f t="shared" si="62"/>
        <v>0.15189720603821577</v>
      </c>
      <c r="AI98" s="42">
        <f t="shared" si="62"/>
        <v>0.19349786286257364</v>
      </c>
      <c r="AJ98" s="42">
        <f t="shared" si="62"/>
        <v>0.2530713214778435</v>
      </c>
      <c r="AK98" s="42">
        <f t="shared" si="62"/>
        <v>0.25778983275021705</v>
      </c>
      <c r="AL98" s="42">
        <f t="shared" si="62"/>
        <v>-1</v>
      </c>
      <c r="AM98" s="42">
        <f t="shared" si="62"/>
        <v>-1</v>
      </c>
      <c r="AN98" s="42">
        <f t="shared" si="62"/>
        <v>-1</v>
      </c>
      <c r="AO98" s="42">
        <f t="shared" si="62"/>
        <v>-1</v>
      </c>
      <c r="AP98" s="42" t="e">
        <f t="shared" ref="AP98:AV98" si="63">AP94/AL94-1</f>
        <v>#DIV/0!</v>
      </c>
      <c r="AQ98" s="42" t="e">
        <f t="shared" si="63"/>
        <v>#DIV/0!</v>
      </c>
      <c r="AR98" s="42" t="e">
        <f t="shared" si="63"/>
        <v>#DIV/0!</v>
      </c>
      <c r="AS98" s="42" t="e">
        <f t="shared" si="63"/>
        <v>#DIV/0!</v>
      </c>
      <c r="AT98" s="42" t="e">
        <f t="shared" si="63"/>
        <v>#DIV/0!</v>
      </c>
      <c r="AU98" s="42" t="e">
        <f t="shared" si="63"/>
        <v>#DIV/0!</v>
      </c>
      <c r="AV98" s="42" t="e">
        <f t="shared" si="63"/>
        <v>#DIV/0!</v>
      </c>
      <c r="AW98" t="s">
        <v>376</v>
      </c>
    </row>
    <row r="99" spans="1:49">
      <c r="D99" s="7"/>
      <c r="E99" s="2" t="s">
        <v>540</v>
      </c>
      <c r="F99" s="5">
        <v>0.27936544709601208</v>
      </c>
      <c r="G99" s="5">
        <v>0.28723305577438885</v>
      </c>
      <c r="H99" s="5">
        <v>0.29513465541640344</v>
      </c>
      <c r="I99" s="5">
        <v>0.28716831396694231</v>
      </c>
      <c r="J99" s="5">
        <v>0.3148402076532768</v>
      </c>
      <c r="K99" s="5">
        <v>0.74536484636771672</v>
      </c>
      <c r="L99" s="5">
        <v>0.25952194232530545</v>
      </c>
      <c r="M99" s="5">
        <v>0.50092628333336942</v>
      </c>
      <c r="N99" s="5">
        <v>0.577896861833191</v>
      </c>
      <c r="O99" s="5">
        <v>-0.30111533376974753</v>
      </c>
      <c r="P99" s="5">
        <v>2.0650347084835818E-2</v>
      </c>
      <c r="Q99" s="5">
        <v>2.6208416914312638E-2</v>
      </c>
      <c r="R99" s="5">
        <v>-8.7936103822405798E-4</v>
      </c>
      <c r="S99" s="5">
        <v>0.28529490620742326</v>
      </c>
      <c r="T99" s="5">
        <v>0.12838763101334827</v>
      </c>
      <c r="U99" s="5">
        <v>6.8637032492398387E-2</v>
      </c>
      <c r="V99" s="5">
        <v>5.7249618668960833E-2</v>
      </c>
      <c r="W99" s="5">
        <v>0.14257785991620198</v>
      </c>
      <c r="X99" s="5">
        <v>5.6210412817429889E-2</v>
      </c>
      <c r="Y99" s="5">
        <v>0.2194213144171806</v>
      </c>
      <c r="Z99" s="5">
        <v>0.14403426789945839</v>
      </c>
      <c r="AA99" s="5">
        <v>-0.13919827787207095</v>
      </c>
      <c r="AB99" s="5">
        <v>0.20855862490534638</v>
      </c>
      <c r="AC99" s="5">
        <v>2.6768695820512001E-2</v>
      </c>
      <c r="AD99" s="5">
        <v>-2.2088126167204569E-3</v>
      </c>
      <c r="AE99" s="5">
        <v>0.23157505792974531</v>
      </c>
      <c r="AF99" s="5">
        <v>1.8276222300873224E-2</v>
      </c>
      <c r="AG99" s="5">
        <v>0.13773365771403068</v>
      </c>
      <c r="AH99" s="5">
        <v>8.2468228241937336E-2</v>
      </c>
      <c r="AI99" s="5">
        <v>0.14523361177611083</v>
      </c>
      <c r="AJ99" s="5">
        <v>0.31201420738432928</v>
      </c>
      <c r="AK99" s="5">
        <v>0.21726946428303107</v>
      </c>
      <c r="AL99" s="5">
        <v>0.26233716768338278</v>
      </c>
      <c r="AM99" s="5">
        <v>0.22838425849491739</v>
      </c>
      <c r="AN99" s="5">
        <v>0.21795507213081877</v>
      </c>
      <c r="AO99" s="5">
        <v>-7.3795217520244982E-3</v>
      </c>
      <c r="AP99" s="5">
        <v>-6.1667308929856945E-3</v>
      </c>
      <c r="AQ99" s="5">
        <v>0.20137672882520063</v>
      </c>
      <c r="AR99" s="5">
        <v>9.4961390593913286E-2</v>
      </c>
      <c r="AS99" s="44">
        <v>0.1892196601903442</v>
      </c>
      <c r="AT99" s="5">
        <v>0.1068360819129035</v>
      </c>
      <c r="AU99" s="5">
        <v>0.14467515775301054</v>
      </c>
      <c r="AV99" s="5">
        <v>0</v>
      </c>
      <c r="AW99" t="str">
        <f>E99</f>
        <v>Operating margin</v>
      </c>
    </row>
    <row r="100" spans="1:49">
      <c r="D100" s="7"/>
      <c r="E100" s="2" t="s">
        <v>541</v>
      </c>
      <c r="F100" s="5">
        <v>0.21616863067907766</v>
      </c>
      <c r="G100" s="5">
        <v>0.22002459674929095</v>
      </c>
      <c r="H100" s="5">
        <v>0.23421381930370072</v>
      </c>
      <c r="I100" s="5">
        <v>0.230024605213419</v>
      </c>
      <c r="J100" s="5">
        <v>0.36637290978432691</v>
      </c>
      <c r="K100" s="5">
        <v>0.49916723362995841</v>
      </c>
      <c r="L100" s="5">
        <v>0.27135692214699203</v>
      </c>
      <c r="M100" s="5">
        <v>0.52283463131837427</v>
      </c>
      <c r="N100" s="5">
        <v>0.54420602104717819</v>
      </c>
      <c r="O100" s="5">
        <v>-0.17458834264302603</v>
      </c>
      <c r="P100" s="5">
        <v>-1.1526942758167014E-2</v>
      </c>
      <c r="Q100" s="5">
        <v>-1.8674290372914792E-2</v>
      </c>
      <c r="R100" s="5">
        <v>1.9402211797112656E-2</v>
      </c>
      <c r="S100" s="5">
        <v>0.31700197352579673</v>
      </c>
      <c r="T100" s="5">
        <v>0.17482901957246844</v>
      </c>
      <c r="U100" s="5">
        <v>7.5999884188197253E-2</v>
      </c>
      <c r="V100" s="5">
        <v>-6.0635830571521221E-2</v>
      </c>
      <c r="W100" s="5">
        <v>8.075221477466199E-2</v>
      </c>
      <c r="X100" s="5">
        <v>5.2051244983615241E-3</v>
      </c>
      <c r="Y100" s="5">
        <v>0.2133659959225469</v>
      </c>
      <c r="Z100" s="5">
        <v>0.22084485561057154</v>
      </c>
      <c r="AA100" s="5">
        <v>-4.2991683546187653E-2</v>
      </c>
      <c r="AB100" s="5">
        <v>0.35720752049574456</v>
      </c>
      <c r="AC100" s="5">
        <v>0.14069719572316641</v>
      </c>
      <c r="AD100" s="5">
        <v>-4.4505181803646821E-3</v>
      </c>
      <c r="AE100" s="5">
        <v>0.1823273917668895</v>
      </c>
      <c r="AF100" s="5">
        <v>-3.9307018891714618E-2</v>
      </c>
      <c r="AG100" s="5">
        <v>2.8813951621690759E-2</v>
      </c>
      <c r="AH100" s="5">
        <v>0.2039759470537037</v>
      </c>
      <c r="AI100" s="5">
        <v>0.24273845290274121</v>
      </c>
      <c r="AJ100" s="5">
        <v>0.42823323169533034</v>
      </c>
      <c r="AK100" s="5">
        <v>-0.3289675680438463</v>
      </c>
      <c r="AL100" s="5">
        <v>0.42368975799052033</v>
      </c>
      <c r="AM100" s="5">
        <v>0.26917180569662014</v>
      </c>
      <c r="AN100" s="42">
        <v>0.30866727072841682</v>
      </c>
      <c r="AO100" s="42">
        <v>1.0659814945313322</v>
      </c>
      <c r="AP100" s="42">
        <v>-5.9174547006568434E-2</v>
      </c>
      <c r="AQ100" s="42">
        <v>0.26405088952065969</v>
      </c>
      <c r="AR100" s="42">
        <v>0.11191923420843963</v>
      </c>
      <c r="AS100" s="42">
        <v>0.23229028908861094</v>
      </c>
      <c r="AT100" s="42">
        <v>8.133603342297846E-3</v>
      </c>
      <c r="AU100" s="42">
        <v>0.13249349235985353</v>
      </c>
      <c r="AV100" s="42" t="e">
        <v>#DIV/0!</v>
      </c>
      <c r="AW100" t="str">
        <f>E100</f>
        <v>Net margin</v>
      </c>
    </row>
    <row r="101" spans="1:49">
      <c r="D101" s="7"/>
      <c r="E101" s="2" t="s">
        <v>539</v>
      </c>
      <c r="F101" s="4">
        <v>103.81819099760973</v>
      </c>
      <c r="G101" s="4">
        <v>104.04922394095465</v>
      </c>
      <c r="H101" s="4">
        <v>92.404022991140749</v>
      </c>
      <c r="I101" s="4">
        <v>124.74860095662115</v>
      </c>
      <c r="J101" s="4">
        <v>137.78087105747721</v>
      </c>
      <c r="K101" s="4">
        <v>136.73322943749614</v>
      </c>
      <c r="L101" s="4">
        <v>142.23344841802793</v>
      </c>
      <c r="M101" s="4">
        <v>152.80350240025183</v>
      </c>
      <c r="N101" s="4">
        <v>160.39930055061529</v>
      </c>
      <c r="O101" s="4">
        <v>162.95862414788039</v>
      </c>
      <c r="P101" s="4">
        <v>187.69013924050631</v>
      </c>
      <c r="Q101" s="4">
        <v>195.74355890585241</v>
      </c>
      <c r="R101" s="4">
        <v>216.1220557122146</v>
      </c>
      <c r="S101" s="4">
        <v>225.23583877468761</v>
      </c>
      <c r="T101" s="4">
        <v>227.72029891419021</v>
      </c>
      <c r="U101" s="4">
        <v>240.34859250065327</v>
      </c>
      <c r="V101" s="4">
        <v>242.98101747524288</v>
      </c>
      <c r="W101" s="4">
        <v>246.97533820069765</v>
      </c>
      <c r="X101" s="4">
        <v>238.11557847999481</v>
      </c>
      <c r="Y101" s="4">
        <v>273.93709031269447</v>
      </c>
      <c r="Z101" s="4">
        <v>268.34409400256578</v>
      </c>
      <c r="AA101" s="4">
        <v>277.9812148241287</v>
      </c>
      <c r="AB101" s="4">
        <v>296.98108024582717</v>
      </c>
      <c r="AC101" s="4">
        <v>360.32421779655704</v>
      </c>
      <c r="AD101" s="4">
        <v>384.83828579291787</v>
      </c>
      <c r="AE101" s="4">
        <v>406.8235308778053</v>
      </c>
      <c r="AF101" s="4">
        <v>460.96429201680672</v>
      </c>
      <c r="AG101" s="4">
        <v>450.54053014571275</v>
      </c>
      <c r="AH101" s="4">
        <v>468.60620377358492</v>
      </c>
      <c r="AI101" s="4">
        <v>502.51936151603491</v>
      </c>
      <c r="AJ101" s="4">
        <v>523.06312893553229</v>
      </c>
      <c r="AK101" s="4">
        <v>524.82912420574894</v>
      </c>
      <c r="AL101" s="4">
        <v>558.68113333333326</v>
      </c>
      <c r="AM101" s="4">
        <v>539.06045118204054</v>
      </c>
      <c r="AN101" s="4">
        <v>536.1224136187227</v>
      </c>
      <c r="AO101" s="4">
        <v>549.47840558520249</v>
      </c>
      <c r="AP101" s="4">
        <v>539.05808740740736</v>
      </c>
      <c r="AQ101" s="4">
        <v>582.63655377762143</v>
      </c>
      <c r="AR101" s="4">
        <v>595.36622295231598</v>
      </c>
      <c r="AS101" s="4">
        <v>627.32794497757095</v>
      </c>
      <c r="AT101" s="4">
        <v>615.31065616045851</v>
      </c>
      <c r="AU101" s="4">
        <v>678.98536389280673</v>
      </c>
      <c r="AV101" s="4">
        <v>0</v>
      </c>
      <c r="AW101" t="str">
        <f>E101</f>
        <v>Cash &amp; Equivalents ($ bn)</v>
      </c>
    </row>
    <row r="102" spans="1:49">
      <c r="D102" s="7"/>
      <c r="AR102" s="5">
        <f>AR101/AN101-1</f>
        <v>0.1105042576632993</v>
      </c>
      <c r="AS102" s="5">
        <f>AS101/AO101-1</f>
        <v>0.14167897882985514</v>
      </c>
      <c r="AT102" s="5">
        <f>AT101/AP101-1</f>
        <v>0.14145519849221966</v>
      </c>
      <c r="AU102" s="5">
        <f>AU101/AQ101-1</f>
        <v>0.16536691611690291</v>
      </c>
      <c r="AV102" s="5">
        <f>AV101/AR101-1</f>
        <v>-1</v>
      </c>
    </row>
    <row r="103" spans="1:49" ht="17.399999999999999">
      <c r="A103" s="46"/>
      <c r="B103" s="75" t="s">
        <v>1</v>
      </c>
      <c r="C103" s="46"/>
      <c r="D103" s="76"/>
      <c r="E103" s="46"/>
      <c r="F103" s="46" t="s">
        <v>171</v>
      </c>
      <c r="G103" s="46"/>
      <c r="H103" s="46"/>
      <c r="I103" s="46"/>
      <c r="J103" s="46"/>
      <c r="K103" s="46"/>
      <c r="L103" s="46"/>
      <c r="M103" s="46"/>
      <c r="N103" s="46"/>
      <c r="O103" s="98" t="s">
        <v>664</v>
      </c>
      <c r="P103" s="98"/>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row>
    <row r="104" spans="1:49">
      <c r="D104" s="7"/>
    </row>
    <row r="105" spans="1:49">
      <c r="D105" s="7"/>
    </row>
    <row r="106" spans="1:49" ht="14.4">
      <c r="A106" s="60" t="s">
        <v>95</v>
      </c>
      <c r="D106" s="7"/>
    </row>
    <row r="107" spans="1:49" ht="14.4">
      <c r="A107" s="73" t="str">
        <f>'Datacom equip'!B8</f>
        <v>Arista Networks</v>
      </c>
      <c r="D107" s="7"/>
    </row>
    <row r="108" spans="1:49" ht="14.4">
      <c r="A108" s="73" t="str">
        <f>'Datacom equip'!B9</f>
        <v>Brocade</v>
      </c>
      <c r="D108" s="7"/>
    </row>
    <row r="109" spans="1:49" ht="14.4">
      <c r="A109" s="73" t="str">
        <f>'Datacom equip'!B10</f>
        <v>Cisco - Switches, Routers, Data Ctr.</v>
      </c>
      <c r="D109" s="7"/>
    </row>
    <row r="110" spans="1:49" ht="14.4">
      <c r="A110" s="73" t="str">
        <f>'Datacom equip'!B11</f>
        <v>Dell Infrastructure Solutions Group</v>
      </c>
      <c r="D110" s="7"/>
    </row>
    <row r="111" spans="1:49" ht="14.4">
      <c r="A111" s="73" t="str">
        <f>'Datacom equip'!B12</f>
        <v>Extreme Networks</v>
      </c>
      <c r="D111" s="7"/>
    </row>
    <row r="112" spans="1:49" ht="14.4">
      <c r="A112" s="73" t="str">
        <f>'Datacom equip'!B13</f>
        <v>H3C</v>
      </c>
      <c r="D112" s="7"/>
    </row>
    <row r="113" spans="1:50" ht="14.4">
      <c r="A113" s="73" t="str">
        <f>'Datacom equip'!B14</f>
        <v>HPE Hybrid IT</v>
      </c>
      <c r="D113" s="7"/>
    </row>
    <row r="114" spans="1:50" ht="14.4">
      <c r="A114" s="73" t="str">
        <f>'Datacom equip'!B15</f>
        <v>IBM - Systems</v>
      </c>
      <c r="D114" s="7"/>
    </row>
    <row r="115" spans="1:50" ht="14.4">
      <c r="A115" s="73" t="str">
        <f>'Datacom equip'!B16</f>
        <v>Inspur</v>
      </c>
      <c r="D115" s="7"/>
    </row>
    <row r="116" spans="1:50" ht="14.4">
      <c r="A116" s="73" t="str">
        <f>'Datacom equip'!B17</f>
        <v>Juniper - Routers and Switches</v>
      </c>
      <c r="D116" s="7"/>
    </row>
    <row r="117" spans="1:50" ht="14.4">
      <c r="A117" s="73" t="str">
        <f>'Datacom equip'!B18</f>
        <v>Lenovo - Enterprise Group</v>
      </c>
      <c r="D117" s="7"/>
    </row>
    <row r="118" spans="1:50" ht="14.4">
      <c r="A118" s="73" t="str">
        <f>'Datacom equip'!B19</f>
        <v>Mellanox</v>
      </c>
      <c r="D118" s="7"/>
    </row>
    <row r="119" spans="1:50" ht="14.4">
      <c r="A119" s="73" t="str">
        <f>'Datacom equip'!B20</f>
        <v xml:space="preserve">NetApp - Products </v>
      </c>
      <c r="D119" s="7"/>
    </row>
    <row r="120" spans="1:50" ht="14.4">
      <c r="A120" s="73" t="str">
        <f>'Datacom equip'!B21</f>
        <v>Oracle - Hardware</v>
      </c>
      <c r="D120" s="7"/>
    </row>
    <row r="121" spans="1:50">
      <c r="D121" s="7"/>
    </row>
    <row r="122" spans="1:50">
      <c r="D122" s="7"/>
    </row>
    <row r="123" spans="1:50">
      <c r="D123" s="7"/>
    </row>
    <row r="124" spans="1:50">
      <c r="D124" s="7"/>
      <c r="G124" t="s">
        <v>18</v>
      </c>
      <c r="H124" s="18">
        <f>(N127/F127)^(1/8)-1</f>
        <v>-1</v>
      </c>
    </row>
    <row r="125" spans="1:50">
      <c r="D125" s="7"/>
    </row>
    <row r="126" spans="1:50">
      <c r="D126" s="7"/>
      <c r="E126" s="3">
        <v>2010</v>
      </c>
      <c r="F126" s="3">
        <v>2011</v>
      </c>
      <c r="G126" s="3">
        <v>2012</v>
      </c>
      <c r="H126" s="3">
        <v>2013</v>
      </c>
      <c r="I126" s="3">
        <v>2014</v>
      </c>
      <c r="J126" s="3">
        <v>2015</v>
      </c>
      <c r="K126" s="3">
        <v>2016</v>
      </c>
      <c r="L126" s="3">
        <v>2017</v>
      </c>
      <c r="M126" s="3">
        <v>2018</v>
      </c>
      <c r="N126" s="3">
        <v>2019</v>
      </c>
    </row>
    <row r="127" spans="1:50">
      <c r="D127" s="7"/>
      <c r="E127" s="17">
        <f>SUM(F144:I144)</f>
        <v>67.802097000000003</v>
      </c>
      <c r="F127" s="17">
        <f>SUM(J144:M144)</f>
        <v>102.2773</v>
      </c>
      <c r="G127" s="17">
        <f>SUM(N144:Q144)</f>
        <v>103.294839</v>
      </c>
      <c r="H127" s="17">
        <f>SUM(R144:U144)</f>
        <v>102.40771899999999</v>
      </c>
      <c r="I127" s="17">
        <f>SUM(V144:Y144)</f>
        <v>102.33451900000001</v>
      </c>
      <c r="J127" s="17">
        <f>SUM(Z144:AC144)</f>
        <v>104.304393</v>
      </c>
      <c r="K127" s="17">
        <f>SUM(AD144:AG144)</f>
        <v>109.82201408742768</v>
      </c>
      <c r="L127" s="17">
        <f>SUM(AH144:AK144)</f>
        <v>120.21082601853618</v>
      </c>
      <c r="M127" s="17">
        <f>SUM(AL144:AO144)</f>
        <v>0</v>
      </c>
      <c r="N127" s="17">
        <f>SUM(AP144:AS144)</f>
        <v>0</v>
      </c>
      <c r="Z127" s="42">
        <f>Z144/V144-1</f>
        <v>3.6675575461184495E-2</v>
      </c>
      <c r="AA127" s="42">
        <f>AA144/W144-1</f>
        <v>1.8538568593562843E-2</v>
      </c>
      <c r="AB127" s="42">
        <f>AB144/X144-1</f>
        <v>2.4363934661465692E-2</v>
      </c>
      <c r="AC127" s="42">
        <f>AC144/Y144-1</f>
        <v>-2.5581605265467822E-4</v>
      </c>
      <c r="AD127" s="42">
        <f>AD144/Z144-1</f>
        <v>2.8290971668309961E-2</v>
      </c>
    </row>
    <row r="128" spans="1:50">
      <c r="D128" s="7"/>
      <c r="L128" s="42">
        <f>L127/K127-1</f>
        <v>9.4596807547511652E-2</v>
      </c>
      <c r="M128" s="42">
        <f>M127/L127-1</f>
        <v>-1</v>
      </c>
      <c r="N128" s="42" t="e">
        <f>N127/M127-1</f>
        <v>#DIV/0!</v>
      </c>
      <c r="AW128" s="23" t="s">
        <v>518</v>
      </c>
      <c r="AX128" s="23" t="s">
        <v>517</v>
      </c>
    </row>
    <row r="129" spans="4:50">
      <c r="D129" s="7"/>
      <c r="E129" s="9"/>
      <c r="F129" s="10" t="s">
        <v>116</v>
      </c>
      <c r="G129" s="10" t="s">
        <v>117</v>
      </c>
      <c r="H129" s="10" t="s">
        <v>118</v>
      </c>
      <c r="I129" s="10" t="s">
        <v>119</v>
      </c>
      <c r="J129" s="10" t="s">
        <v>120</v>
      </c>
      <c r="K129" s="10" t="s">
        <v>121</v>
      </c>
      <c r="L129" s="10" t="s">
        <v>122</v>
      </c>
      <c r="M129" s="10" t="s">
        <v>123</v>
      </c>
      <c r="N129" s="10" t="s">
        <v>102</v>
      </c>
      <c r="O129" s="10" t="s">
        <v>103</v>
      </c>
      <c r="P129" s="10" t="s">
        <v>104</v>
      </c>
      <c r="Q129" s="10" t="s">
        <v>105</v>
      </c>
      <c r="R129" s="10" t="s">
        <v>106</v>
      </c>
      <c r="S129" s="10" t="s">
        <v>107</v>
      </c>
      <c r="T129" s="10" t="s">
        <v>108</v>
      </c>
      <c r="U129" s="10" t="s">
        <v>109</v>
      </c>
      <c r="V129" s="10" t="s">
        <v>110</v>
      </c>
      <c r="W129" s="10" t="s">
        <v>111</v>
      </c>
      <c r="X129" s="10" t="s">
        <v>112</v>
      </c>
      <c r="Y129" s="10" t="s">
        <v>113</v>
      </c>
      <c r="Z129" s="10" t="s">
        <v>114</v>
      </c>
      <c r="AA129" s="10" t="s">
        <v>115</v>
      </c>
      <c r="AB129" s="10" t="s">
        <v>124</v>
      </c>
      <c r="AC129" s="10" t="s">
        <v>125</v>
      </c>
      <c r="AD129" s="10" t="s">
        <v>126</v>
      </c>
      <c r="AE129" s="10" t="s">
        <v>127</v>
      </c>
      <c r="AF129" s="10" t="s">
        <v>128</v>
      </c>
      <c r="AG129" s="10" t="s">
        <v>129</v>
      </c>
      <c r="AH129" s="10" t="s">
        <v>130</v>
      </c>
      <c r="AI129" s="10" t="s">
        <v>131</v>
      </c>
      <c r="AJ129" s="10" t="s">
        <v>132</v>
      </c>
      <c r="AK129" s="10" t="s">
        <v>133</v>
      </c>
      <c r="AL129" s="10" t="s">
        <v>134</v>
      </c>
      <c r="AM129" s="10" t="s">
        <v>135</v>
      </c>
      <c r="AN129" s="10" t="s">
        <v>136</v>
      </c>
      <c r="AO129" s="10" t="s">
        <v>137</v>
      </c>
      <c r="AP129" s="10" t="s">
        <v>138</v>
      </c>
      <c r="AQ129" s="10" t="s">
        <v>139</v>
      </c>
      <c r="AR129" s="10" t="s">
        <v>140</v>
      </c>
      <c r="AS129" s="10" t="s">
        <v>141</v>
      </c>
      <c r="AT129" s="10" t="s">
        <v>142</v>
      </c>
      <c r="AU129" s="10" t="s">
        <v>143</v>
      </c>
      <c r="AV129" s="10" t="s">
        <v>144</v>
      </c>
      <c r="AW129" s="10" t="s">
        <v>145</v>
      </c>
    </row>
    <row r="130" spans="4:50">
      <c r="D130" s="27"/>
      <c r="E130" s="545" t="str">
        <f>'Datacom equip'!B8</f>
        <v>Arista Networks</v>
      </c>
      <c r="F130" s="40"/>
      <c r="G130" s="40"/>
      <c r="H130" s="40"/>
      <c r="I130" s="40"/>
      <c r="J130" s="40"/>
      <c r="K130" s="40"/>
      <c r="L130" s="40"/>
      <c r="M130" s="40"/>
      <c r="N130" s="40"/>
      <c r="O130" s="40"/>
      <c r="P130" s="40"/>
      <c r="Q130" s="40"/>
      <c r="R130" s="39">
        <v>6.1348E-2</v>
      </c>
      <c r="S130" s="39">
        <v>8.3500000000000005E-2</v>
      </c>
      <c r="T130" s="39">
        <v>0.10162499999999999</v>
      </c>
      <c r="U130" s="39">
        <v>0.11476600000000001</v>
      </c>
      <c r="V130" s="39">
        <v>0.11720699999999999</v>
      </c>
      <c r="W130" s="39">
        <v>0.13789999999999999</v>
      </c>
      <c r="X130" s="39">
        <v>0.15546299999999999</v>
      </c>
      <c r="Y130" s="333">
        <v>0.173489</v>
      </c>
      <c r="Z130" s="333">
        <v>0.17899999999999999</v>
      </c>
      <c r="AA130" s="333">
        <v>0.195552</v>
      </c>
      <c r="AB130" s="333">
        <v>0.2175</v>
      </c>
      <c r="AC130" s="333">
        <v>0.245446</v>
      </c>
      <c r="AD130" s="725">
        <v>0.2422</v>
      </c>
      <c r="AE130" s="725">
        <v>0.26874100000000001</v>
      </c>
      <c r="AF130" s="725">
        <v>0.29026100000000005</v>
      </c>
      <c r="AG130" s="725">
        <v>0.32796900000000001</v>
      </c>
      <c r="AH130" s="725">
        <v>0.33547500000000002</v>
      </c>
      <c r="AI130" s="725">
        <v>0.4052</v>
      </c>
      <c r="AJ130" s="725">
        <v>0.43763299999999999</v>
      </c>
      <c r="AK130" s="725">
        <v>0.46800000000000003</v>
      </c>
      <c r="AL130" s="624">
        <f>'Datacom equip'!K8/10^3</f>
        <v>0</v>
      </c>
      <c r="AM130" s="624">
        <f>'Datacom equip'!L8/10^3</f>
        <v>0</v>
      </c>
      <c r="AN130" s="624">
        <f>'Datacom equip'!M8/10^3</f>
        <v>0</v>
      </c>
      <c r="AO130" s="624">
        <f>'Datacom equip'!N8/10^3</f>
        <v>0</v>
      </c>
      <c r="AP130" s="624">
        <f>'Datacom equip'!O8/10^3</f>
        <v>0</v>
      </c>
      <c r="AQ130" s="624">
        <f>'Datacom equip'!P8/10^3</f>
        <v>0</v>
      </c>
      <c r="AR130" s="624">
        <f>'Datacom equip'!Q8/10^3</f>
        <v>0</v>
      </c>
      <c r="AS130" s="624">
        <f>'Datacom equip'!R8/10^3</f>
        <v>0</v>
      </c>
      <c r="AT130" s="624">
        <f>'Datacom equip'!S8/10^3</f>
        <v>0</v>
      </c>
      <c r="AU130" s="624">
        <f>'Datacom equip'!T8/10^3</f>
        <v>0</v>
      </c>
      <c r="AV130" s="624">
        <f>'Datacom equip'!U8/10^3</f>
        <v>0</v>
      </c>
      <c r="AW130" s="332" t="e">
        <f>AV130/AR130-1</f>
        <v>#DIV/0!</v>
      </c>
    </row>
    <row r="131" spans="4:50">
      <c r="D131" s="27"/>
      <c r="E131" s="86" t="str">
        <f>'Datacom equip'!B9</f>
        <v>Brocade</v>
      </c>
      <c r="F131" s="39">
        <v>0.501</v>
      </c>
      <c r="G131" s="39">
        <v>0.50349999999999995</v>
      </c>
      <c r="H131" s="39">
        <v>0.55000000000000004</v>
      </c>
      <c r="I131" s="39">
        <v>0.54</v>
      </c>
      <c r="J131" s="39">
        <v>0.54800000000000004</v>
      </c>
      <c r="K131" s="39">
        <v>0.50249999999999995</v>
      </c>
      <c r="L131" s="39">
        <v>0.55000000000000004</v>
      </c>
      <c r="M131" s="39">
        <v>0.56100000000000005</v>
      </c>
      <c r="N131" s="39">
        <v>0.54300000000000004</v>
      </c>
      <c r="O131" s="39">
        <v>0.55500000000000005</v>
      </c>
      <c r="P131" s="39">
        <v>0.57799999999999996</v>
      </c>
      <c r="Q131" s="39">
        <v>0.58872900000000006</v>
      </c>
      <c r="R131" s="39">
        <v>0.53900000000000003</v>
      </c>
      <c r="S131" s="39">
        <v>0.53700000000000003</v>
      </c>
      <c r="T131" s="39">
        <v>0.55900000000000005</v>
      </c>
      <c r="U131" s="39">
        <v>0.56499999999999995</v>
      </c>
      <c r="V131" s="39">
        <v>0.53700000000000003</v>
      </c>
      <c r="W131" s="39">
        <v>0.54500000000000004</v>
      </c>
      <c r="X131" s="39">
        <v>0.56399999999999995</v>
      </c>
      <c r="Y131" s="333">
        <v>0.57599999999999996</v>
      </c>
      <c r="Z131" s="333">
        <v>0.54700000000000004</v>
      </c>
      <c r="AA131" s="333">
        <v>0.55200000000000005</v>
      </c>
      <c r="AB131" s="333">
        <v>0.58899999999999997</v>
      </c>
      <c r="AC131" s="333">
        <v>0.57399999999999995</v>
      </c>
      <c r="AD131" s="725">
        <v>0.52330600000000005</v>
      </c>
      <c r="AE131" s="725">
        <v>0.59072100000000005</v>
      </c>
      <c r="AF131" s="725">
        <v>0.65729899999999997</v>
      </c>
      <c r="AG131" s="725">
        <v>0.58146299999999995</v>
      </c>
      <c r="AH131" s="725">
        <v>0.55275300000000005</v>
      </c>
      <c r="AI131" s="725">
        <v>0.54900000000000004</v>
      </c>
      <c r="AJ131" s="725" t="s">
        <v>406</v>
      </c>
      <c r="AK131" s="726"/>
      <c r="AL131" s="625"/>
      <c r="AM131" s="625"/>
      <c r="AN131" s="625"/>
      <c r="AO131" s="625"/>
      <c r="AP131" s="625"/>
      <c r="AQ131" s="625"/>
      <c r="AR131" s="625"/>
      <c r="AS131" s="625"/>
      <c r="AT131" s="625"/>
      <c r="AU131" s="625"/>
      <c r="AV131" s="625"/>
      <c r="AW131" s="332"/>
    </row>
    <row r="132" spans="4:50">
      <c r="D132" s="27"/>
      <c r="E132" s="86" t="str">
        <f>'Datacom equip'!B10</f>
        <v>Cisco - Switches, Routers, Data Ctr.</v>
      </c>
      <c r="F132" s="39">
        <v>5.3710000000000004</v>
      </c>
      <c r="G132" s="39">
        <v>5.3339999999999996</v>
      </c>
      <c r="H132" s="39">
        <v>5.367</v>
      </c>
      <c r="I132" s="39">
        <v>4.8230000000000004</v>
      </c>
      <c r="J132" s="39">
        <v>5.1589999999999998</v>
      </c>
      <c r="K132" s="39">
        <v>5.0999999999999996</v>
      </c>
      <c r="L132" s="39">
        <v>5.7830000000000004</v>
      </c>
      <c r="M132" s="39">
        <v>5.6840000000000002</v>
      </c>
      <c r="N132" s="39">
        <v>6.0780000000000003</v>
      </c>
      <c r="O132" s="39">
        <v>6.117</v>
      </c>
      <c r="P132" s="39">
        <v>6.085</v>
      </c>
      <c r="Q132" s="39">
        <v>6.218</v>
      </c>
      <c r="R132" s="39">
        <v>6.2530000000000001</v>
      </c>
      <c r="S132" s="39">
        <v>6.4880000000000004</v>
      </c>
      <c r="T132" s="39">
        <v>6.3979999999999997</v>
      </c>
      <c r="U132" s="39">
        <v>5.617</v>
      </c>
      <c r="V132" s="39">
        <v>5.9779999999999998</v>
      </c>
      <c r="W132" s="39">
        <v>6.3650000000000002</v>
      </c>
      <c r="X132" s="39">
        <v>6.4880000000000004</v>
      </c>
      <c r="Y132" s="39">
        <v>6.226</v>
      </c>
      <c r="Z132" s="39">
        <v>6.36</v>
      </c>
      <c r="AA132" s="39">
        <v>6.5910000000000002</v>
      </c>
      <c r="AB132" s="39">
        <v>6.6740000000000004</v>
      </c>
      <c r="AC132" s="39">
        <v>6.15</v>
      </c>
      <c r="AD132" s="382">
        <v>6.1520000000000001</v>
      </c>
      <c r="AE132" s="382">
        <v>6.5430000000000001</v>
      </c>
      <c r="AF132" s="382">
        <v>6.6390000000000002</v>
      </c>
      <c r="AG132" s="382">
        <v>5.9119999999999999</v>
      </c>
      <c r="AH132" s="382">
        <v>6.2880000000000003</v>
      </c>
      <c r="AI132" s="382">
        <v>6.1689999999999996</v>
      </c>
      <c r="AJ132" s="382">
        <v>6.97</v>
      </c>
      <c r="AK132" s="382">
        <v>6.694</v>
      </c>
      <c r="AL132" s="626">
        <f>'Datacom equip'!K10/10^3</f>
        <v>0</v>
      </c>
      <c r="AM132" s="626">
        <f>'Datacom equip'!L10/10^3</f>
        <v>0</v>
      </c>
      <c r="AN132" s="626">
        <f>'Datacom equip'!M10/10^3</f>
        <v>0</v>
      </c>
      <c r="AO132" s="626">
        <f>'Datacom equip'!N10/10^3</f>
        <v>0</v>
      </c>
      <c r="AP132" s="626">
        <f>'Datacom equip'!O10/10^3</f>
        <v>0</v>
      </c>
      <c r="AQ132" s="626">
        <f>'Datacom equip'!P10/10^3</f>
        <v>0</v>
      </c>
      <c r="AR132" s="626">
        <f>'Datacom equip'!Q10/10^3</f>
        <v>0</v>
      </c>
      <c r="AS132" s="626">
        <f>'Datacom equip'!R10/10^3</f>
        <v>0</v>
      </c>
      <c r="AT132" s="626">
        <f>'Datacom equip'!S10/10^3</f>
        <v>0</v>
      </c>
      <c r="AU132" s="626">
        <f>'Datacom equip'!T10/10^3</f>
        <v>0</v>
      </c>
      <c r="AV132" s="626">
        <f>'Datacom equip'!U10/10^3</f>
        <v>0</v>
      </c>
      <c r="AX132" s="332" t="e">
        <f>AV132/AR132-1</f>
        <v>#DIV/0!</v>
      </c>
    </row>
    <row r="133" spans="4:50">
      <c r="D133" s="27"/>
      <c r="E133" s="86" t="str">
        <f>'Datacom equip'!B11</f>
        <v>Dell Infrastructure Solutions Group</v>
      </c>
      <c r="F133" s="39">
        <v>4.3563140000000002</v>
      </c>
      <c r="G133" s="39">
        <v>4.5908549999999995</v>
      </c>
      <c r="H133" s="39">
        <v>4.5598749999999999</v>
      </c>
      <c r="I133" s="39">
        <v>5.2212430000000003</v>
      </c>
      <c r="J133" s="39">
        <v>4.8358909999999993</v>
      </c>
      <c r="K133" s="39">
        <v>4.9865869999999992</v>
      </c>
      <c r="L133" s="39">
        <v>5.0117219999999998</v>
      </c>
      <c r="M133" s="39">
        <v>5.5350000000000001</v>
      </c>
      <c r="N133" s="39">
        <v>4.8979999999999997</v>
      </c>
      <c r="O133" s="39">
        <v>5.2670000000000003</v>
      </c>
      <c r="P133" s="39">
        <v>5.1280000000000001</v>
      </c>
      <c r="Q133" s="39">
        <v>5.9820000000000002</v>
      </c>
      <c r="R133" s="39">
        <v>5.5650000000000004</v>
      </c>
      <c r="S133" s="39">
        <v>5.9009999999999998</v>
      </c>
      <c r="T133" s="39">
        <v>5.83</v>
      </c>
      <c r="U133" s="39">
        <v>6.71</v>
      </c>
      <c r="V133" s="39">
        <v>5.8019999999999996</v>
      </c>
      <c r="W133" s="39">
        <v>6.101</v>
      </c>
      <c r="X133" s="39">
        <v>6.1950000000000003</v>
      </c>
      <c r="Y133" s="39">
        <v>6.9880000000000004</v>
      </c>
      <c r="Z133" s="39">
        <v>5.8810000000000002</v>
      </c>
      <c r="AA133" s="39">
        <v>6.3090000000000002</v>
      </c>
      <c r="AB133" s="39">
        <v>6.1349999999999998</v>
      </c>
      <c r="AC133" s="39">
        <v>6.883</v>
      </c>
      <c r="AD133" s="382">
        <v>5.5730000000000004</v>
      </c>
      <c r="AE133" s="382">
        <v>5.8</v>
      </c>
      <c r="AF133" s="382">
        <v>5.9889999999999999</v>
      </c>
      <c r="AG133" s="382">
        <v>8.3949999999999996</v>
      </c>
      <c r="AH133" s="382">
        <v>6.9219999999999997</v>
      </c>
      <c r="AI133" s="382">
        <v>7.4</v>
      </c>
      <c r="AJ133" s="382">
        <v>7.5179999999999998</v>
      </c>
      <c r="AK133" s="382">
        <v>8.8119999999999994</v>
      </c>
      <c r="AL133" s="626">
        <f>'Datacom equip'!K11/1000</f>
        <v>0</v>
      </c>
      <c r="AM133" s="626">
        <f>'Datacom equip'!L11/1000</f>
        <v>0</v>
      </c>
      <c r="AN133" s="626">
        <f>'Datacom equip'!M11/1000</f>
        <v>0</v>
      </c>
      <c r="AO133" s="626">
        <f>'Datacom equip'!N11/1000</f>
        <v>0</v>
      </c>
      <c r="AP133" s="626">
        <f>'Datacom equip'!O11/1000</f>
        <v>0</v>
      </c>
      <c r="AQ133" s="626">
        <f>'Datacom equip'!P11/1000</f>
        <v>0</v>
      </c>
      <c r="AR133" s="626">
        <f>'Datacom equip'!Q11/1000</f>
        <v>0</v>
      </c>
      <c r="AS133" s="626">
        <f>'Datacom equip'!R11/1000</f>
        <v>0</v>
      </c>
      <c r="AT133" s="626">
        <f>'Datacom equip'!S11/1000</f>
        <v>0</v>
      </c>
      <c r="AU133" s="626">
        <f>'Datacom equip'!T11/1000</f>
        <v>0</v>
      </c>
      <c r="AV133" s="626">
        <f>'Datacom equip'!U11/1000</f>
        <v>0</v>
      </c>
      <c r="AX133" s="332" t="e">
        <f>AV133/AR133-1</f>
        <v>#DIV/0!</v>
      </c>
    </row>
    <row r="134" spans="4:50">
      <c r="E134" s="86" t="s">
        <v>394</v>
      </c>
      <c r="F134" s="686"/>
      <c r="V134" s="39">
        <v>0.143674</v>
      </c>
      <c r="W134" s="39">
        <v>0.15687200000000001</v>
      </c>
      <c r="X134" s="39">
        <v>0.13704</v>
      </c>
      <c r="Y134" s="39">
        <v>0.14797399999999999</v>
      </c>
      <c r="Z134" s="39">
        <v>0.12035599999999999</v>
      </c>
      <c r="AA134" s="39">
        <v>0.15063399999999999</v>
      </c>
      <c r="AB134" s="39">
        <v>0.124958</v>
      </c>
      <c r="AC134" s="39">
        <v>0.139682</v>
      </c>
      <c r="AD134" s="382">
        <v>0.124958</v>
      </c>
      <c r="AE134" s="382">
        <v>0.13999600000000001</v>
      </c>
      <c r="AF134" s="382">
        <v>0.122642</v>
      </c>
      <c r="AG134" s="382">
        <v>0.14809999999999998</v>
      </c>
      <c r="AH134" s="382">
        <v>0.1487</v>
      </c>
      <c r="AI134" s="382">
        <v>0.1787</v>
      </c>
      <c r="AJ134" s="382">
        <v>0.2117</v>
      </c>
      <c r="AK134" s="382">
        <v>0.23100000000000001</v>
      </c>
      <c r="AL134" s="626">
        <f>'Datacom equip'!K12/10^3</f>
        <v>0</v>
      </c>
      <c r="AM134" s="626">
        <f>'Datacom equip'!L12/10^3</f>
        <v>0</v>
      </c>
      <c r="AN134" s="626">
        <f>'Datacom equip'!M12/10^3</f>
        <v>0</v>
      </c>
      <c r="AO134" s="626">
        <f>'Datacom equip'!N12/10^3</f>
        <v>0</v>
      </c>
      <c r="AP134" s="626">
        <f>'Datacom equip'!O12/10^3</f>
        <v>0</v>
      </c>
      <c r="AQ134" s="626">
        <f>'Datacom equip'!P12/10^3</f>
        <v>0</v>
      </c>
      <c r="AR134" s="626">
        <f>'Datacom equip'!Q12/10^3</f>
        <v>0</v>
      </c>
      <c r="AS134" s="626">
        <f>'Datacom equip'!R12/10^3</f>
        <v>0</v>
      </c>
      <c r="AT134" s="626">
        <f>'Datacom equip'!S12/10^3</f>
        <v>0</v>
      </c>
      <c r="AU134" s="626">
        <f>'Datacom equip'!T12/10^3</f>
        <v>0</v>
      </c>
      <c r="AV134" s="626">
        <f>'Datacom equip'!U12/10^3</f>
        <v>0</v>
      </c>
      <c r="AW134" s="332" t="e">
        <f>AV134/AR134-1</f>
        <v>#DIV/0!</v>
      </c>
    </row>
    <row r="135" spans="4:50">
      <c r="E135" s="86" t="s">
        <v>447</v>
      </c>
      <c r="F135" s="687">
        <v>0.1369368</v>
      </c>
      <c r="G135" s="687">
        <v>0.15244460000000004</v>
      </c>
      <c r="H135" s="687">
        <v>0.15990359999999992</v>
      </c>
      <c r="I135" s="687">
        <v>0.20411500000000002</v>
      </c>
      <c r="J135" s="687">
        <v>0.1712304</v>
      </c>
      <c r="K135" s="687">
        <v>0.1928849</v>
      </c>
      <c r="L135" s="687">
        <v>0.20325550000000003</v>
      </c>
      <c r="M135" s="687">
        <v>0.2660211999999999</v>
      </c>
      <c r="N135" s="687">
        <v>0.18889080000000003</v>
      </c>
      <c r="O135" s="687">
        <v>0.23565519999999998</v>
      </c>
      <c r="P135" s="687">
        <v>0.26547700000000002</v>
      </c>
      <c r="Q135" s="687">
        <v>0.34757619999999984</v>
      </c>
      <c r="R135" s="687">
        <v>0.24437759999999997</v>
      </c>
      <c r="S135" s="687">
        <v>0.31236040000000009</v>
      </c>
      <c r="T135" s="687">
        <v>0.3719328999999999</v>
      </c>
      <c r="U135" s="687">
        <v>0.46179310000000023</v>
      </c>
      <c r="V135" s="333">
        <v>0.32810719999999993</v>
      </c>
      <c r="W135" s="333">
        <v>0.39323780000000008</v>
      </c>
      <c r="X135" s="333">
        <v>0.48600469999999996</v>
      </c>
      <c r="Y135" s="333">
        <v>0.60705629999999999</v>
      </c>
      <c r="Z135" s="333">
        <v>0.42558750000000001</v>
      </c>
      <c r="AA135" s="333">
        <v>0.50440600000000002</v>
      </c>
      <c r="AB135" s="333">
        <v>0.53337290000000004</v>
      </c>
      <c r="AC135" s="333">
        <v>0.62323859999999986</v>
      </c>
      <c r="AD135" s="382">
        <v>0.47000183475016816</v>
      </c>
      <c r="AE135" s="382">
        <v>0.94881571523299391</v>
      </c>
      <c r="AF135" s="382">
        <v>1.2469987765474533</v>
      </c>
      <c r="AG135" s="382">
        <v>1.3921759118819137</v>
      </c>
      <c r="AH135" s="382">
        <v>1.1291212781408857</v>
      </c>
      <c r="AI135" s="382">
        <v>1.33197970618285</v>
      </c>
      <c r="AJ135" s="382">
        <v>1.5908416149055347</v>
      </c>
      <c r="AK135" s="382">
        <v>1.8552858974671966</v>
      </c>
      <c r="AL135" s="626">
        <f>'Datacom equip'!K13/10^3</f>
        <v>0</v>
      </c>
      <c r="AM135" s="626">
        <f>'Datacom equip'!L13/10^3</f>
        <v>0</v>
      </c>
      <c r="AN135" s="626">
        <f>'Datacom equip'!M13/10^3</f>
        <v>0</v>
      </c>
      <c r="AO135" s="626">
        <f>'Datacom equip'!N13/10^3</f>
        <v>0</v>
      </c>
      <c r="AP135" s="626">
        <f>'Datacom equip'!O13/10^3</f>
        <v>0</v>
      </c>
      <c r="AQ135" s="626">
        <f>'Datacom equip'!P13/10^3</f>
        <v>0</v>
      </c>
      <c r="AR135" s="626">
        <f>'Datacom equip'!Q13/10^3</f>
        <v>0</v>
      </c>
      <c r="AS135" s="626">
        <f>'Datacom equip'!R13/10^3</f>
        <v>0</v>
      </c>
      <c r="AT135" s="626">
        <f>'Datacom equip'!S13/10^3</f>
        <v>0</v>
      </c>
      <c r="AU135" s="626">
        <f>'Datacom equip'!T13/10^3</f>
        <v>0</v>
      </c>
      <c r="AV135" s="626">
        <f>'Datacom equip'!U13/10^3</f>
        <v>0</v>
      </c>
      <c r="AX135" s="332" t="e">
        <f>AV135/AR135-1</f>
        <v>#DIV/0!</v>
      </c>
    </row>
    <row r="136" spans="4:50">
      <c r="D136" s="27"/>
      <c r="E136" s="86" t="str">
        <f>'Datacom equip'!B14</f>
        <v>HPE Hybrid IT</v>
      </c>
      <c r="F136" s="40"/>
      <c r="G136" s="40"/>
      <c r="H136" s="40"/>
      <c r="I136" s="39">
        <v>7.859</v>
      </c>
      <c r="J136" s="39">
        <v>7.8520000000000003</v>
      </c>
      <c r="K136" s="39">
        <v>7.7229999999999999</v>
      </c>
      <c r="L136" s="39">
        <v>8.0259999999999998</v>
      </c>
      <c r="M136" s="39">
        <v>7.282</v>
      </c>
      <c r="N136" s="39">
        <v>7.5460000000000003</v>
      </c>
      <c r="O136" s="39">
        <v>7.492</v>
      </c>
      <c r="P136" s="39">
        <v>7.4589999999999996</v>
      </c>
      <c r="Q136" s="39">
        <v>6.9480000000000004</v>
      </c>
      <c r="R136" s="39">
        <v>6.819</v>
      </c>
      <c r="S136" s="39">
        <v>6.7859999999999996</v>
      </c>
      <c r="T136" s="39">
        <v>7.5750000000000002</v>
      </c>
      <c r="U136" s="39">
        <v>6.9930000000000003</v>
      </c>
      <c r="V136" s="39">
        <v>6.657</v>
      </c>
      <c r="W136" s="39">
        <v>6.8940000000000001</v>
      </c>
      <c r="X136" s="39">
        <v>7.2480000000000002</v>
      </c>
      <c r="Y136" s="39">
        <v>6.9809999999999999</v>
      </c>
      <c r="Z136" s="39">
        <v>6.5609999999999999</v>
      </c>
      <c r="AA136" s="39">
        <v>7.0069999999999997</v>
      </c>
      <c r="AB136" s="39">
        <v>7.3579999999999997</v>
      </c>
      <c r="AC136" s="39">
        <v>7.1280000000000001</v>
      </c>
      <c r="AD136" s="382">
        <v>7.1589999999999998</v>
      </c>
      <c r="AE136" s="382">
        <v>6.476</v>
      </c>
      <c r="AF136" s="382">
        <v>6.6820000000000004</v>
      </c>
      <c r="AG136" s="382">
        <v>6.3250000000000002</v>
      </c>
      <c r="AH136" s="382">
        <v>6.2430000000000003</v>
      </c>
      <c r="AI136" s="382">
        <v>6.7910000000000004</v>
      </c>
      <c r="AJ136" s="382">
        <v>6.8520000000000003</v>
      </c>
      <c r="AK136" s="382">
        <v>6.9509999999999996</v>
      </c>
      <c r="AL136" s="626">
        <f>'Datacom equip'!K14/10^3</f>
        <v>0</v>
      </c>
      <c r="AM136" s="626">
        <f>'Datacom equip'!L14/10^3</f>
        <v>0</v>
      </c>
      <c r="AN136" s="626">
        <f>'Datacom equip'!M14/10^3</f>
        <v>0</v>
      </c>
      <c r="AO136" s="626">
        <f>'Datacom equip'!N14/10^3</f>
        <v>0</v>
      </c>
      <c r="AP136" s="626">
        <f>'Datacom equip'!O14/10^3</f>
        <v>0</v>
      </c>
      <c r="AQ136" s="626">
        <f>'Datacom equip'!P14/10^3</f>
        <v>0</v>
      </c>
      <c r="AR136" s="626">
        <f>'Datacom equip'!Q14/10^3</f>
        <v>0</v>
      </c>
      <c r="AS136" s="626">
        <f>'Datacom equip'!R14/10^3</f>
        <v>0</v>
      </c>
      <c r="AT136" s="626">
        <f>'Datacom equip'!S14/10^3</f>
        <v>0</v>
      </c>
      <c r="AU136" s="626">
        <f>'Datacom equip'!T14/10^3</f>
        <v>0</v>
      </c>
      <c r="AV136" s="626">
        <f>'Datacom equip'!U14/10^3</f>
        <v>0</v>
      </c>
      <c r="AX136" s="332" t="e">
        <f>AV136/AR136-1</f>
        <v>#DIV/0!</v>
      </c>
    </row>
    <row r="137" spans="4:50">
      <c r="D137" s="27"/>
      <c r="E137" s="86" t="str">
        <f>'Datacom equip'!B15</f>
        <v>IBM - Systems</v>
      </c>
      <c r="F137" s="39">
        <v>2.8095500000000002</v>
      </c>
      <c r="G137" s="39">
        <v>3.2677000000000005</v>
      </c>
      <c r="H137" s="39">
        <v>3.5465000000000004</v>
      </c>
      <c r="I137" s="39">
        <v>5.4618600000000006</v>
      </c>
      <c r="J137" s="39">
        <v>3.3759600000000005</v>
      </c>
      <c r="K137" s="39">
        <v>3.9320400000000002</v>
      </c>
      <c r="L137" s="39">
        <v>3.7350000000000003</v>
      </c>
      <c r="M137" s="39">
        <v>4.9880000000000013</v>
      </c>
      <c r="N137" s="39">
        <v>3.1491600000000002</v>
      </c>
      <c r="O137" s="39">
        <v>3.6627400000000003</v>
      </c>
      <c r="P137" s="39">
        <v>3.5054999999999996</v>
      </c>
      <c r="Q137" s="39">
        <v>5.0138100000000003</v>
      </c>
      <c r="R137" s="39">
        <v>2.7332800000000002</v>
      </c>
      <c r="S137" s="39">
        <v>3.3070399999999998</v>
      </c>
      <c r="T137" s="39">
        <v>2.7599500000000003</v>
      </c>
      <c r="U137" s="39">
        <v>3.8775099999999996</v>
      </c>
      <c r="V137" s="39">
        <v>2.0801699999999999</v>
      </c>
      <c r="W137" s="39">
        <v>2.9645900000000003</v>
      </c>
      <c r="X137" s="39">
        <v>2.3609800000000001</v>
      </c>
      <c r="Y137" s="333">
        <v>2.3097599999999998</v>
      </c>
      <c r="Z137" s="333">
        <v>1.6092299999999999</v>
      </c>
      <c r="AA137" s="333">
        <v>1.9962599999999999</v>
      </c>
      <c r="AB137" s="333">
        <v>1.4472400000000001</v>
      </c>
      <c r="AC137" s="333">
        <v>2.32456</v>
      </c>
      <c r="AD137" s="725">
        <v>1.675</v>
      </c>
      <c r="AE137" s="725">
        <v>1.95</v>
      </c>
      <c r="AF137" s="725">
        <v>1.5580000000000001</v>
      </c>
      <c r="AG137" s="725">
        <v>2.5299999999999998</v>
      </c>
      <c r="AH137" s="725">
        <v>1.395</v>
      </c>
      <c r="AI137" s="725">
        <v>1.7470000000000001</v>
      </c>
      <c r="AJ137" s="725">
        <v>1.7210000000000001</v>
      </c>
      <c r="AK137" s="725">
        <v>3.3319999999999999</v>
      </c>
      <c r="AL137" s="624">
        <f>'Datacom equip'!K15/10^3</f>
        <v>0</v>
      </c>
      <c r="AM137" s="624">
        <f>'Datacom equip'!L15/10^3</f>
        <v>0</v>
      </c>
      <c r="AN137" s="624">
        <f>'Datacom equip'!M15/10^3</f>
        <v>0</v>
      </c>
      <c r="AO137" s="624">
        <f>'Datacom equip'!N15/10^3</f>
        <v>0</v>
      </c>
      <c r="AP137" s="624">
        <f>'Datacom equip'!O15/10^3</f>
        <v>0</v>
      </c>
      <c r="AQ137" s="624">
        <f>'Datacom equip'!P15/10^3</f>
        <v>0</v>
      </c>
      <c r="AR137" s="624">
        <f>'Datacom equip'!Q15/10^3</f>
        <v>0</v>
      </c>
      <c r="AS137" s="624">
        <f>'Datacom equip'!R15/10^3</f>
        <v>0</v>
      </c>
      <c r="AT137" s="624">
        <f>'Datacom equip'!S15/10^3</f>
        <v>0</v>
      </c>
      <c r="AU137" s="624">
        <f>'Datacom equip'!T15/10^3</f>
        <v>0</v>
      </c>
      <c r="AV137" s="624">
        <f>'Datacom equip'!U15/10^3</f>
        <v>0</v>
      </c>
      <c r="AX137" s="332" t="e">
        <f>AV137/AR137-1</f>
        <v>#DIV/0!</v>
      </c>
    </row>
    <row r="138" spans="4:50">
      <c r="D138" s="27"/>
      <c r="E138" s="86" t="s">
        <v>446</v>
      </c>
      <c r="F138" s="333">
        <v>2.9552600000000002E-2</v>
      </c>
      <c r="G138" s="333">
        <v>4.0378800000000013E-2</v>
      </c>
      <c r="H138" s="333">
        <v>3.9366099999999987E-2</v>
      </c>
      <c r="I138" s="333">
        <v>5.2852500000000004E-2</v>
      </c>
      <c r="J138" s="333">
        <v>5.2978199999999996E-2</v>
      </c>
      <c r="K138" s="333">
        <v>4.92323E-2</v>
      </c>
      <c r="L138" s="333">
        <v>4.0877800000000006E-2</v>
      </c>
      <c r="M138" s="333">
        <v>5.0246099999999981E-2</v>
      </c>
      <c r="N138" s="333">
        <v>6.7551399999999998E-2</v>
      </c>
      <c r="O138" s="333">
        <v>0.12836860000000003</v>
      </c>
      <c r="P138" s="333">
        <v>0.10630060000000004</v>
      </c>
      <c r="Q138" s="333">
        <v>0.15020059999999996</v>
      </c>
      <c r="R138" s="333">
        <v>0.14478099999999999</v>
      </c>
      <c r="S138" s="333">
        <v>0.17705799999999999</v>
      </c>
      <c r="T138" s="333">
        <v>0.16818930000000001</v>
      </c>
      <c r="U138" s="333">
        <v>0.19932850000000002</v>
      </c>
      <c r="V138" s="333">
        <v>0.1828446</v>
      </c>
      <c r="W138" s="333">
        <v>0.28205819999999993</v>
      </c>
      <c r="X138" s="333">
        <v>0.3358854</v>
      </c>
      <c r="Y138" s="333">
        <v>0.38879139999999984</v>
      </c>
      <c r="Z138" s="333">
        <v>0.31053750000000002</v>
      </c>
      <c r="AA138" s="333">
        <v>0.36960699999999996</v>
      </c>
      <c r="AB138" s="333">
        <v>0.41722110000000034</v>
      </c>
      <c r="AC138" s="333">
        <v>0.4848592999999996</v>
      </c>
      <c r="AD138" s="725">
        <v>0.36633845024769124</v>
      </c>
      <c r="AE138" s="725">
        <v>0.52830653918925286</v>
      </c>
      <c r="AF138" s="725">
        <v>0.44374036470471401</v>
      </c>
      <c r="AG138" s="725">
        <v>0.51678049487349564</v>
      </c>
      <c r="AH138" s="725">
        <v>0.56238198983297027</v>
      </c>
      <c r="AI138" s="725">
        <v>0.76463222817650989</v>
      </c>
      <c r="AJ138" s="725">
        <v>1.1593028657674616</v>
      </c>
      <c r="AK138" s="725">
        <v>1.3672684380627742</v>
      </c>
      <c r="AL138" s="624">
        <f>'Datacom equip'!K16/10^3</f>
        <v>0</v>
      </c>
      <c r="AM138" s="624">
        <f>'Datacom equip'!L16/10^3</f>
        <v>0</v>
      </c>
      <c r="AN138" s="624">
        <f>'Datacom equip'!M16/10^3</f>
        <v>0</v>
      </c>
      <c r="AO138" s="624">
        <f>'Datacom equip'!N16/10^3</f>
        <v>0</v>
      </c>
      <c r="AP138" s="624">
        <f>'Datacom equip'!O16/10^3</f>
        <v>0</v>
      </c>
      <c r="AQ138" s="624">
        <f>'Datacom equip'!P16/10^3</f>
        <v>0</v>
      </c>
      <c r="AR138" s="624">
        <f>'Datacom equip'!Q16/10^3</f>
        <v>0</v>
      </c>
      <c r="AS138" s="624">
        <f>'Datacom equip'!R16/10^3</f>
        <v>0</v>
      </c>
      <c r="AT138" s="624">
        <f>'Datacom equip'!S16/10^3</f>
        <v>0</v>
      </c>
      <c r="AU138" s="624">
        <f>'Datacom equip'!T16/10^3</f>
        <v>0</v>
      </c>
      <c r="AV138" s="624">
        <f>'Datacom equip'!U16/10^3</f>
        <v>0</v>
      </c>
      <c r="AW138" s="332" t="e">
        <f>AV138/AR138-1</f>
        <v>#DIV/0!</v>
      </c>
    </row>
    <row r="139" spans="4:50">
      <c r="D139" s="27"/>
      <c r="E139" s="36" t="str">
        <f>'Datacom equip'!B17</f>
        <v>Juniper - Routers and Switches</v>
      </c>
      <c r="F139" s="40"/>
      <c r="G139" s="40"/>
      <c r="H139" s="40"/>
      <c r="I139" s="40"/>
      <c r="J139" s="39">
        <v>0.68340000000000001</v>
      </c>
      <c r="K139" s="39">
        <v>0.6977000000000001</v>
      </c>
      <c r="L139" s="39">
        <v>0.6463000000000001</v>
      </c>
      <c r="M139" s="39">
        <v>0.63439999999999996</v>
      </c>
      <c r="N139" s="39">
        <v>0.58110000000000006</v>
      </c>
      <c r="O139" s="39">
        <v>0.62729999999999997</v>
      </c>
      <c r="P139" s="39">
        <v>0.63370000000000004</v>
      </c>
      <c r="Q139" s="39">
        <v>0.65949999999999975</v>
      </c>
      <c r="R139" s="39">
        <v>0.61960000000000004</v>
      </c>
      <c r="S139" s="39">
        <v>0.73770000000000002</v>
      </c>
      <c r="T139" s="39">
        <v>0.7419</v>
      </c>
      <c r="U139" s="39">
        <v>0.80200000000000005</v>
      </c>
      <c r="V139" s="39">
        <v>0.7417999999999999</v>
      </c>
      <c r="W139" s="39">
        <v>0.81759999999999988</v>
      </c>
      <c r="X139" s="39">
        <v>0.68820000000000003</v>
      </c>
      <c r="Y139" s="333">
        <v>0.69750000000000001</v>
      </c>
      <c r="Z139" s="333">
        <v>0.67130000000000001</v>
      </c>
      <c r="AA139" s="333">
        <v>0.79259999999999986</v>
      </c>
      <c r="AB139" s="333">
        <v>0.80579999999999996</v>
      </c>
      <c r="AC139" s="333">
        <v>0.85780000000000001</v>
      </c>
      <c r="AD139" s="725">
        <v>0.68</v>
      </c>
      <c r="AE139" s="725">
        <v>0.78390000000000004</v>
      </c>
      <c r="AF139" s="725">
        <v>0.84199999999999997</v>
      </c>
      <c r="AG139" s="725">
        <v>0.90479999999999994</v>
      </c>
      <c r="AH139" s="725">
        <v>0.7632000000000001</v>
      </c>
      <c r="AI139" s="725">
        <v>0.84850000000000003</v>
      </c>
      <c r="AJ139" s="725">
        <v>0.79800000000000004</v>
      </c>
      <c r="AK139" s="725">
        <v>0.74299999999999999</v>
      </c>
      <c r="AL139" s="624">
        <f>'Datacom equip'!K17/10^3</f>
        <v>0</v>
      </c>
      <c r="AM139" s="624">
        <f>'Datacom equip'!L17/10^3</f>
        <v>0</v>
      </c>
      <c r="AN139" s="624">
        <f>'Datacom equip'!M17/10^3</f>
        <v>0</v>
      </c>
      <c r="AO139" s="624">
        <f>'Datacom equip'!N17/10^3</f>
        <v>0</v>
      </c>
      <c r="AP139" s="624">
        <f>'Datacom equip'!O17/10^3</f>
        <v>0</v>
      </c>
      <c r="AQ139" s="624">
        <f>'Datacom equip'!P17/10^3</f>
        <v>0</v>
      </c>
      <c r="AR139" s="624">
        <f>'Datacom equip'!Q17/10^3</f>
        <v>0</v>
      </c>
      <c r="AS139" s="624">
        <f>'Datacom equip'!R17/10^3</f>
        <v>0</v>
      </c>
      <c r="AT139" s="624">
        <f>'Datacom equip'!S17/10^3</f>
        <v>0</v>
      </c>
      <c r="AU139" s="624">
        <f>'Datacom equip'!T17/10^3</f>
        <v>0</v>
      </c>
      <c r="AV139" s="624">
        <f>'Datacom equip'!U17/10^3</f>
        <v>0</v>
      </c>
      <c r="AW139" s="332" t="e">
        <f>AV139/AR139-1</f>
        <v>#DIV/0!</v>
      </c>
    </row>
    <row r="140" spans="4:50">
      <c r="E140" s="36" t="str">
        <f>'Datacom equip'!B18</f>
        <v>Lenovo - Enterprise Group</v>
      </c>
      <c r="F140" s="40"/>
      <c r="G140" s="40"/>
      <c r="H140" s="40"/>
      <c r="I140" s="40"/>
      <c r="J140" s="40"/>
      <c r="K140" s="40"/>
      <c r="L140" s="40"/>
      <c r="M140" s="40"/>
      <c r="N140" s="40"/>
      <c r="O140" s="40"/>
      <c r="P140" s="40"/>
      <c r="Q140" s="40"/>
      <c r="R140" s="40"/>
      <c r="S140" s="40"/>
      <c r="T140" s="40"/>
      <c r="U140" s="40"/>
      <c r="V140" s="40"/>
      <c r="W140" s="40"/>
      <c r="X140" s="40"/>
      <c r="Y140" s="333">
        <v>1.222</v>
      </c>
      <c r="Z140" s="333">
        <v>1.1000000000000001</v>
      </c>
      <c r="AA140" s="333">
        <v>1.077</v>
      </c>
      <c r="AB140" s="333">
        <v>1.177</v>
      </c>
      <c r="AC140" s="333">
        <v>1.3</v>
      </c>
      <c r="AD140" s="725">
        <v>0.97899999999999998</v>
      </c>
      <c r="AE140" s="725">
        <v>1.0860000000000001</v>
      </c>
      <c r="AF140" s="725">
        <v>1.1000000000000001</v>
      </c>
      <c r="AG140" s="725">
        <v>1.05</v>
      </c>
      <c r="AH140" s="725">
        <v>0.85</v>
      </c>
      <c r="AI140" s="725">
        <v>0.76549999999999996</v>
      </c>
      <c r="AJ140" s="725">
        <v>0.96699999999999997</v>
      </c>
      <c r="AK140" s="725">
        <v>1.2</v>
      </c>
      <c r="AL140" s="624">
        <f>'Datacom equip'!K18/10^3</f>
        <v>0</v>
      </c>
      <c r="AM140" s="624">
        <f>'Datacom equip'!L18/10^3</f>
        <v>0</v>
      </c>
      <c r="AN140" s="624">
        <f>'Datacom equip'!M18/10^3</f>
        <v>0</v>
      </c>
      <c r="AO140" s="624">
        <f>'Datacom equip'!N18/10^3</f>
        <v>0</v>
      </c>
      <c r="AP140" s="624">
        <f>'Datacom equip'!O18/10^3</f>
        <v>0</v>
      </c>
      <c r="AQ140" s="624">
        <f>'Datacom equip'!P18/10^3</f>
        <v>0</v>
      </c>
      <c r="AR140" s="624">
        <f>'Datacom equip'!Q18/10^3</f>
        <v>0</v>
      </c>
      <c r="AS140" s="624">
        <f>'Datacom equip'!R18/10^3</f>
        <v>0</v>
      </c>
      <c r="AT140" s="624">
        <f>'Datacom equip'!S18/10^3</f>
        <v>0</v>
      </c>
      <c r="AU140" s="624">
        <f>'Datacom equip'!T18/10^3</f>
        <v>0</v>
      </c>
      <c r="AV140" s="624">
        <f>'Datacom equip'!U18/10^3</f>
        <v>0</v>
      </c>
      <c r="AX140" s="332" t="e">
        <f>AV140/AR140-1</f>
        <v>#DIV/0!</v>
      </c>
    </row>
    <row r="141" spans="4:50">
      <c r="D141" s="27"/>
      <c r="E141" s="86" t="str">
        <f>'Datacom equip'!B19</f>
        <v>Mellanox</v>
      </c>
      <c r="F141" s="40"/>
      <c r="G141" s="40"/>
      <c r="H141" s="40"/>
      <c r="I141" s="40"/>
      <c r="J141" s="39">
        <v>6.1200000000000004E-2</v>
      </c>
      <c r="K141" s="39">
        <v>6.3299999999999995E-2</v>
      </c>
      <c r="L141" s="39">
        <v>6.8199999999999997E-2</v>
      </c>
      <c r="M141" s="39">
        <v>7.2700000000000001E-2</v>
      </c>
      <c r="N141" s="39">
        <v>8.8700000000000001E-2</v>
      </c>
      <c r="O141" s="39">
        <v>0.13350000000000001</v>
      </c>
      <c r="P141" s="39">
        <v>0.1565</v>
      </c>
      <c r="Q141" s="39">
        <v>0.1221</v>
      </c>
      <c r="R141" s="39">
        <v>8.3099999999999993E-2</v>
      </c>
      <c r="S141" s="39">
        <v>9.820000000000001E-2</v>
      </c>
      <c r="T141" s="39">
        <v>0.1041</v>
      </c>
      <c r="U141" s="39">
        <v>0.1055</v>
      </c>
      <c r="V141" s="39">
        <v>9.8699999999999996E-2</v>
      </c>
      <c r="W141" s="39">
        <v>0.1026</v>
      </c>
      <c r="X141" s="39">
        <v>0.1207</v>
      </c>
      <c r="Y141" s="333">
        <v>0.1411</v>
      </c>
      <c r="Z141" s="333">
        <v>0.146675</v>
      </c>
      <c r="AA141" s="333">
        <v>0.16309999999999999</v>
      </c>
      <c r="AB141" s="333">
        <v>0.1714</v>
      </c>
      <c r="AC141" s="333">
        <v>0.1769</v>
      </c>
      <c r="AD141" s="725">
        <v>0.1968</v>
      </c>
      <c r="AE141" s="725">
        <v>0.21480000000000002</v>
      </c>
      <c r="AF141" s="725">
        <v>0.22419999999999998</v>
      </c>
      <c r="AG141" s="725">
        <v>0.22169999999999998</v>
      </c>
      <c r="AH141" s="725">
        <v>0.18865100000000001</v>
      </c>
      <c r="AI141" s="725">
        <v>0.21199999999999999</v>
      </c>
      <c r="AJ141" s="725">
        <v>0.22600000000000001</v>
      </c>
      <c r="AK141" s="725">
        <v>0.23799999999999999</v>
      </c>
      <c r="AL141" s="624">
        <f>'Datacom equip'!K19/10^3</f>
        <v>0</v>
      </c>
      <c r="AM141" s="624">
        <f>'Datacom equip'!L19/10^3</f>
        <v>0</v>
      </c>
      <c r="AN141" s="624">
        <f>'Datacom equip'!M19/10^3</f>
        <v>0</v>
      </c>
      <c r="AO141" s="624">
        <f>'Datacom equip'!N19/10^3</f>
        <v>0</v>
      </c>
      <c r="AP141" s="624">
        <f>'Datacom equip'!O19/10^3</f>
        <v>0</v>
      </c>
      <c r="AQ141" s="624">
        <f>'Datacom equip'!P19/10^3</f>
        <v>0</v>
      </c>
      <c r="AR141" s="624">
        <f>'Datacom equip'!Q19/10^3</f>
        <v>0</v>
      </c>
      <c r="AS141" s="624">
        <f>'Datacom equip'!R19/10^3</f>
        <v>0</v>
      </c>
      <c r="AT141" s="624">
        <f>'Datacom equip'!S19/10^3</f>
        <v>0</v>
      </c>
      <c r="AU141" s="624" t="s">
        <v>620</v>
      </c>
      <c r="AV141" s="332"/>
      <c r="AW141" s="332"/>
    </row>
    <row r="142" spans="4:50">
      <c r="E142" s="86" t="s">
        <v>407</v>
      </c>
      <c r="F142" s="39">
        <v>0.75879999999999992</v>
      </c>
      <c r="G142" s="39">
        <v>0.73750000000000004</v>
      </c>
      <c r="H142" s="39">
        <v>0.82479999999999998</v>
      </c>
      <c r="I142" s="39">
        <v>0.81859999999999999</v>
      </c>
      <c r="J142" s="39">
        <v>0.96050000000000002</v>
      </c>
      <c r="K142" s="39">
        <v>0.9657</v>
      </c>
      <c r="L142" s="39">
        <v>1.0162</v>
      </c>
      <c r="M142" s="39">
        <v>1.0629999999999999</v>
      </c>
      <c r="N142" s="39">
        <v>1.165</v>
      </c>
      <c r="O142" s="39">
        <v>0.89800000000000002</v>
      </c>
      <c r="P142" s="39">
        <v>0.99579999999999991</v>
      </c>
      <c r="Q142" s="39">
        <v>1.0607</v>
      </c>
      <c r="R142" s="39">
        <v>1.1377999999999999</v>
      </c>
      <c r="S142" s="39">
        <v>0.93079999999999996</v>
      </c>
      <c r="T142" s="39">
        <v>0.95499999999999996</v>
      </c>
      <c r="U142" s="39">
        <v>1.0149999999999999</v>
      </c>
      <c r="V142" s="39">
        <v>1.0429999999999999</v>
      </c>
      <c r="W142" s="39">
        <v>0.88260000000000005</v>
      </c>
      <c r="X142" s="39">
        <v>0.92910000000000004</v>
      </c>
      <c r="Y142" s="39">
        <v>0.92949999999999999</v>
      </c>
      <c r="Z142" s="39">
        <v>0.91339999999999999</v>
      </c>
      <c r="AA142" s="39">
        <v>0.66400000000000003</v>
      </c>
      <c r="AB142" s="39">
        <v>0.81499999999999995</v>
      </c>
      <c r="AC142" s="39">
        <v>0.75</v>
      </c>
      <c r="AD142" s="382">
        <v>0.75700000000000001</v>
      </c>
      <c r="AE142" s="382">
        <v>0.66</v>
      </c>
      <c r="AF142" s="382">
        <v>0.71</v>
      </c>
      <c r="AG142" s="382">
        <v>0.78400000000000003</v>
      </c>
      <c r="AH142" s="382">
        <v>0.85199999999999998</v>
      </c>
      <c r="AI142" s="382">
        <v>0.72299999999999998</v>
      </c>
      <c r="AJ142" s="382">
        <v>0.80700000000000005</v>
      </c>
      <c r="AK142" s="382">
        <v>0.92</v>
      </c>
      <c r="AL142" s="626">
        <f>'Datacom equip'!K20/1000</f>
        <v>0</v>
      </c>
      <c r="AM142" s="626">
        <f>'Datacom equip'!L20/1000</f>
        <v>0</v>
      </c>
      <c r="AN142" s="626">
        <f>'Datacom equip'!M20/1000</f>
        <v>0</v>
      </c>
      <c r="AO142" s="626">
        <f>'Datacom equip'!N20/1000</f>
        <v>0</v>
      </c>
      <c r="AP142" s="626">
        <f>'Datacom equip'!O20/1000</f>
        <v>0</v>
      </c>
      <c r="AQ142" s="626">
        <f>'Datacom equip'!P20/1000</f>
        <v>0</v>
      </c>
      <c r="AR142" s="626">
        <f>'Datacom equip'!Q20/1000</f>
        <v>0</v>
      </c>
      <c r="AS142" s="626">
        <f>'Datacom equip'!R20/1000</f>
        <v>0</v>
      </c>
      <c r="AT142" s="626">
        <f>'Datacom equip'!S20/1000</f>
        <v>0</v>
      </c>
      <c r="AU142" s="626">
        <f>'Datacom equip'!T20/1000</f>
        <v>0</v>
      </c>
      <c r="AV142" s="626">
        <f>'Datacom equip'!U20/1000</f>
        <v>0</v>
      </c>
      <c r="AW142" s="332" t="e">
        <f>AV142/AR142-1</f>
        <v>#DIV/0!</v>
      </c>
    </row>
    <row r="143" spans="4:50">
      <c r="D143" s="27"/>
      <c r="E143" s="86" t="s">
        <v>297</v>
      </c>
      <c r="F143" s="39"/>
      <c r="G143" s="39"/>
      <c r="H143" s="39"/>
      <c r="I143" s="39"/>
      <c r="J143" s="39">
        <v>1.0349999999999999</v>
      </c>
      <c r="K143" s="39">
        <v>1.157</v>
      </c>
      <c r="L143" s="39">
        <v>1.0289999999999999</v>
      </c>
      <c r="M143" s="39">
        <v>0.95299999999999996</v>
      </c>
      <c r="N143" s="39">
        <v>0.86899999999999999</v>
      </c>
      <c r="O143" s="39">
        <v>0.97699999999999998</v>
      </c>
      <c r="P143" s="39">
        <v>0.77900000000000003</v>
      </c>
      <c r="Q143" s="39">
        <v>0.73399999999999999</v>
      </c>
      <c r="R143" s="39">
        <v>0.67100000000000004</v>
      </c>
      <c r="S143" s="39">
        <v>0.84899999999999998</v>
      </c>
      <c r="T143" s="39">
        <v>0.66900000000000004</v>
      </c>
      <c r="U143" s="39">
        <v>0.71399999999999997</v>
      </c>
      <c r="V143" s="39">
        <v>0.72499999999999998</v>
      </c>
      <c r="W143" s="39">
        <v>0.87</v>
      </c>
      <c r="X143" s="39">
        <v>0.57799999999999996</v>
      </c>
      <c r="Y143" s="333">
        <v>0.71699999999999997</v>
      </c>
      <c r="Z143" s="333">
        <v>0.71199999999999997</v>
      </c>
      <c r="AA143" s="333">
        <v>0.81799999999999995</v>
      </c>
      <c r="AB143" s="333">
        <v>0.56999999999999995</v>
      </c>
      <c r="AC143" s="333">
        <v>0.57299999999999995</v>
      </c>
      <c r="AD143" s="725">
        <v>0.60399999999999998</v>
      </c>
      <c r="AE143" s="725">
        <v>0.72499999999999998</v>
      </c>
      <c r="AF143" s="725">
        <v>0.996</v>
      </c>
      <c r="AG143" s="725">
        <v>1.014</v>
      </c>
      <c r="AH143" s="725">
        <v>1.028</v>
      </c>
      <c r="AI143" s="725">
        <v>1.1140000000000001</v>
      </c>
      <c r="AJ143" s="725">
        <v>0.94299999999999995</v>
      </c>
      <c r="AK143" s="725">
        <v>0.94</v>
      </c>
      <c r="AL143" s="624">
        <f>'Datacom equip'!K21/10^3</f>
        <v>0</v>
      </c>
      <c r="AM143" s="624">
        <f>'Datacom equip'!L21/10^3</f>
        <v>0</v>
      </c>
      <c r="AN143" s="624">
        <f>'Datacom equip'!M21/10^3</f>
        <v>0</v>
      </c>
      <c r="AO143" s="624">
        <f>'Datacom equip'!N21/10^3</f>
        <v>0</v>
      </c>
      <c r="AP143" s="624">
        <f>'Datacom equip'!O21/10^3</f>
        <v>0</v>
      </c>
      <c r="AQ143" s="624">
        <f>'Datacom equip'!P21/10^3</f>
        <v>0</v>
      </c>
      <c r="AR143" s="624">
        <f>'Datacom equip'!Q21/10^3</f>
        <v>0</v>
      </c>
      <c r="AS143" s="624">
        <f>'Datacom equip'!R21/10^3</f>
        <v>0</v>
      </c>
      <c r="AT143" s="624">
        <f>'Datacom equip'!S21/10^3</f>
        <v>0</v>
      </c>
      <c r="AU143" s="624">
        <f>'Datacom equip'!T21/10^3</f>
        <v>0</v>
      </c>
      <c r="AV143" s="624">
        <f>'Datacom equip'!U21/10^3</f>
        <v>0</v>
      </c>
      <c r="AW143" s="332" t="e">
        <f>AV143/AR143-1</f>
        <v>#DIV/0!</v>
      </c>
    </row>
    <row r="144" spans="4:50">
      <c r="D144" s="27"/>
      <c r="E144" s="545" t="s">
        <v>19</v>
      </c>
      <c r="F144" s="627">
        <v>13.796664</v>
      </c>
      <c r="G144" s="627">
        <v>14.433555000000002</v>
      </c>
      <c r="H144" s="627">
        <v>14.848174999999999</v>
      </c>
      <c r="I144" s="627">
        <v>24.723703000000004</v>
      </c>
      <c r="J144" s="627">
        <v>24.510950999999999</v>
      </c>
      <c r="K144" s="627">
        <v>25.127827</v>
      </c>
      <c r="L144" s="627">
        <v>25.865422000000002</v>
      </c>
      <c r="M144" s="627">
        <v>26.773100000000003</v>
      </c>
      <c r="N144" s="627">
        <v>24.917959999999997</v>
      </c>
      <c r="O144" s="627">
        <v>25.729540000000004</v>
      </c>
      <c r="P144" s="627">
        <v>25.320499999999999</v>
      </c>
      <c r="Q144" s="627">
        <v>27.326839</v>
      </c>
      <c r="R144" s="627">
        <v>24.482127999999999</v>
      </c>
      <c r="S144" s="627">
        <v>25.718239999999998</v>
      </c>
      <c r="T144" s="627">
        <v>25.693574999999999</v>
      </c>
      <c r="U144" s="627">
        <v>26.513776</v>
      </c>
      <c r="V144" s="627">
        <v>23.923551000000003</v>
      </c>
      <c r="W144" s="627">
        <v>25.837162000000003</v>
      </c>
      <c r="X144" s="627">
        <v>25.464482999999998</v>
      </c>
      <c r="Y144" s="627">
        <v>27.109323000000003</v>
      </c>
      <c r="Z144" s="627">
        <v>24.800960999999997</v>
      </c>
      <c r="AA144" s="627">
        <v>26.316146</v>
      </c>
      <c r="AB144" s="627">
        <v>26.084898000000003</v>
      </c>
      <c r="AC144" s="627">
        <v>27.102388000000001</v>
      </c>
      <c r="AD144" s="627">
        <f t="shared" ref="AD144:AK144" si="64">SUM(AD130:AD143)</f>
        <v>25.502604284997858</v>
      </c>
      <c r="AE144" s="627">
        <f t="shared" si="64"/>
        <v>26.715280254422247</v>
      </c>
      <c r="AF144" s="627">
        <f t="shared" si="64"/>
        <v>27.501141141252166</v>
      </c>
      <c r="AG144" s="627">
        <f t="shared" si="64"/>
        <v>30.102988406755404</v>
      </c>
      <c r="AH144" s="627">
        <f t="shared" si="64"/>
        <v>27.258282267973858</v>
      </c>
      <c r="AI144" s="627">
        <f t="shared" si="64"/>
        <v>28.999511934359358</v>
      </c>
      <c r="AJ144" s="627">
        <f t="shared" si="64"/>
        <v>30.201477480672992</v>
      </c>
      <c r="AK144" s="627">
        <f t="shared" si="64"/>
        <v>33.751554335529967</v>
      </c>
      <c r="AL144" s="627">
        <f t="shared" ref="AL144:AQ144" si="65">SUM(AL130:AL143)</f>
        <v>0</v>
      </c>
      <c r="AM144" s="627">
        <f t="shared" si="65"/>
        <v>0</v>
      </c>
      <c r="AN144" s="627">
        <f t="shared" si="65"/>
        <v>0</v>
      </c>
      <c r="AO144" s="627">
        <f t="shared" si="65"/>
        <v>0</v>
      </c>
      <c r="AP144" s="627">
        <f t="shared" si="65"/>
        <v>0</v>
      </c>
      <c r="AQ144" s="627">
        <f t="shared" si="65"/>
        <v>0</v>
      </c>
      <c r="AR144" s="627">
        <f t="shared" ref="AR144:AS144" si="66">SUM(AR130:AR143)</f>
        <v>0</v>
      </c>
      <c r="AS144" s="627">
        <f t="shared" si="66"/>
        <v>0</v>
      </c>
      <c r="AT144" s="627">
        <f t="shared" ref="AT144:AU144" si="67">SUM(AT130:AT143)</f>
        <v>0</v>
      </c>
      <c r="AU144" s="627">
        <f t="shared" si="67"/>
        <v>0</v>
      </c>
      <c r="AV144" s="627">
        <f t="shared" ref="AV144:AW144" si="68">SUM(AV130:AV143)</f>
        <v>0</v>
      </c>
      <c r="AW144" s="627" t="e">
        <f t="shared" si="68"/>
        <v>#DIV/0!</v>
      </c>
    </row>
    <row r="145" spans="1:50">
      <c r="D145" s="7"/>
      <c r="E145" s="21" t="s">
        <v>149</v>
      </c>
      <c r="J145" s="5"/>
      <c r="K145" s="5"/>
      <c r="L145" s="5"/>
      <c r="M145" s="5">
        <f t="shared" ref="M145:AB145" si="69">M144/I144-1</f>
        <v>8.2891992352440047E-2</v>
      </c>
      <c r="N145" s="5">
        <f t="shared" si="69"/>
        <v>1.6605190063820885E-2</v>
      </c>
      <c r="O145" s="5">
        <f t="shared" si="69"/>
        <v>2.3946081768232652E-2</v>
      </c>
      <c r="P145" s="5">
        <f t="shared" si="69"/>
        <v>-2.1067585906775599E-2</v>
      </c>
      <c r="Q145" s="5">
        <f t="shared" si="69"/>
        <v>2.0682662822011588E-2</v>
      </c>
      <c r="R145" s="5">
        <f t="shared" si="69"/>
        <v>-1.7490677406978627E-2</v>
      </c>
      <c r="S145" s="5">
        <f t="shared" si="69"/>
        <v>-4.3918391078912045E-4</v>
      </c>
      <c r="T145" s="5">
        <f t="shared" si="69"/>
        <v>1.4734108726131012E-2</v>
      </c>
      <c r="U145" s="5">
        <f t="shared" si="69"/>
        <v>-2.9753276623029845E-2</v>
      </c>
      <c r="V145" s="5">
        <f t="shared" si="69"/>
        <v>-2.2815704582542673E-2</v>
      </c>
      <c r="W145" s="5">
        <f t="shared" si="69"/>
        <v>4.6240333708684744E-3</v>
      </c>
      <c r="X145" s="5">
        <f t="shared" si="69"/>
        <v>-8.9163146817833328E-3</v>
      </c>
      <c r="Y145" s="5">
        <f t="shared" si="69"/>
        <v>2.2461794955196179E-2</v>
      </c>
      <c r="Z145" s="5">
        <f t="shared" si="69"/>
        <v>3.6675575461184495E-2</v>
      </c>
      <c r="AA145" s="5">
        <f t="shared" si="69"/>
        <v>1.8538568593562843E-2</v>
      </c>
      <c r="AB145" s="5">
        <f t="shared" si="69"/>
        <v>2.4363934661465692E-2</v>
      </c>
      <c r="AC145" s="5">
        <f t="shared" ref="AC145:AH145" si="70">AC144/Y144-1</f>
        <v>-2.5581605265467822E-4</v>
      </c>
      <c r="AD145" s="5">
        <f t="shared" si="70"/>
        <v>2.8290971668309961E-2</v>
      </c>
      <c r="AE145" s="5">
        <f t="shared" si="70"/>
        <v>1.5166896186935785E-2</v>
      </c>
      <c r="AF145" s="5">
        <f t="shared" si="70"/>
        <v>5.4293604723014921E-2</v>
      </c>
      <c r="AG145" s="5">
        <f>AG144/AC144-1</f>
        <v>0.11071350638015387</v>
      </c>
      <c r="AH145" s="5">
        <f t="shared" si="70"/>
        <v>6.8843086116063601E-2</v>
      </c>
      <c r="AI145" s="5">
        <f t="shared" ref="AI145:AW145" si="71">AI144/AE144-1</f>
        <v>8.5502815549127309E-2</v>
      </c>
      <c r="AJ145" s="5">
        <f t="shared" si="71"/>
        <v>9.8189974210571185E-2</v>
      </c>
      <c r="AK145" s="5">
        <f t="shared" si="71"/>
        <v>0.12120278158017661</v>
      </c>
      <c r="AL145" s="5">
        <f t="shared" si="71"/>
        <v>-1</v>
      </c>
      <c r="AM145" s="5">
        <f t="shared" si="71"/>
        <v>-1</v>
      </c>
      <c r="AN145" s="5">
        <f t="shared" si="71"/>
        <v>-1</v>
      </c>
      <c r="AO145" s="5">
        <f t="shared" si="71"/>
        <v>-1</v>
      </c>
      <c r="AP145" s="5" t="e">
        <f t="shared" si="71"/>
        <v>#DIV/0!</v>
      </c>
      <c r="AQ145" s="5" t="e">
        <f t="shared" si="71"/>
        <v>#DIV/0!</v>
      </c>
      <c r="AR145" s="5" t="e">
        <f t="shared" si="71"/>
        <v>#DIV/0!</v>
      </c>
      <c r="AS145" s="5" t="e">
        <f t="shared" si="71"/>
        <v>#DIV/0!</v>
      </c>
      <c r="AT145" s="5" t="e">
        <f t="shared" si="71"/>
        <v>#DIV/0!</v>
      </c>
      <c r="AU145" s="5" t="e">
        <f t="shared" si="71"/>
        <v>#DIV/0!</v>
      </c>
      <c r="AV145" s="5" t="e">
        <f>AV144/AR144-1</f>
        <v>#DIV/0!</v>
      </c>
      <c r="AW145" s="5" t="e">
        <f t="shared" si="71"/>
        <v>#DIV/0!</v>
      </c>
      <c r="AX145" s="21" t="s">
        <v>149</v>
      </c>
    </row>
    <row r="146" spans="1:50">
      <c r="D146" s="7"/>
      <c r="E146" s="21" t="s">
        <v>392</v>
      </c>
      <c r="J146" s="5"/>
      <c r="K146" s="5"/>
      <c r="L146" s="5"/>
      <c r="M146" s="5">
        <f>M144/L144-1</f>
        <v>3.5092332922308511E-2</v>
      </c>
      <c r="N146" s="5">
        <f t="shared" ref="N146:AW146" si="72">N144/M144-1</f>
        <v>-6.9291191531798968E-2</v>
      </c>
      <c r="O146" s="5">
        <f t="shared" si="72"/>
        <v>3.2570081981029286E-2</v>
      </c>
      <c r="P146" s="5">
        <f t="shared" si="72"/>
        <v>-1.5897680253902924E-2</v>
      </c>
      <c r="Q146" s="5">
        <f t="shared" si="72"/>
        <v>7.923773227226949E-2</v>
      </c>
      <c r="R146" s="5">
        <f t="shared" si="72"/>
        <v>-0.10409952647651632</v>
      </c>
      <c r="S146" s="5">
        <f t="shared" si="72"/>
        <v>5.0490382208605356E-2</v>
      </c>
      <c r="T146" s="5">
        <f t="shared" si="72"/>
        <v>-9.5904696433346537E-4</v>
      </c>
      <c r="U146" s="5">
        <f t="shared" si="72"/>
        <v>3.1922416401765741E-2</v>
      </c>
      <c r="V146" s="5">
        <f t="shared" si="72"/>
        <v>-9.769355372090327E-2</v>
      </c>
      <c r="W146" s="5">
        <f t="shared" si="72"/>
        <v>7.998858530658759E-2</v>
      </c>
      <c r="X146" s="5">
        <f t="shared" si="72"/>
        <v>-1.4424146119453973E-2</v>
      </c>
      <c r="Y146" s="5">
        <f t="shared" si="72"/>
        <v>6.4593496753890811E-2</v>
      </c>
      <c r="Z146" s="5">
        <f t="shared" si="72"/>
        <v>-8.5150116068925974E-2</v>
      </c>
      <c r="AA146" s="5">
        <f t="shared" si="72"/>
        <v>6.1093801970012462E-2</v>
      </c>
      <c r="AB146" s="5">
        <f t="shared" si="72"/>
        <v>-8.787304949592456E-3</v>
      </c>
      <c r="AC146" s="5">
        <f t="shared" si="72"/>
        <v>3.9006861364763612E-2</v>
      </c>
      <c r="AD146" s="5">
        <f t="shared" si="72"/>
        <v>-5.9027408027740647E-2</v>
      </c>
      <c r="AE146" s="5">
        <f t="shared" si="72"/>
        <v>4.7551064035360469E-2</v>
      </c>
      <c r="AF146" s="5">
        <f t="shared" si="72"/>
        <v>2.941615732067171E-2</v>
      </c>
      <c r="AG146" s="5">
        <f t="shared" si="72"/>
        <v>9.4608701949477458E-2</v>
      </c>
      <c r="AH146" s="5">
        <f t="shared" si="72"/>
        <v>-9.449912747344269E-2</v>
      </c>
      <c r="AI146" s="5">
        <f t="shared" si="72"/>
        <v>6.387892124924166E-2</v>
      </c>
      <c r="AJ146" s="5">
        <f t="shared" si="72"/>
        <v>4.1447785363915468E-2</v>
      </c>
      <c r="AK146" s="5">
        <f t="shared" si="72"/>
        <v>0.11754646298773941</v>
      </c>
      <c r="AL146" s="5">
        <f t="shared" si="72"/>
        <v>-1</v>
      </c>
      <c r="AM146" s="5" t="e">
        <f t="shared" si="72"/>
        <v>#DIV/0!</v>
      </c>
      <c r="AN146" s="5" t="e">
        <f t="shared" si="72"/>
        <v>#DIV/0!</v>
      </c>
      <c r="AO146" s="5" t="e">
        <f t="shared" si="72"/>
        <v>#DIV/0!</v>
      </c>
      <c r="AP146" s="5" t="e">
        <f t="shared" si="72"/>
        <v>#DIV/0!</v>
      </c>
      <c r="AQ146" s="5" t="e">
        <f t="shared" si="72"/>
        <v>#DIV/0!</v>
      </c>
      <c r="AR146" s="5" t="e">
        <f t="shared" si="72"/>
        <v>#DIV/0!</v>
      </c>
      <c r="AS146" s="5" t="e">
        <f t="shared" si="72"/>
        <v>#DIV/0!</v>
      </c>
      <c r="AT146" s="5" t="e">
        <f t="shared" si="72"/>
        <v>#DIV/0!</v>
      </c>
      <c r="AU146" s="5" t="e">
        <f t="shared" si="72"/>
        <v>#DIV/0!</v>
      </c>
      <c r="AV146" s="5" t="e">
        <f>AV144/AU144-1</f>
        <v>#DIV/0!</v>
      </c>
      <c r="AW146" s="5" t="e">
        <f t="shared" si="72"/>
        <v>#DIV/0!</v>
      </c>
      <c r="AX146" s="21" t="s">
        <v>392</v>
      </c>
    </row>
    <row r="147" spans="1:50">
      <c r="D147" s="7"/>
      <c r="E147" s="21"/>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1:50">
      <c r="D148" s="7"/>
      <c r="E148" s="21" t="s">
        <v>401</v>
      </c>
      <c r="J148" s="5"/>
      <c r="K148" s="5"/>
      <c r="L148" s="5"/>
      <c r="M148" s="5"/>
      <c r="N148" s="5"/>
      <c r="O148" s="5"/>
      <c r="P148" s="5"/>
      <c r="Q148" s="5"/>
      <c r="R148" s="5"/>
      <c r="S148" s="5"/>
      <c r="T148" s="5"/>
      <c r="U148" s="5" t="s">
        <v>401</v>
      </c>
      <c r="V148" s="5"/>
      <c r="W148" s="5"/>
      <c r="X148" s="5"/>
      <c r="Y148" s="5"/>
      <c r="Z148" s="5"/>
      <c r="AA148" s="5"/>
      <c r="AB148" s="5"/>
      <c r="AC148" s="5"/>
      <c r="AD148" s="5"/>
      <c r="AE148" s="5"/>
      <c r="AF148" s="5"/>
      <c r="AG148" s="5"/>
      <c r="AH148" s="5"/>
      <c r="AI148" s="5"/>
      <c r="AJ148" s="5"/>
    </row>
    <row r="149" spans="1:50">
      <c r="D149" s="7"/>
      <c r="E149" s="527" t="s">
        <v>402</v>
      </c>
      <c r="J149" s="5"/>
      <c r="K149" s="5"/>
      <c r="L149" s="5"/>
      <c r="M149" s="5"/>
      <c r="N149" s="5"/>
      <c r="O149" s="5"/>
      <c r="P149" s="5"/>
      <c r="Q149" s="5"/>
      <c r="R149" s="5"/>
      <c r="S149" s="5"/>
      <c r="T149" s="5"/>
      <c r="U149" s="5" t="s">
        <v>402</v>
      </c>
      <c r="V149" s="5">
        <v>0.91052683054052275</v>
      </c>
      <c r="W149" s="5">
        <v>0.65149700598802407</v>
      </c>
      <c r="X149" s="5">
        <v>0.52977121771217717</v>
      </c>
      <c r="Y149" s="5">
        <v>0.51167593189620608</v>
      </c>
      <c r="Z149" s="5">
        <v>0.5272125385002604</v>
      </c>
      <c r="AA149" s="5">
        <v>0.41807106598984767</v>
      </c>
      <c r="AB149" s="5">
        <v>0.39904671851180029</v>
      </c>
      <c r="AC149" s="5">
        <v>0.41476404844111148</v>
      </c>
      <c r="AD149" s="5">
        <v>0.35307262569832387</v>
      </c>
      <c r="AE149" s="5">
        <v>0.37426873670430361</v>
      </c>
      <c r="AF149" s="5">
        <v>0.33453333333333335</v>
      </c>
      <c r="AG149" s="5">
        <v>0.3362165201307008</v>
      </c>
      <c r="AH149" s="5">
        <v>0.38511560693641633</v>
      </c>
      <c r="AI149" s="5">
        <v>0.50800000000000001</v>
      </c>
      <c r="AJ149" s="5">
        <v>0.50800000000000001</v>
      </c>
      <c r="AK149" s="569"/>
      <c r="AL149" s="569"/>
    </row>
    <row r="150" spans="1:50">
      <c r="D150" s="7"/>
      <c r="E150" s="527" t="s">
        <v>403</v>
      </c>
      <c r="J150" s="5"/>
      <c r="K150" s="5"/>
      <c r="L150" s="5"/>
      <c r="M150" s="5"/>
      <c r="N150" s="5"/>
      <c r="O150" s="5"/>
      <c r="P150" s="5"/>
      <c r="Q150" s="5"/>
      <c r="R150" s="5"/>
      <c r="S150" s="5"/>
      <c r="T150" s="5"/>
      <c r="U150" s="5" t="s">
        <v>404</v>
      </c>
      <c r="V150" s="5">
        <v>0.12640852284367954</v>
      </c>
      <c r="W150" s="5">
        <v>6.9783549783549725E-2</v>
      </c>
      <c r="X150" s="5">
        <v>-0.10281002860508148</v>
      </c>
      <c r="Y150" s="5">
        <v>-0.13293552129951924</v>
      </c>
      <c r="Z150" s="5">
        <v>-8.1847944707166165E-2</v>
      </c>
      <c r="AA150" s="5">
        <v>-2.4927160893493006E-2</v>
      </c>
      <c r="AB150" s="5">
        <v>0.13353338334583631</v>
      </c>
      <c r="AC150" s="5">
        <v>0.23800420569680747</v>
      </c>
      <c r="AD150" s="5">
        <v>-1.5847860538827918E-3</v>
      </c>
      <c r="AE150" s="5">
        <v>-4.5982735723771428E-2</v>
      </c>
      <c r="AF150" s="5">
        <v>2.5810721376571921E-2</v>
      </c>
      <c r="AG150" s="5">
        <v>9.8826436071648427E-3</v>
      </c>
      <c r="AH150" s="5">
        <v>3.4920634920635019E-2</v>
      </c>
      <c r="AI150" s="5">
        <v>-3.8280842178528562E-3</v>
      </c>
      <c r="AJ150" s="5">
        <v>-5.5161290322580769E-2</v>
      </c>
      <c r="AK150" s="569"/>
      <c r="AL150" s="569"/>
    </row>
    <row r="151" spans="1:50">
      <c r="D151" s="7"/>
      <c r="E151" s="527" t="s">
        <v>404</v>
      </c>
      <c r="J151" s="5"/>
      <c r="K151" s="5"/>
      <c r="L151" s="5"/>
      <c r="M151" s="5"/>
      <c r="N151" s="5"/>
      <c r="O151" s="5"/>
      <c r="P151" s="5"/>
      <c r="Q151" s="5"/>
      <c r="R151" s="5"/>
      <c r="S151" s="5"/>
      <c r="T151" s="5"/>
      <c r="U151" s="5" t="s">
        <v>403</v>
      </c>
      <c r="V151" s="5">
        <v>-9.5794392523364524E-2</v>
      </c>
      <c r="W151" s="5">
        <v>-7.122370936902489E-2</v>
      </c>
      <c r="X151" s="5">
        <v>-4.6010768477728781E-2</v>
      </c>
      <c r="Y151" s="5">
        <v>1.3210798391728895E-2</v>
      </c>
      <c r="Z151" s="5">
        <v>3.3074935400516869E-2</v>
      </c>
      <c r="AA151" s="5">
        <v>2.5218733916623881E-2</v>
      </c>
      <c r="AB151" s="5">
        <v>-8.0041046690610518E-2</v>
      </c>
      <c r="AC151" s="5">
        <v>4.5918367346938771E-2</v>
      </c>
      <c r="AD151" s="5">
        <v>-5.2526263131565831E-2</v>
      </c>
      <c r="AE151" s="5">
        <v>-5.8232931726907577E-2</v>
      </c>
      <c r="AF151" s="5">
        <v>0.16508644729503619</v>
      </c>
      <c r="AG151" s="5">
        <v>-1.5176151761517653E-2</v>
      </c>
      <c r="AH151" s="5">
        <v>7.2861668426610349E-2</v>
      </c>
      <c r="AI151" s="5">
        <v>9.0618336886993944E-3</v>
      </c>
      <c r="AJ151" s="5"/>
      <c r="AK151" s="587" t="s">
        <v>405</v>
      </c>
    </row>
    <row r="152" spans="1:50" ht="17.399999999999999">
      <c r="A152" s="46"/>
      <c r="B152" s="75" t="s">
        <v>337</v>
      </c>
      <c r="C152" s="46"/>
      <c r="D152" s="76"/>
      <c r="E152" s="46"/>
      <c r="F152" s="46"/>
      <c r="G152" s="46"/>
      <c r="H152" s="46"/>
      <c r="I152" s="46"/>
      <c r="J152" s="46"/>
      <c r="K152" s="46"/>
      <c r="L152" s="46"/>
      <c r="M152" s="46"/>
      <c r="N152" s="46"/>
      <c r="O152" s="98" t="s">
        <v>664</v>
      </c>
      <c r="P152" s="1024"/>
      <c r="Q152" s="1024"/>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row>
    <row r="153" spans="1:50">
      <c r="D153" s="7"/>
    </row>
    <row r="154" spans="1:50">
      <c r="D154" s="7"/>
    </row>
    <row r="155" spans="1:50">
      <c r="D155" s="20" t="s">
        <v>26</v>
      </c>
    </row>
    <row r="156" spans="1:50">
      <c r="D156" s="7"/>
    </row>
    <row r="157" spans="1:50">
      <c r="D157" s="7"/>
    </row>
    <row r="158" spans="1:50" ht="14.4">
      <c r="B158" s="60" t="s">
        <v>44</v>
      </c>
      <c r="C158" s="51"/>
      <c r="D158" s="7"/>
    </row>
    <row r="159" spans="1:50" ht="13.8">
      <c r="B159" s="343" t="s">
        <v>322</v>
      </c>
      <c r="C159" s="51"/>
      <c r="D159" s="7"/>
    </row>
    <row r="160" spans="1:50" ht="14.4">
      <c r="B160" s="73" t="s">
        <v>324</v>
      </c>
      <c r="C160" s="51"/>
      <c r="D160" s="7"/>
    </row>
    <row r="161" spans="2:49" ht="14.4">
      <c r="B161" s="73" t="s">
        <v>325</v>
      </c>
      <c r="C161" s="51"/>
      <c r="D161" s="7"/>
    </row>
    <row r="162" spans="2:49" ht="14.4">
      <c r="B162" s="73" t="s">
        <v>326</v>
      </c>
      <c r="C162" s="51"/>
      <c r="D162" s="7"/>
      <c r="AH162" s="17"/>
      <c r="AI162" s="17"/>
    </row>
    <row r="163" spans="2:49" ht="14.4">
      <c r="B163" s="73" t="s">
        <v>342</v>
      </c>
      <c r="C163" s="51"/>
      <c r="D163" s="7"/>
    </row>
    <row r="164" spans="2:49" ht="14.4">
      <c r="B164" s="73" t="s">
        <v>344</v>
      </c>
      <c r="C164" s="51"/>
      <c r="D164" s="7"/>
    </row>
    <row r="165" spans="2:49" ht="14.4">
      <c r="B165" s="73" t="s">
        <v>327</v>
      </c>
      <c r="C165" s="51"/>
      <c r="D165" s="7"/>
    </row>
    <row r="166" spans="2:49" ht="14.4">
      <c r="B166" s="73" t="s">
        <v>329</v>
      </c>
      <c r="C166" s="51"/>
      <c r="D166" s="7"/>
    </row>
    <row r="167" spans="2:49" ht="14.4">
      <c r="B167" s="73" t="s">
        <v>346</v>
      </c>
      <c r="C167" s="51"/>
      <c r="D167" s="7"/>
    </row>
    <row r="168" spans="2:49" ht="14.4">
      <c r="B168" s="73" t="s">
        <v>345</v>
      </c>
      <c r="C168" s="51"/>
      <c r="D168" s="7"/>
    </row>
    <row r="169" spans="2:49" ht="14.4">
      <c r="B169" s="73" t="s">
        <v>330</v>
      </c>
      <c r="C169" s="51"/>
      <c r="D169" s="7"/>
    </row>
    <row r="170" spans="2:49" ht="14.4">
      <c r="B170" s="73" t="s">
        <v>331</v>
      </c>
      <c r="C170" s="51"/>
      <c r="D170" s="7"/>
    </row>
    <row r="171" spans="2:49" ht="14.4">
      <c r="B171" s="73" t="s">
        <v>332</v>
      </c>
      <c r="C171" s="51"/>
      <c r="D171" s="7"/>
      <c r="P171" s="3">
        <v>2010</v>
      </c>
      <c r="Q171" s="3">
        <v>2011</v>
      </c>
      <c r="R171" s="3">
        <v>2012</v>
      </c>
      <c r="S171" s="3">
        <v>2013</v>
      </c>
      <c r="T171" s="3">
        <v>2014</v>
      </c>
      <c r="U171" s="3">
        <v>2015</v>
      </c>
      <c r="V171" s="3">
        <v>2016</v>
      </c>
      <c r="W171" s="3">
        <v>2017</v>
      </c>
      <c r="X171" s="3">
        <v>2018</v>
      </c>
      <c r="Y171" s="3">
        <v>2019</v>
      </c>
    </row>
    <row r="172" spans="2:49" ht="14.4">
      <c r="B172" s="73" t="s">
        <v>333</v>
      </c>
      <c r="D172" s="7"/>
      <c r="P172" s="17">
        <v>72035.203999999983</v>
      </c>
      <c r="Q172" s="17">
        <v>76536.979555555561</v>
      </c>
      <c r="R172" s="17">
        <v>78506.996000000014</v>
      </c>
      <c r="S172" s="17">
        <v>84745.414999999979</v>
      </c>
      <c r="T172" s="17">
        <v>88108.50900000002</v>
      </c>
      <c r="U172" s="17">
        <v>82804.24000000002</v>
      </c>
      <c r="V172" s="17">
        <f>SUM(AD177:AG177)</f>
        <v>69778.399999999994</v>
      </c>
      <c r="W172" s="17">
        <f>SUM(AH177:AK177)</f>
        <v>73095.255999999994</v>
      </c>
      <c r="X172" s="17">
        <f>SUM(AL177:AO177)</f>
        <v>0</v>
      </c>
      <c r="Y172" s="17">
        <f>SUM(AP177:AS177)</f>
        <v>0</v>
      </c>
    </row>
    <row r="173" spans="2:49">
      <c r="D173" s="7"/>
      <c r="P173" t="s">
        <v>544</v>
      </c>
    </row>
    <row r="174" spans="2:49">
      <c r="D174" s="7"/>
      <c r="H174" t="s">
        <v>18</v>
      </c>
      <c r="I174" s="18">
        <f>(Y172/P172)^(1/9)-1</f>
        <v>-1</v>
      </c>
      <c r="P174" t="s">
        <v>497</v>
      </c>
    </row>
    <row r="175" spans="2:49">
      <c r="D175" s="7"/>
      <c r="V175" s="18"/>
    </row>
    <row r="176" spans="2:49">
      <c r="D176" s="7"/>
      <c r="E176" s="9"/>
      <c r="F176" s="10" t="s">
        <v>116</v>
      </c>
      <c r="G176" s="10" t="s">
        <v>117</v>
      </c>
      <c r="H176" s="10" t="s">
        <v>118</v>
      </c>
      <c r="I176" s="10" t="s">
        <v>119</v>
      </c>
      <c r="J176" s="10" t="s">
        <v>120</v>
      </c>
      <c r="K176" s="10" t="s">
        <v>121</v>
      </c>
      <c r="L176" s="10" t="s">
        <v>122</v>
      </c>
      <c r="M176" s="10" t="s">
        <v>123</v>
      </c>
      <c r="N176" s="10" t="s">
        <v>102</v>
      </c>
      <c r="O176" s="10" t="s">
        <v>103</v>
      </c>
      <c r="P176" s="10" t="s">
        <v>104</v>
      </c>
      <c r="Q176" s="10" t="s">
        <v>105</v>
      </c>
      <c r="R176" s="10" t="s">
        <v>106</v>
      </c>
      <c r="S176" s="10" t="s">
        <v>107</v>
      </c>
      <c r="T176" s="10" t="s">
        <v>108</v>
      </c>
      <c r="U176" s="10" t="s">
        <v>109</v>
      </c>
      <c r="V176" s="10" t="s">
        <v>110</v>
      </c>
      <c r="W176" s="10" t="s">
        <v>111</v>
      </c>
      <c r="X176" s="10" t="s">
        <v>112</v>
      </c>
      <c r="Y176" s="10" t="s">
        <v>113</v>
      </c>
      <c r="Z176" s="10" t="s">
        <v>114</v>
      </c>
      <c r="AA176" s="10" t="s">
        <v>115</v>
      </c>
      <c r="AB176" s="10" t="s">
        <v>124</v>
      </c>
      <c r="AC176" s="10" t="s">
        <v>125</v>
      </c>
      <c r="AD176" s="10" t="s">
        <v>126</v>
      </c>
      <c r="AE176" s="10" t="s">
        <v>127</v>
      </c>
      <c r="AF176" s="10" t="s">
        <v>128</v>
      </c>
      <c r="AG176" s="10" t="s">
        <v>129</v>
      </c>
      <c r="AH176" s="10" t="s">
        <v>130</v>
      </c>
      <c r="AI176" s="10" t="s">
        <v>131</v>
      </c>
      <c r="AJ176" s="10" t="s">
        <v>132</v>
      </c>
      <c r="AK176" s="10" t="s">
        <v>133</v>
      </c>
      <c r="AL176" s="10" t="s">
        <v>134</v>
      </c>
      <c r="AM176" s="10" t="s">
        <v>135</v>
      </c>
      <c r="AN176" s="10" t="s">
        <v>136</v>
      </c>
      <c r="AO176" s="10" t="s">
        <v>137</v>
      </c>
      <c r="AP176" s="10" t="s">
        <v>138</v>
      </c>
      <c r="AQ176" s="10" t="s">
        <v>139</v>
      </c>
      <c r="AR176" s="10" t="s">
        <v>140</v>
      </c>
      <c r="AS176" s="10" t="s">
        <v>141</v>
      </c>
      <c r="AT176" s="10" t="s">
        <v>142</v>
      </c>
      <c r="AU176" s="10" t="s">
        <v>143</v>
      </c>
      <c r="AV176" s="10" t="s">
        <v>144</v>
      </c>
      <c r="AW176" s="10" t="s">
        <v>145</v>
      </c>
    </row>
    <row r="177" spans="1:50">
      <c r="D177" s="7"/>
      <c r="E177" s="27" t="s">
        <v>14</v>
      </c>
      <c r="F177" s="81"/>
      <c r="G177" s="81"/>
      <c r="H177" s="81"/>
      <c r="I177" s="81"/>
      <c r="J177" s="81"/>
      <c r="K177" s="81"/>
      <c r="L177" s="81"/>
      <c r="M177" s="81"/>
      <c r="N177" s="81"/>
      <c r="O177" s="81"/>
      <c r="P177" s="81"/>
      <c r="Q177" s="81"/>
      <c r="R177" s="81"/>
      <c r="S177" s="81"/>
      <c r="T177" s="81"/>
      <c r="U177" s="81"/>
      <c r="V177" s="81"/>
      <c r="W177" s="81"/>
      <c r="X177" s="81"/>
      <c r="Y177" s="81"/>
      <c r="Z177" s="81"/>
      <c r="AA177" s="81"/>
      <c r="AB177" s="81">
        <v>25401.250813125695</v>
      </c>
      <c r="AC177" s="81">
        <v>25285.464013690384</v>
      </c>
      <c r="AD177" s="622">
        <f>'Semiconductor vendors'!C26</f>
        <v>16337.399999999998</v>
      </c>
      <c r="AE177" s="622">
        <f>'Semiconductor vendors'!D26</f>
        <v>17218.55</v>
      </c>
      <c r="AF177" s="622">
        <f>'Semiconductor vendors'!E26</f>
        <v>18219.05</v>
      </c>
      <c r="AG177" s="622">
        <f>'Semiconductor vendors'!F26</f>
        <v>18003.400000000001</v>
      </c>
      <c r="AH177" s="622">
        <f>'Semiconductor vendors'!G26</f>
        <v>16795.491999999998</v>
      </c>
      <c r="AI177" s="622">
        <f>'Semiconductor vendors'!H26</f>
        <v>17357.2</v>
      </c>
      <c r="AJ177" s="622">
        <f>'Semiconductor vendors'!I26</f>
        <v>18792.964</v>
      </c>
      <c r="AK177" s="622">
        <f>'Semiconductor vendors'!J26</f>
        <v>20149.599999999999</v>
      </c>
      <c r="AL177" s="622">
        <f>'Semiconductor vendors'!K26</f>
        <v>0</v>
      </c>
      <c r="AM177" s="622">
        <f>'Semiconductor vendors'!L26</f>
        <v>0</v>
      </c>
      <c r="AN177" s="622">
        <f>'Semiconductor vendors'!M26</f>
        <v>0</v>
      </c>
      <c r="AO177" s="622">
        <f>'Semiconductor vendors'!N26</f>
        <v>0</v>
      </c>
      <c r="AP177" s="622">
        <f>'Semiconductor vendors'!O26</f>
        <v>0</v>
      </c>
      <c r="AQ177" s="622">
        <f>'Semiconductor vendors'!P26</f>
        <v>0</v>
      </c>
      <c r="AR177" s="622">
        <f>'Semiconductor vendors'!Q26</f>
        <v>0</v>
      </c>
      <c r="AS177" s="622">
        <f>'Semiconductor vendors'!R26</f>
        <v>0</v>
      </c>
      <c r="AT177" s="622">
        <f>'Semiconductor vendors'!S26</f>
        <v>0</v>
      </c>
      <c r="AU177" s="622">
        <f>'Semiconductor vendors'!T26</f>
        <v>0</v>
      </c>
      <c r="AV177" s="622">
        <f>'Semiconductor vendors'!U26</f>
        <v>0</v>
      </c>
    </row>
    <row r="178" spans="1:50">
      <c r="D178" s="7"/>
      <c r="S178" s="42"/>
      <c r="T178" s="42"/>
      <c r="U178" s="42"/>
      <c r="V178" s="42"/>
      <c r="W178" s="42"/>
      <c r="X178" s="42"/>
      <c r="Y178" s="42"/>
      <c r="Z178" s="42"/>
      <c r="AA178" s="42"/>
      <c r="AB178" s="42"/>
      <c r="AC178" s="42"/>
      <c r="AD178" s="42"/>
      <c r="AE178" s="94" t="s">
        <v>391</v>
      </c>
      <c r="AF178" s="94"/>
      <c r="AG178" s="42">
        <f t="shared" ref="AG178:AO178" si="73">AG177/AF177-1</f>
        <v>-1.1836511782996273E-2</v>
      </c>
      <c r="AH178" s="42">
        <f t="shared" si="73"/>
        <v>-6.7093326816046073E-2</v>
      </c>
      <c r="AI178" s="42">
        <f t="shared" si="73"/>
        <v>3.3443974133059218E-2</v>
      </c>
      <c r="AJ178" s="42">
        <f t="shared" si="73"/>
        <v>8.2718641255502101E-2</v>
      </c>
      <c r="AK178" s="42">
        <f t="shared" si="73"/>
        <v>7.2188506294164068E-2</v>
      </c>
      <c r="AL178" s="42">
        <f t="shared" si="73"/>
        <v>-1</v>
      </c>
      <c r="AM178" s="42" t="e">
        <f t="shared" si="73"/>
        <v>#DIV/0!</v>
      </c>
      <c r="AN178" s="42" t="e">
        <f t="shared" si="73"/>
        <v>#DIV/0!</v>
      </c>
      <c r="AO178" s="42" t="e">
        <f t="shared" si="73"/>
        <v>#DIV/0!</v>
      </c>
      <c r="AP178" s="42" t="e">
        <f t="shared" ref="AP178:AV178" si="74">AP177/AO177-1</f>
        <v>#DIV/0!</v>
      </c>
      <c r="AQ178" s="42" t="e">
        <f t="shared" si="74"/>
        <v>#DIV/0!</v>
      </c>
      <c r="AR178" s="42" t="e">
        <f t="shared" si="74"/>
        <v>#DIV/0!</v>
      </c>
      <c r="AS178" s="42" t="e">
        <f t="shared" si="74"/>
        <v>#DIV/0!</v>
      </c>
      <c r="AT178" s="42" t="e">
        <f t="shared" si="74"/>
        <v>#DIV/0!</v>
      </c>
      <c r="AU178" s="42" t="e">
        <f t="shared" si="74"/>
        <v>#DIV/0!</v>
      </c>
      <c r="AV178" s="42" t="e">
        <f t="shared" si="74"/>
        <v>#DIV/0!</v>
      </c>
      <c r="AX178" s="94" t="str">
        <f>AE178</f>
        <v>Sequential</v>
      </c>
    </row>
    <row r="179" spans="1:50">
      <c r="D179" s="7"/>
      <c r="K179" s="94"/>
      <c r="L179" s="94"/>
      <c r="S179" s="94"/>
      <c r="T179" s="94"/>
      <c r="U179" s="94"/>
      <c r="V179" s="94"/>
      <c r="W179" s="94"/>
      <c r="X179" s="94"/>
      <c r="Y179" s="94"/>
      <c r="Z179" s="94"/>
      <c r="AA179" s="94"/>
      <c r="AB179" s="94"/>
      <c r="AC179" s="94"/>
      <c r="AD179" s="94"/>
      <c r="AE179" s="42" t="s">
        <v>149</v>
      </c>
      <c r="AF179" s="42">
        <f t="shared" ref="AF179:AV179" si="75">AF177/AB177-1</f>
        <v>-0.28274988763208486</v>
      </c>
      <c r="AG179" s="42">
        <f t="shared" si="75"/>
        <v>-0.28799408267721061</v>
      </c>
      <c r="AH179" s="42">
        <f t="shared" si="75"/>
        <v>2.8039467724362499E-2</v>
      </c>
      <c r="AI179" s="42">
        <f t="shared" si="75"/>
        <v>8.0523621326999972E-3</v>
      </c>
      <c r="AJ179" s="42">
        <f t="shared" si="75"/>
        <v>3.1500764309884577E-2</v>
      </c>
      <c r="AK179" s="42">
        <f t="shared" si="75"/>
        <v>0.11921081573480552</v>
      </c>
      <c r="AL179" s="42">
        <f t="shared" si="75"/>
        <v>-1</v>
      </c>
      <c r="AM179" s="42">
        <f t="shared" si="75"/>
        <v>-1</v>
      </c>
      <c r="AN179" s="42">
        <f t="shared" si="75"/>
        <v>-1</v>
      </c>
      <c r="AO179" s="42">
        <f t="shared" si="75"/>
        <v>-1</v>
      </c>
      <c r="AP179" s="42" t="e">
        <f t="shared" si="75"/>
        <v>#DIV/0!</v>
      </c>
      <c r="AQ179" s="42" t="e">
        <f t="shared" si="75"/>
        <v>#DIV/0!</v>
      </c>
      <c r="AR179" s="42" t="e">
        <f t="shared" si="75"/>
        <v>#DIV/0!</v>
      </c>
      <c r="AS179" s="42" t="e">
        <f t="shared" si="75"/>
        <v>#DIV/0!</v>
      </c>
      <c r="AT179" s="42" t="e">
        <f t="shared" si="75"/>
        <v>#DIV/0!</v>
      </c>
      <c r="AU179" s="42" t="e">
        <f t="shared" si="75"/>
        <v>#DIV/0!</v>
      </c>
      <c r="AV179" s="42" t="e">
        <f t="shared" si="75"/>
        <v>#DIV/0!</v>
      </c>
      <c r="AX179" s="94" t="str">
        <f>AE179</f>
        <v>Y-o-Y</v>
      </c>
    </row>
    <row r="180" spans="1:50">
      <c r="C180" s="21"/>
      <c r="D180" s="20"/>
      <c r="S180" s="42"/>
      <c r="T180" s="42"/>
      <c r="U180" s="42"/>
      <c r="V180" s="42"/>
      <c r="W180" s="42"/>
      <c r="X180" s="42"/>
      <c r="Y180" s="42"/>
      <c r="Z180" s="42"/>
      <c r="AA180" s="42"/>
      <c r="AB180" s="42"/>
      <c r="AC180" s="42"/>
      <c r="AD180" s="42"/>
    </row>
    <row r="181" spans="1:50" ht="17.399999999999999">
      <c r="A181" s="46"/>
      <c r="B181" s="75" t="s">
        <v>0</v>
      </c>
      <c r="C181" s="46"/>
      <c r="D181" s="76"/>
      <c r="E181" s="46"/>
      <c r="F181" s="46"/>
      <c r="G181" s="46"/>
      <c r="H181" s="46"/>
      <c r="I181" s="46"/>
      <c r="J181" s="46"/>
      <c r="K181" s="46"/>
      <c r="L181" s="46"/>
      <c r="M181" s="46"/>
      <c r="N181" s="46"/>
      <c r="O181" s="98" t="s">
        <v>664</v>
      </c>
      <c r="P181" s="1024"/>
      <c r="Q181" s="1024"/>
      <c r="R181" s="98"/>
      <c r="S181" s="98"/>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row>
    <row r="182" spans="1:50">
      <c r="D182" s="7"/>
      <c r="AC182" s="42"/>
    </row>
    <row r="183" spans="1:50">
      <c r="D183" s="7"/>
    </row>
    <row r="184" spans="1:50">
      <c r="D184" s="20" t="s">
        <v>26</v>
      </c>
      <c r="AP184" t="s">
        <v>435</v>
      </c>
    </row>
    <row r="185" spans="1:50">
      <c r="D185" s="7"/>
    </row>
    <row r="186" spans="1:50" ht="14.4">
      <c r="B186" s="60" t="s">
        <v>44</v>
      </c>
      <c r="D186" s="7"/>
    </row>
    <row r="187" spans="1:50" ht="14.4">
      <c r="B187" s="73" t="str">
        <f>'OC vendors'!B8</f>
        <v>II-VI Photonic Solutions</v>
      </c>
      <c r="C187" s="73"/>
      <c r="D187" s="7"/>
    </row>
    <row r="188" spans="1:50" ht="14.4">
      <c r="B188" s="73" t="str">
        <f>'OC vendors'!B9</f>
        <v>Acacia</v>
      </c>
      <c r="C188" s="73"/>
      <c r="D188" s="7"/>
    </row>
    <row r="189" spans="1:50" ht="14.4">
      <c r="B189" s="73" t="str">
        <f>'OC vendors'!B10</f>
        <v>Accelink</v>
      </c>
      <c r="C189" s="73"/>
      <c r="D189" s="7"/>
    </row>
    <row r="190" spans="1:50" ht="14.4">
      <c r="B190" s="73" t="str">
        <f>'OC vendors'!B11</f>
        <v>Applied Optoelectronics</v>
      </c>
      <c r="C190" s="73"/>
      <c r="D190" s="7"/>
    </row>
    <row r="191" spans="1:50" ht="14.4">
      <c r="B191" s="73" t="str">
        <f>'OC vendors'!B13</f>
        <v>Eoptolink</v>
      </c>
      <c r="C191" s="73"/>
      <c r="D191" s="7"/>
      <c r="AH191" s="17"/>
      <c r="AI191" s="17"/>
    </row>
    <row r="192" spans="1:50" ht="14.4">
      <c r="B192" s="73" t="str">
        <f>'OC vendors'!B15</f>
        <v>Hisense</v>
      </c>
      <c r="C192" s="73"/>
      <c r="D192" s="7"/>
    </row>
    <row r="193" spans="2:50" ht="14.4">
      <c r="B193" s="73" t="str">
        <f>'OC vendors'!B16</f>
        <v>HGG</v>
      </c>
      <c r="C193" s="73"/>
      <c r="D193" s="7"/>
    </row>
    <row r="194" spans="2:50" ht="14.4">
      <c r="B194" s="73" t="str">
        <f>'OC vendors'!B17</f>
        <v>Innolight</v>
      </c>
      <c r="C194" s="73"/>
      <c r="D194" s="7"/>
    </row>
    <row r="195" spans="2:50" ht="14.4">
      <c r="B195" s="73" t="str">
        <f>'OC vendors'!B18</f>
        <v>Lumentum (optical comm)</v>
      </c>
      <c r="C195" s="73"/>
      <c r="D195" s="7"/>
    </row>
    <row r="196" spans="2:50" ht="14.4">
      <c r="B196" s="73" t="str">
        <f>'OC vendors'!B19</f>
        <v>NeoPhotonics</v>
      </c>
      <c r="C196" s="73"/>
      <c r="D196" s="7"/>
    </row>
    <row r="197" spans="2:50" ht="14.4">
      <c r="B197" s="73" t="str">
        <f>'OC vendors'!B22</f>
        <v>O-Net</v>
      </c>
      <c r="C197" s="73"/>
      <c r="D197" s="7"/>
    </row>
    <row r="198" spans="2:50" ht="14.4">
      <c r="B198" s="73" t="str">
        <f>'OC vendors'!B23</f>
        <v>Sumitomo</v>
      </c>
      <c r="C198" s="73"/>
      <c r="D198" s="7"/>
    </row>
    <row r="199" spans="2:50" ht="14.4">
      <c r="C199" s="73"/>
      <c r="D199" s="7"/>
      <c r="AP199" t="s">
        <v>542</v>
      </c>
    </row>
    <row r="200" spans="2:50" ht="14.4">
      <c r="B200" t="s">
        <v>300</v>
      </c>
      <c r="C200" s="73"/>
      <c r="D200" s="7"/>
      <c r="Q200" t="s">
        <v>382</v>
      </c>
    </row>
    <row r="201" spans="2:50" ht="14.4">
      <c r="B201" s="73" t="s">
        <v>46</v>
      </c>
      <c r="C201" s="73"/>
      <c r="D201" s="7"/>
      <c r="P201" s="3">
        <v>2010</v>
      </c>
      <c r="Q201" s="3">
        <v>2011</v>
      </c>
      <c r="R201" s="3">
        <v>2012</v>
      </c>
      <c r="S201" s="3">
        <v>2013</v>
      </c>
      <c r="T201" s="3">
        <v>2014</v>
      </c>
      <c r="U201" s="3">
        <v>2015</v>
      </c>
      <c r="V201" s="3">
        <v>2016</v>
      </c>
      <c r="W201" s="3">
        <v>2017</v>
      </c>
      <c r="X201" s="3">
        <v>2018</v>
      </c>
      <c r="Y201" s="26" t="s">
        <v>31</v>
      </c>
    </row>
    <row r="202" spans="2:50" ht="14.4">
      <c r="B202" s="73" t="s">
        <v>48</v>
      </c>
      <c r="D202" s="7"/>
      <c r="P202" s="17">
        <f>SUM(F206:I206)</f>
        <v>3498.7605616612159</v>
      </c>
      <c r="Q202" s="17">
        <f>SUM(J206:M206)</f>
        <v>3812.2571913005522</v>
      </c>
      <c r="R202" s="17">
        <f>SUM(N206:Q206)</f>
        <v>4004.9016833988735</v>
      </c>
      <c r="S202" s="17">
        <f>SUM(R206:U206)</f>
        <v>4460.5693671920781</v>
      </c>
      <c r="T202" s="17">
        <f>SUM(V206:Y206)</f>
        <v>5019.5546977492577</v>
      </c>
      <c r="U202" s="17">
        <f>SUM(Z206:AC206)</f>
        <v>5847.1363685081587</v>
      </c>
      <c r="V202" s="17">
        <f>SUM(AD206:AG206)</f>
        <v>7183.6978337817573</v>
      </c>
      <c r="W202" s="17">
        <f>SUM(AH206:AK206)</f>
        <v>7730.4179298201107</v>
      </c>
      <c r="X202" s="17">
        <f>SUM(AL206:AO206)</f>
        <v>0</v>
      </c>
      <c r="Y202" s="78">
        <f>(X202/P202)^(1/8)-1</f>
        <v>-1</v>
      </c>
    </row>
    <row r="203" spans="2:50" ht="14.4">
      <c r="B203" s="73" t="s">
        <v>157</v>
      </c>
      <c r="D203" s="7"/>
      <c r="H203" t="s">
        <v>18</v>
      </c>
      <c r="I203" s="18">
        <f>Y202</f>
        <v>-1</v>
      </c>
      <c r="W203">
        <f>W202/V202-1</f>
        <v>7.6105664337295709E-2</v>
      </c>
      <c r="X203">
        <f>X202/W202-1</f>
        <v>-1</v>
      </c>
      <c r="AA203" t="s">
        <v>382</v>
      </c>
    </row>
    <row r="204" spans="2:50" ht="14.4">
      <c r="B204" s="73" t="str">
        <f>'OC vendors'!B14</f>
        <v>Finisar</v>
      </c>
      <c r="D204" s="7"/>
      <c r="V204" s="18"/>
      <c r="AJ204" s="5">
        <f>AJ206/AI206-1</f>
        <v>3.7948630579981213E-2</v>
      </c>
      <c r="AK204" s="5">
        <f>AK206/AJ206-1</f>
        <v>8.5463936060068413E-2</v>
      </c>
      <c r="AL204" s="5">
        <f>AL206/AK206-1</f>
        <v>-1</v>
      </c>
      <c r="AM204" s="5" t="e">
        <f>AM206/AL206-1</f>
        <v>#DIV/0!</v>
      </c>
    </row>
    <row r="205" spans="2:50" ht="14.4">
      <c r="B205" s="73" t="s">
        <v>55</v>
      </c>
      <c r="D205" s="7"/>
      <c r="E205" s="9"/>
      <c r="F205" s="10" t="s">
        <v>116</v>
      </c>
      <c r="G205" s="10" t="s">
        <v>117</v>
      </c>
      <c r="H205" s="10" t="s">
        <v>118</v>
      </c>
      <c r="I205" s="10" t="s">
        <v>119</v>
      </c>
      <c r="J205" s="10" t="s">
        <v>120</v>
      </c>
      <c r="K205" s="10" t="s">
        <v>121</v>
      </c>
      <c r="L205" s="10" t="s">
        <v>122</v>
      </c>
      <c r="M205" s="10" t="s">
        <v>123</v>
      </c>
      <c r="N205" s="10" t="s">
        <v>102</v>
      </c>
      <c r="O205" s="10" t="s">
        <v>103</v>
      </c>
      <c r="P205" s="10" t="s">
        <v>104</v>
      </c>
      <c r="Q205" s="10" t="s">
        <v>105</v>
      </c>
      <c r="R205" s="10" t="s">
        <v>106</v>
      </c>
      <c r="S205" s="10" t="s">
        <v>107</v>
      </c>
      <c r="T205" s="10" t="s">
        <v>108</v>
      </c>
      <c r="U205" s="10" t="s">
        <v>109</v>
      </c>
      <c r="V205" s="10" t="s">
        <v>110</v>
      </c>
      <c r="W205" s="10" t="s">
        <v>111</v>
      </c>
      <c r="X205" s="10" t="s">
        <v>112</v>
      </c>
      <c r="Y205" s="10" t="s">
        <v>113</v>
      </c>
      <c r="Z205" s="10" t="s">
        <v>114</v>
      </c>
      <c r="AA205" s="10" t="s">
        <v>115</v>
      </c>
      <c r="AB205" s="10" t="s">
        <v>124</v>
      </c>
      <c r="AC205" s="10" t="s">
        <v>125</v>
      </c>
      <c r="AD205" s="10" t="s">
        <v>126</v>
      </c>
      <c r="AE205" s="10" t="s">
        <v>127</v>
      </c>
      <c r="AF205" s="10" t="s">
        <v>128</v>
      </c>
      <c r="AG205" s="10" t="s">
        <v>129</v>
      </c>
      <c r="AH205" s="10" t="s">
        <v>130</v>
      </c>
      <c r="AI205" s="10" t="s">
        <v>131</v>
      </c>
      <c r="AJ205" s="10" t="s">
        <v>132</v>
      </c>
      <c r="AK205" s="10" t="s">
        <v>133</v>
      </c>
      <c r="AL205" s="10" t="s">
        <v>134</v>
      </c>
      <c r="AM205" s="10" t="s">
        <v>135</v>
      </c>
      <c r="AN205" s="10" t="s">
        <v>136</v>
      </c>
      <c r="AO205" s="10" t="s">
        <v>137</v>
      </c>
      <c r="AP205" s="10" t="s">
        <v>138</v>
      </c>
      <c r="AQ205" s="10" t="s">
        <v>139</v>
      </c>
      <c r="AR205" s="10" t="s">
        <v>140</v>
      </c>
      <c r="AS205" s="10" t="s">
        <v>141</v>
      </c>
      <c r="AT205" s="10" t="s">
        <v>142</v>
      </c>
      <c r="AU205" s="10" t="s">
        <v>143</v>
      </c>
      <c r="AV205" s="10" t="s">
        <v>144</v>
      </c>
      <c r="AW205" s="10" t="s">
        <v>145</v>
      </c>
    </row>
    <row r="206" spans="2:50" ht="14.4">
      <c r="B206" s="73" t="s">
        <v>49</v>
      </c>
      <c r="D206" s="7"/>
      <c r="E206" s="27" t="s">
        <v>14</v>
      </c>
      <c r="F206" s="81">
        <v>782.66649051720151</v>
      </c>
      <c r="G206" s="81">
        <v>844.47937446327171</v>
      </c>
      <c r="H206" s="81">
        <v>918.2353832067231</v>
      </c>
      <c r="I206" s="81">
        <v>953.37931347401945</v>
      </c>
      <c r="J206" s="81">
        <v>998.65377838823838</v>
      </c>
      <c r="K206" s="81">
        <v>961.63580952857819</v>
      </c>
      <c r="L206" s="81">
        <v>964.65833034758225</v>
      </c>
      <c r="M206" s="81">
        <v>887.30927303615294</v>
      </c>
      <c r="N206" s="81">
        <v>927.75510048342403</v>
      </c>
      <c r="O206" s="81">
        <v>937.1449263838922</v>
      </c>
      <c r="P206" s="81">
        <v>1047.7851355298735</v>
      </c>
      <c r="Q206" s="81">
        <v>1092.216521001684</v>
      </c>
      <c r="R206" s="81">
        <v>1032.7659757055728</v>
      </c>
      <c r="S206" s="81">
        <v>1091.8086004037664</v>
      </c>
      <c r="T206" s="81">
        <v>1172.6348561590248</v>
      </c>
      <c r="U206" s="81">
        <v>1163.3599349237134</v>
      </c>
      <c r="V206" s="81">
        <v>1214.4991146116922</v>
      </c>
      <c r="W206" s="81">
        <v>1282.8694446661834</v>
      </c>
      <c r="X206" s="81">
        <v>1273.246710497277</v>
      </c>
      <c r="Y206" s="81">
        <v>1248.9394279741052</v>
      </c>
      <c r="Z206" s="81">
        <v>1384.7728501657371</v>
      </c>
      <c r="AA206" s="81">
        <v>1428.6422188218664</v>
      </c>
      <c r="AB206" s="81">
        <v>1485.5126752494002</v>
      </c>
      <c r="AC206" s="81">
        <v>1548.2086242711546</v>
      </c>
      <c r="AD206" s="622">
        <f>'OC vendors'!C24</f>
        <v>1566.69136891165</v>
      </c>
      <c r="AE206" s="622">
        <f>'OC vendors'!D24</f>
        <v>1727.7775767555424</v>
      </c>
      <c r="AF206" s="622">
        <f>'OC vendors'!E24</f>
        <v>1872.674595488051</v>
      </c>
      <c r="AG206" s="622">
        <f>'OC vendors'!F24</f>
        <v>2016.5542926265146</v>
      </c>
      <c r="AH206" s="622">
        <f>'OC vendors'!G24</f>
        <v>1943.1173789361212</v>
      </c>
      <c r="AI206" s="622">
        <f>'OC vendors'!H24</f>
        <v>1828.7595391162131</v>
      </c>
      <c r="AJ206" s="622">
        <f>'OC vendors'!I24</f>
        <v>1898.158459285751</v>
      </c>
      <c r="AK206" s="622">
        <f>'OC vendors'!J24</f>
        <v>2060.3825524820263</v>
      </c>
      <c r="AL206" s="622">
        <f>'OC vendors'!K24</f>
        <v>0</v>
      </c>
      <c r="AM206" s="622">
        <f>'OC vendors'!L24</f>
        <v>0</v>
      </c>
      <c r="AN206" s="622">
        <f>'OC vendors'!M24</f>
        <v>0</v>
      </c>
      <c r="AO206" s="622">
        <f>'OC vendors'!N24</f>
        <v>0</v>
      </c>
      <c r="AP206" s="622">
        <f>'OC vendors'!O24</f>
        <v>0</v>
      </c>
      <c r="AQ206" s="622">
        <f>'OC vendors'!P24</f>
        <v>0</v>
      </c>
      <c r="AR206" s="622">
        <f>'OC vendors'!Q24</f>
        <v>0</v>
      </c>
      <c r="AS206" s="622">
        <f>'OC vendors'!R24</f>
        <v>0</v>
      </c>
      <c r="AT206" s="622">
        <f>'OC vendors'!S24</f>
        <v>0</v>
      </c>
      <c r="AU206" s="622">
        <f>'OC vendors'!T24</f>
        <v>0</v>
      </c>
      <c r="AV206" s="622">
        <f>'OC vendors'!U24</f>
        <v>0</v>
      </c>
    </row>
    <row r="207" spans="2:50" ht="14.4">
      <c r="B207" s="73" t="str">
        <f>'OC vendors'!B20</f>
        <v>Oclaro (w/Opnext)</v>
      </c>
      <c r="D207" s="7"/>
      <c r="F207" s="42"/>
      <c r="G207" s="42"/>
      <c r="H207" s="42"/>
      <c r="I207" s="42"/>
      <c r="J207" s="42">
        <f t="shared" ref="J207:R207" si="76">J206/F206-1</f>
        <v>0.27596337710626684</v>
      </c>
      <c r="K207" s="42">
        <f t="shared" si="76"/>
        <v>0.13873214504471232</v>
      </c>
      <c r="L207" s="42">
        <f t="shared" si="76"/>
        <v>5.0556696017025393E-2</v>
      </c>
      <c r="M207" s="42">
        <f t="shared" si="76"/>
        <v>-6.9300895775799676E-2</v>
      </c>
      <c r="N207" s="42">
        <f t="shared" si="76"/>
        <v>-7.0994251901034366E-2</v>
      </c>
      <c r="O207" s="42">
        <f t="shared" si="76"/>
        <v>-2.5467940047586346E-2</v>
      </c>
      <c r="P207" s="42">
        <f t="shared" si="76"/>
        <v>8.617227734128341E-2</v>
      </c>
      <c r="Q207" s="42">
        <f t="shared" si="76"/>
        <v>0.23093103407382309</v>
      </c>
      <c r="R207" s="42">
        <f t="shared" si="76"/>
        <v>0.11318814110257214</v>
      </c>
      <c r="S207" s="42">
        <f t="shared" ref="S207:Y207" si="77">S206/O206-1</f>
        <v>0.16503709262628785</v>
      </c>
      <c r="T207" s="42">
        <f t="shared" si="77"/>
        <v>0.11915584254400957</v>
      </c>
      <c r="U207" s="42">
        <f t="shared" si="77"/>
        <v>6.5136731182918739E-2</v>
      </c>
      <c r="V207" s="42">
        <f t="shared" si="77"/>
        <v>0.17596739550018725</v>
      </c>
      <c r="W207" s="42">
        <f t="shared" si="77"/>
        <v>0.17499481520090621</v>
      </c>
      <c r="X207" s="42">
        <f t="shared" si="77"/>
        <v>8.5799815526383938E-2</v>
      </c>
      <c r="Y207" s="42">
        <f t="shared" si="77"/>
        <v>7.3562352012753296E-2</v>
      </c>
      <c r="Z207" s="42">
        <f t="shared" ref="Z207:AF207" si="78">Z206/V206-1</f>
        <v>0.14020079019035414</v>
      </c>
      <c r="AA207" s="42">
        <f t="shared" si="78"/>
        <v>0.11363024878468031</v>
      </c>
      <c r="AB207" s="42">
        <f t="shared" si="78"/>
        <v>0.16671236061487327</v>
      </c>
      <c r="AC207" s="42">
        <f t="shared" si="78"/>
        <v>0.23961866331859794</v>
      </c>
      <c r="AD207" s="42">
        <f t="shared" si="78"/>
        <v>0.13137065672838677</v>
      </c>
      <c r="AE207" s="42">
        <f t="shared" si="78"/>
        <v>0.2093843748929376</v>
      </c>
      <c r="AF207" s="42">
        <f t="shared" si="78"/>
        <v>0.26062512066660815</v>
      </c>
      <c r="AG207" s="42">
        <f t="shared" ref="AG207:AL207" si="79">AG206/AC206-1</f>
        <v>0.30250811228741314</v>
      </c>
      <c r="AH207" s="42">
        <f t="shared" si="79"/>
        <v>0.2402681328907601</v>
      </c>
      <c r="AI207" s="42">
        <f t="shared" si="79"/>
        <v>5.8446158648670865E-2</v>
      </c>
      <c r="AJ207" s="42">
        <f t="shared" si="79"/>
        <v>1.3608271217594226E-2</v>
      </c>
      <c r="AK207" s="42">
        <f t="shared" si="79"/>
        <v>2.1734232505303153E-2</v>
      </c>
      <c r="AL207" s="42">
        <f t="shared" si="79"/>
        <v>-1</v>
      </c>
      <c r="AM207" s="42">
        <f t="shared" ref="AM207:AQ207" si="80">AM206/AI206-1</f>
        <v>-1</v>
      </c>
      <c r="AN207" s="42">
        <f t="shared" si="80"/>
        <v>-1</v>
      </c>
      <c r="AO207" s="42">
        <f t="shared" si="80"/>
        <v>-1</v>
      </c>
      <c r="AP207" s="42" t="e">
        <f t="shared" si="80"/>
        <v>#DIV/0!</v>
      </c>
      <c r="AQ207" s="42" t="e">
        <f t="shared" si="80"/>
        <v>#DIV/0!</v>
      </c>
      <c r="AR207" s="42" t="e">
        <f>AR206/AN206-1</f>
        <v>#DIV/0!</v>
      </c>
      <c r="AS207" s="42" t="e">
        <f>AS206/AO206-1</f>
        <v>#DIV/0!</v>
      </c>
      <c r="AT207" s="42" t="e">
        <f>AT206/AP206-1</f>
        <v>#DIV/0!</v>
      </c>
      <c r="AU207" s="42" t="e">
        <f>AU206/AQ206-1</f>
        <v>#DIV/0!</v>
      </c>
      <c r="AV207" s="42" t="e">
        <f>AV206/AR206-1</f>
        <v>#DIV/0!</v>
      </c>
      <c r="AW207" s="1611" t="e">
        <f>AV207</f>
        <v>#DIV/0!</v>
      </c>
      <c r="AX207" s="14" t="s">
        <v>635</v>
      </c>
    </row>
    <row r="208" spans="2:50">
      <c r="D208" s="7"/>
      <c r="K208" s="94"/>
      <c r="L208" s="94"/>
      <c r="M208" t="s">
        <v>291</v>
      </c>
      <c r="S208" s="94">
        <v>1042.5086004037664</v>
      </c>
      <c r="T208" s="94">
        <v>1117.8348561590249</v>
      </c>
      <c r="U208" s="94">
        <v>1112.9599349237133</v>
      </c>
      <c r="V208" s="94">
        <v>1166.3991146116923</v>
      </c>
      <c r="W208" s="94">
        <v>1231.7694446661835</v>
      </c>
      <c r="X208" s="94">
        <v>1216.1467104972771</v>
      </c>
      <c r="Y208" s="94">
        <v>1188.9394279741052</v>
      </c>
      <c r="Z208" s="94">
        <v>1384.7728501657371</v>
      </c>
      <c r="AA208" s="94">
        <v>1428.6422188218664</v>
      </c>
      <c r="AB208" s="94">
        <v>1485.5126752494002</v>
      </c>
      <c r="AC208" s="94">
        <v>1548.2086242711546</v>
      </c>
      <c r="AD208" s="623">
        <f>'OC vendors'!C24</f>
        <v>1566.69136891165</v>
      </c>
      <c r="AE208" s="623">
        <f>'OC vendors'!D24</f>
        <v>1727.7775767555424</v>
      </c>
      <c r="AF208" s="623">
        <f>'OC vendors'!E24</f>
        <v>1872.674595488051</v>
      </c>
      <c r="AG208" s="623">
        <f>'OC vendors'!F24</f>
        <v>2016.5542926265146</v>
      </c>
      <c r="AH208" s="623">
        <f>'OC vendors'!G24</f>
        <v>1943.1173789361212</v>
      </c>
      <c r="AI208" s="623">
        <f>'OC vendors'!H24</f>
        <v>1828.7595391162131</v>
      </c>
      <c r="AJ208" s="623">
        <f>'OC vendors'!I24</f>
        <v>1898.158459285751</v>
      </c>
      <c r="AK208" s="623">
        <f>'OC vendors'!J24</f>
        <v>2060.3825524820263</v>
      </c>
      <c r="AL208" s="623">
        <f>'OC vendors'!K24</f>
        <v>0</v>
      </c>
      <c r="AM208" s="623">
        <f>'OC vendors'!L24</f>
        <v>0</v>
      </c>
      <c r="AN208" s="623">
        <f>'OC vendors'!M24</f>
        <v>0</v>
      </c>
      <c r="AO208" s="623">
        <f>'OC vendors'!N24</f>
        <v>0</v>
      </c>
      <c r="AP208" s="623">
        <f>'OC vendors'!O24</f>
        <v>0</v>
      </c>
      <c r="AQ208" s="623">
        <f>'OC vendors'!P24</f>
        <v>0</v>
      </c>
      <c r="AR208" s="623">
        <f>'OC vendors'!Q24</f>
        <v>0</v>
      </c>
      <c r="AS208" s="623">
        <f>'OC vendors'!R24</f>
        <v>0</v>
      </c>
      <c r="AT208" s="623">
        <f>'OC vendors'!S24</f>
        <v>0</v>
      </c>
      <c r="AU208" s="623">
        <f>'OC vendors'!T24</f>
        <v>0</v>
      </c>
      <c r="AV208" s="623">
        <f>'OC vendors'!U24</f>
        <v>0</v>
      </c>
      <c r="AW208" s="332" t="e">
        <f>AV206/AU206-1</f>
        <v>#DIV/0!</v>
      </c>
      <c r="AX208" s="14" t="s">
        <v>350</v>
      </c>
    </row>
    <row r="209" spans="1:50">
      <c r="C209" s="21"/>
      <c r="D209" s="20" t="s">
        <v>27</v>
      </c>
      <c r="S209" s="42"/>
      <c r="T209" s="42"/>
      <c r="U209" s="42"/>
      <c r="V209" s="42"/>
      <c r="W209" s="42">
        <f>W208/S208-1</f>
        <v>0.1815436766556322</v>
      </c>
      <c r="X209" s="42">
        <f t="shared" ref="X209:AQ209" si="81">X208/T208-1</f>
        <v>8.7948460183161714E-2</v>
      </c>
      <c r="Y209" s="42">
        <f t="shared" si="81"/>
        <v>6.8267949875122858E-2</v>
      </c>
      <c r="Z209" s="42">
        <f t="shared" si="81"/>
        <v>0.18722042293965901</v>
      </c>
      <c r="AA209" s="42">
        <f t="shared" si="81"/>
        <v>0.15982923996709175</v>
      </c>
      <c r="AB209" s="42">
        <f t="shared" si="81"/>
        <v>0.22149134017061201</v>
      </c>
      <c r="AC209" s="42">
        <f t="shared" si="81"/>
        <v>0.3021761982519382</v>
      </c>
      <c r="AD209" s="42">
        <f t="shared" si="81"/>
        <v>0.13137065672838677</v>
      </c>
      <c r="AE209" s="42">
        <f t="shared" si="81"/>
        <v>0.2093843748929376</v>
      </c>
      <c r="AF209" s="42">
        <f t="shared" si="81"/>
        <v>0.26062512066660815</v>
      </c>
      <c r="AG209" s="42">
        <f t="shared" si="81"/>
        <v>0.30250811228741314</v>
      </c>
      <c r="AH209" s="42">
        <f t="shared" si="81"/>
        <v>0.2402681328907601</v>
      </c>
      <c r="AI209" s="42">
        <f t="shared" si="81"/>
        <v>5.8446158648670865E-2</v>
      </c>
      <c r="AJ209" s="42">
        <f t="shared" si="81"/>
        <v>1.3608271217594226E-2</v>
      </c>
      <c r="AK209" s="42">
        <f t="shared" si="81"/>
        <v>2.1734232505303153E-2</v>
      </c>
      <c r="AL209" s="42">
        <f t="shared" si="81"/>
        <v>-1</v>
      </c>
      <c r="AM209" s="42">
        <f t="shared" si="81"/>
        <v>-1</v>
      </c>
      <c r="AN209" s="42">
        <f t="shared" si="81"/>
        <v>-1</v>
      </c>
      <c r="AO209" s="42">
        <f t="shared" si="81"/>
        <v>-1</v>
      </c>
      <c r="AP209" s="42" t="e">
        <f t="shared" si="81"/>
        <v>#DIV/0!</v>
      </c>
      <c r="AQ209" s="42" t="e">
        <f t="shared" si="81"/>
        <v>#DIV/0!</v>
      </c>
      <c r="AR209" s="42" t="e">
        <f>AR208/AN208-1</f>
        <v>#DIV/0!</v>
      </c>
      <c r="AS209" s="42" t="e">
        <f>AS208/AO208-1</f>
        <v>#DIV/0!</v>
      </c>
      <c r="AT209" s="42" t="e">
        <f>AT208/AP208-1</f>
        <v>#DIV/0!</v>
      </c>
      <c r="AU209" s="42" t="e">
        <f>AU208/AQ208-1</f>
        <v>#DIV/0!</v>
      </c>
      <c r="AV209" s="42" t="e">
        <f>AV208/AR208-1</f>
        <v>#DIV/0!</v>
      </c>
      <c r="AW209" s="14"/>
      <c r="AX209" s="14"/>
    </row>
    <row r="210" spans="1:50">
      <c r="C210" s="21"/>
      <c r="D210" s="20"/>
    </row>
    <row r="211" spans="1:50">
      <c r="C211" s="21"/>
      <c r="D211" s="20"/>
      <c r="E211" s="2" t="s">
        <v>292</v>
      </c>
      <c r="G211" s="42">
        <v>0.68645844709758796</v>
      </c>
      <c r="H211" s="42">
        <v>0.69557328293044984</v>
      </c>
      <c r="I211" s="42">
        <v>0.73423032166417534</v>
      </c>
      <c r="J211" s="42">
        <v>0.68442138285715404</v>
      </c>
      <c r="K211" s="42">
        <v>0.68331481990269216</v>
      </c>
      <c r="L211" s="42">
        <v>0.65028205351626778</v>
      </c>
      <c r="M211" s="42">
        <v>0.6511821949329023</v>
      </c>
      <c r="N211" s="42">
        <v>0.63985528044058015</v>
      </c>
      <c r="O211" s="42">
        <v>0.57976731741642262</v>
      </c>
      <c r="P211" s="42">
        <v>0.5930538417933906</v>
      </c>
      <c r="Q211" s="42">
        <v>0.56355400981803228</v>
      </c>
      <c r="R211" s="42">
        <v>0.57515450157446035</v>
      </c>
      <c r="S211" s="42">
        <v>0.57958876653470359</v>
      </c>
      <c r="T211" s="42">
        <v>0.58210788841452488</v>
      </c>
      <c r="U211" s="42">
        <v>0.5551162461533008</v>
      </c>
      <c r="V211" s="42">
        <v>0.52144953617564638</v>
      </c>
      <c r="W211" s="42">
        <v>0.51231869519740603</v>
      </c>
      <c r="X211" s="42">
        <v>0.4986127156394155</v>
      </c>
      <c r="Y211" s="42">
        <v>0.51178222552939734</v>
      </c>
      <c r="Z211" s="42">
        <v>0.46803560592802579</v>
      </c>
      <c r="AA211" s="42">
        <v>0.4623480891840841</v>
      </c>
      <c r="AB211" s="42">
        <v>0.45050844139558965</v>
      </c>
      <c r="AC211" s="42">
        <v>0.43807726514848122</v>
      </c>
      <c r="AD211" s="630">
        <f>'OC vendors'!C54</f>
        <v>0.45714172823810872</v>
      </c>
      <c r="AE211" s="630">
        <f>'OC vendors'!D54</f>
        <v>0.44362481045698127</v>
      </c>
      <c r="AF211" s="630">
        <f>'OC vendors'!E54</f>
        <v>0.44161009178664684</v>
      </c>
      <c r="AG211" s="630">
        <f>'OC vendors'!F54</f>
        <v>0.43728056478532806</v>
      </c>
      <c r="AH211" s="630">
        <f>'OC vendors'!G54</f>
        <v>0.41548030435609634</v>
      </c>
      <c r="AI211" s="630">
        <f>'OC vendors'!H54</f>
        <v>0.41044215160334502</v>
      </c>
      <c r="AJ211" s="630">
        <f>'OC vendors'!I54</f>
        <v>0.40398313230842936</v>
      </c>
      <c r="AK211" s="630">
        <f>'OC vendors'!J54</f>
        <v>0.44105304566149373</v>
      </c>
    </row>
    <row r="212" spans="1:50">
      <c r="C212" s="21"/>
      <c r="D212" s="20"/>
      <c r="S212" s="42"/>
      <c r="T212" s="42"/>
      <c r="U212" s="42"/>
      <c r="V212" s="42"/>
      <c r="W212" s="42"/>
      <c r="X212" s="42"/>
      <c r="Y212" s="42"/>
      <c r="Z212" s="42"/>
      <c r="AA212" s="42"/>
      <c r="AB212" s="42"/>
      <c r="AC212" s="42"/>
      <c r="AD212" s="42"/>
      <c r="AE212" s="42"/>
      <c r="AF212" s="42"/>
      <c r="AG212" s="42"/>
      <c r="AH212" s="42"/>
      <c r="AI212" s="42"/>
      <c r="AJ212" s="42"/>
      <c r="AK212" s="42"/>
      <c r="AL212" s="630" t="e">
        <f>'OC vendors'!K54</f>
        <v>#DIV/0!</v>
      </c>
      <c r="AM212" s="630" t="e">
        <f>'OC vendors'!L54</f>
        <v>#DIV/0!</v>
      </c>
      <c r="AN212" s="630" t="e">
        <f>'OC vendors'!M54</f>
        <v>#DIV/0!</v>
      </c>
      <c r="AO212" s="630" t="e">
        <f>'OC vendors'!N54</f>
        <v>#DIV/0!</v>
      </c>
      <c r="AP212" s="630" t="e">
        <f>'OC vendors'!O54</f>
        <v>#DIV/0!</v>
      </c>
      <c r="AQ212" s="630" t="e">
        <f>'OC vendors'!P54</f>
        <v>#DIV/0!</v>
      </c>
      <c r="AR212" s="1127" t="s">
        <v>534</v>
      </c>
    </row>
    <row r="213" spans="1:50">
      <c r="C213" s="21"/>
      <c r="D213" s="20"/>
      <c r="S213" s="42"/>
      <c r="T213" s="42"/>
      <c r="U213" s="42"/>
      <c r="V213" s="42"/>
      <c r="W213" s="42"/>
      <c r="X213" s="42"/>
      <c r="Y213" s="42"/>
      <c r="Z213" s="42"/>
      <c r="AA213" s="42"/>
      <c r="AB213" s="42"/>
      <c r="AC213" s="42"/>
      <c r="AD213" s="42"/>
      <c r="AE213" s="42"/>
      <c r="AF213" s="42"/>
      <c r="AG213" s="42"/>
      <c r="AH213" s="42"/>
      <c r="AI213" s="42"/>
      <c r="AJ213" s="42"/>
      <c r="AK213" s="42"/>
      <c r="AL213" s="42"/>
    </row>
    <row r="214" spans="1:50" ht="17.399999999999999">
      <c r="A214" s="46"/>
      <c r="B214" s="75" t="s">
        <v>182</v>
      </c>
      <c r="C214" s="46"/>
      <c r="D214" s="76"/>
      <c r="E214" s="46"/>
      <c r="F214" s="46"/>
      <c r="G214" s="46"/>
      <c r="H214" s="46"/>
      <c r="I214" s="46"/>
      <c r="J214" s="46"/>
      <c r="K214" s="46"/>
      <c r="L214" s="46"/>
      <c r="M214" s="46"/>
      <c r="N214" s="98"/>
      <c r="O214" s="98" t="str">
        <f>O181</f>
        <v>complete for 3Q20</v>
      </c>
      <c r="P214" s="98"/>
      <c r="Q214" s="1025"/>
      <c r="R214" s="98"/>
      <c r="S214" s="98"/>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row>
    <row r="215" spans="1:50" ht="14.4">
      <c r="B215" s="60" t="s">
        <v>44</v>
      </c>
      <c r="D215" s="7"/>
    </row>
    <row r="216" spans="1:50">
      <c r="B216" s="89" t="s">
        <v>349</v>
      </c>
      <c r="D216" s="7"/>
    </row>
    <row r="217" spans="1:50" ht="19.5" customHeight="1">
      <c r="B217" s="89" t="s">
        <v>156</v>
      </c>
      <c r="D217" s="7"/>
      <c r="AC217" s="60"/>
      <c r="AD217" s="673"/>
      <c r="AE217" s="1876" t="s">
        <v>153</v>
      </c>
      <c r="AF217" s="1877"/>
      <c r="AG217" s="1877"/>
      <c r="AH217" s="1877"/>
      <c r="AI217" s="1877"/>
      <c r="AJ217" s="1877"/>
      <c r="AK217" s="1877"/>
      <c r="AL217" s="1878"/>
    </row>
    <row r="218" spans="1:50" ht="19.5" customHeight="1">
      <c r="B218" s="89" t="s">
        <v>45</v>
      </c>
      <c r="D218" s="7"/>
      <c r="AC218" s="671" t="s">
        <v>154</v>
      </c>
      <c r="AD218" s="672"/>
      <c r="AE218" s="674" t="str">
        <f t="shared" ref="AE218:AJ218" si="82">AP235</f>
        <v>1Q 19</v>
      </c>
      <c r="AF218" s="674" t="str">
        <f t="shared" si="82"/>
        <v>2Q 19</v>
      </c>
      <c r="AG218" s="674" t="str">
        <f t="shared" si="82"/>
        <v>3Q 19</v>
      </c>
      <c r="AH218" s="1132" t="str">
        <f t="shared" si="82"/>
        <v>4Q 19</v>
      </c>
      <c r="AI218" s="1725" t="str">
        <f t="shared" si="82"/>
        <v>1Q 20</v>
      </c>
      <c r="AJ218" s="1726" t="str">
        <f t="shared" si="82"/>
        <v>2Q 20</v>
      </c>
      <c r="AK218" s="1726" t="str">
        <f t="shared" ref="AK218:AL218" si="83">AV235</f>
        <v>3Q 20</v>
      </c>
      <c r="AL218" s="1132" t="str">
        <f t="shared" si="83"/>
        <v>4Q 20</v>
      </c>
      <c r="AP218" s="1134" t="s">
        <v>595</v>
      </c>
    </row>
    <row r="219" spans="1:50" ht="24.75" customHeight="1">
      <c r="B219" s="89" t="s">
        <v>47</v>
      </c>
      <c r="D219" s="7"/>
      <c r="AC219" s="675" t="s">
        <v>22</v>
      </c>
      <c r="AD219" s="676"/>
      <c r="AE219" s="677">
        <f t="shared" ref="AE219:AJ224" si="84">AP237</f>
        <v>0</v>
      </c>
      <c r="AF219" s="338">
        <f t="shared" si="84"/>
        <v>0</v>
      </c>
      <c r="AG219" s="338">
        <f t="shared" si="84"/>
        <v>0</v>
      </c>
      <c r="AH219" s="338">
        <f t="shared" si="84"/>
        <v>0</v>
      </c>
      <c r="AI219" s="338">
        <f t="shared" si="84"/>
        <v>0</v>
      </c>
      <c r="AJ219" s="338">
        <f t="shared" si="84"/>
        <v>0</v>
      </c>
      <c r="AK219" s="338">
        <f t="shared" ref="AK219:AL219" si="85">AV237</f>
        <v>0</v>
      </c>
      <c r="AL219" s="338">
        <f t="shared" si="85"/>
        <v>0</v>
      </c>
      <c r="AP219" s="1133" t="e">
        <f t="shared" ref="AP219:AP225" si="86">(AJ219+AI219)/(AF219+AE219)-1</f>
        <v>#DIV/0!</v>
      </c>
    </row>
    <row r="220" spans="1:50" ht="24.75" customHeight="1">
      <c r="B220" s="89" t="s">
        <v>48</v>
      </c>
      <c r="D220" s="7"/>
      <c r="AC220" s="678" t="s">
        <v>20</v>
      </c>
      <c r="AD220" s="679"/>
      <c r="AE220" s="677">
        <f t="shared" si="84"/>
        <v>0</v>
      </c>
      <c r="AF220" s="338">
        <f t="shared" si="84"/>
        <v>0</v>
      </c>
      <c r="AG220" s="338">
        <f t="shared" si="84"/>
        <v>0</v>
      </c>
      <c r="AH220" s="338">
        <f t="shared" si="84"/>
        <v>0</v>
      </c>
      <c r="AI220" s="338">
        <f t="shared" si="84"/>
        <v>0</v>
      </c>
      <c r="AJ220" s="338">
        <f t="shared" si="84"/>
        <v>0</v>
      </c>
      <c r="AK220" s="338">
        <f t="shared" ref="AK220:AL220" si="87">AV238</f>
        <v>0</v>
      </c>
      <c r="AL220" s="338">
        <f t="shared" si="87"/>
        <v>0</v>
      </c>
      <c r="AP220" s="1133" t="e">
        <f t="shared" si="86"/>
        <v>#DIV/0!</v>
      </c>
    </row>
    <row r="221" spans="1:50" ht="24.75" customHeight="1">
      <c r="B221" s="89" t="s">
        <v>157</v>
      </c>
      <c r="D221" s="7"/>
      <c r="AC221" s="678" t="s">
        <v>21</v>
      </c>
      <c r="AD221" s="679"/>
      <c r="AE221" s="677">
        <f t="shared" si="84"/>
        <v>0</v>
      </c>
      <c r="AF221" s="338">
        <f t="shared" si="84"/>
        <v>0</v>
      </c>
      <c r="AG221" s="338">
        <f t="shared" si="84"/>
        <v>0</v>
      </c>
      <c r="AH221" s="338">
        <f t="shared" si="84"/>
        <v>0</v>
      </c>
      <c r="AI221" s="338">
        <f t="shared" si="84"/>
        <v>0</v>
      </c>
      <c r="AJ221" s="338">
        <f t="shared" si="84"/>
        <v>0</v>
      </c>
      <c r="AK221" s="338">
        <f t="shared" ref="AK221:AL221" si="88">AV239</f>
        <v>0</v>
      </c>
      <c r="AL221" s="338">
        <f t="shared" si="88"/>
        <v>0</v>
      </c>
      <c r="AP221" s="1133" t="e">
        <f t="shared" si="86"/>
        <v>#DIV/0!</v>
      </c>
    </row>
    <row r="222" spans="1:50" ht="24.75" customHeight="1">
      <c r="B222" s="89" t="s">
        <v>158</v>
      </c>
      <c r="D222" s="7"/>
      <c r="AC222" s="678" t="s">
        <v>152</v>
      </c>
      <c r="AD222" s="679"/>
      <c r="AE222" s="677">
        <f t="shared" si="84"/>
        <v>0</v>
      </c>
      <c r="AF222" s="338">
        <f t="shared" si="84"/>
        <v>0</v>
      </c>
      <c r="AG222" s="338">
        <f t="shared" si="84"/>
        <v>0</v>
      </c>
      <c r="AH222" s="338">
        <f t="shared" si="84"/>
        <v>0</v>
      </c>
      <c r="AI222" s="338">
        <f t="shared" si="84"/>
        <v>0</v>
      </c>
      <c r="AJ222" s="338">
        <f t="shared" si="84"/>
        <v>0</v>
      </c>
      <c r="AK222" s="338">
        <f t="shared" ref="AK222:AL222" si="89">AV240</f>
        <v>0</v>
      </c>
      <c r="AL222" s="338">
        <f t="shared" si="89"/>
        <v>0</v>
      </c>
      <c r="AP222" s="1133" t="e">
        <f t="shared" si="86"/>
        <v>#DIV/0!</v>
      </c>
    </row>
    <row r="223" spans="1:50" ht="24.75" customHeight="1">
      <c r="B223" s="89" t="s">
        <v>159</v>
      </c>
      <c r="D223" s="7"/>
      <c r="AC223" s="678" t="s">
        <v>34</v>
      </c>
      <c r="AD223" s="679"/>
      <c r="AE223" s="677">
        <f t="shared" si="84"/>
        <v>0</v>
      </c>
      <c r="AF223" s="338">
        <f t="shared" si="84"/>
        <v>0</v>
      </c>
      <c r="AG223" s="338">
        <f t="shared" si="84"/>
        <v>0</v>
      </c>
      <c r="AH223" s="338">
        <f t="shared" si="84"/>
        <v>0</v>
      </c>
      <c r="AI223" s="338">
        <f t="shared" si="84"/>
        <v>0</v>
      </c>
      <c r="AJ223" s="338">
        <f t="shared" si="84"/>
        <v>0</v>
      </c>
      <c r="AK223" s="338">
        <f t="shared" ref="AK223:AL223" si="90">AV241</f>
        <v>0</v>
      </c>
      <c r="AL223" s="338">
        <f t="shared" si="90"/>
        <v>0</v>
      </c>
      <c r="AP223" s="1133" t="e">
        <f t="shared" si="86"/>
        <v>#DIV/0!</v>
      </c>
    </row>
    <row r="224" spans="1:50" ht="24.75" customHeight="1">
      <c r="B224" s="89" t="s">
        <v>50</v>
      </c>
      <c r="D224" s="7"/>
      <c r="AC224" s="680" t="s">
        <v>25</v>
      </c>
      <c r="AD224" s="681"/>
      <c r="AE224" s="677">
        <f t="shared" si="84"/>
        <v>0</v>
      </c>
      <c r="AF224" s="338">
        <f t="shared" si="84"/>
        <v>0</v>
      </c>
      <c r="AG224" s="338">
        <f t="shared" si="84"/>
        <v>0</v>
      </c>
      <c r="AH224" s="338">
        <f t="shared" si="84"/>
        <v>0</v>
      </c>
      <c r="AI224" s="338">
        <f t="shared" si="84"/>
        <v>0</v>
      </c>
      <c r="AJ224" s="338">
        <f t="shared" si="84"/>
        <v>0</v>
      </c>
      <c r="AK224" s="338">
        <f t="shared" ref="AK224:AL224" si="91">AV242</f>
        <v>0</v>
      </c>
      <c r="AL224" s="338">
        <f t="shared" si="91"/>
        <v>0</v>
      </c>
      <c r="AP224" s="1133" t="e">
        <f t="shared" si="86"/>
        <v>#DIV/0!</v>
      </c>
    </row>
    <row r="225" spans="2:52" ht="24.75" customHeight="1">
      <c r="B225" s="89" t="s">
        <v>9</v>
      </c>
      <c r="D225" s="7"/>
      <c r="AC225" s="682" t="s">
        <v>155</v>
      </c>
      <c r="AD225" s="683"/>
      <c r="AE225" s="684">
        <f t="shared" ref="AE225:AJ225" si="92">SUM(AE219:AE224)</f>
        <v>0</v>
      </c>
      <c r="AF225" s="339">
        <f t="shared" si="92"/>
        <v>0</v>
      </c>
      <c r="AG225" s="339">
        <f t="shared" si="92"/>
        <v>0</v>
      </c>
      <c r="AH225" s="339">
        <f t="shared" si="92"/>
        <v>0</v>
      </c>
      <c r="AI225" s="339">
        <f t="shared" si="92"/>
        <v>0</v>
      </c>
      <c r="AJ225" s="339">
        <f t="shared" si="92"/>
        <v>0</v>
      </c>
      <c r="AK225" s="339">
        <f t="shared" ref="AK225" si="93">SUM(AK219:AK224)</f>
        <v>0</v>
      </c>
      <c r="AL225" s="339">
        <f t="shared" ref="AL225" si="94">SUM(AL219:AL224)</f>
        <v>0</v>
      </c>
      <c r="AP225" s="1133" t="e">
        <f t="shared" si="86"/>
        <v>#DIV/0!</v>
      </c>
    </row>
    <row r="226" spans="2:52" ht="24.75" customHeight="1">
      <c r="B226" s="89" t="s">
        <v>160</v>
      </c>
      <c r="D226" s="7"/>
      <c r="AD226" s="374" t="s">
        <v>301</v>
      </c>
      <c r="AE226" s="375">
        <v>-1.3009775852791727E-2</v>
      </c>
      <c r="AF226" s="375">
        <v>7.3104833712789308E-4</v>
      </c>
      <c r="AG226" s="375">
        <v>3.3455321685118999E-2</v>
      </c>
      <c r="AH226" s="375">
        <v>0.23929479968014022</v>
      </c>
      <c r="AI226" s="375" t="e">
        <f>AI225/AE225-1</f>
        <v>#DIV/0!</v>
      </c>
      <c r="AJ226" s="375" t="e">
        <f>AJ225/AF225-1</f>
        <v>#DIV/0!</v>
      </c>
      <c r="AK226" s="375" t="e">
        <f t="shared" ref="AK226:AL226" si="95">AK225/AG225-1</f>
        <v>#DIV/0!</v>
      </c>
      <c r="AL226" s="375" t="e">
        <f t="shared" si="95"/>
        <v>#DIV/0!</v>
      </c>
    </row>
    <row r="227" spans="2:52" ht="13.8">
      <c r="B227" s="89" t="s">
        <v>51</v>
      </c>
      <c r="D227" s="7"/>
      <c r="E227" t="s">
        <v>409</v>
      </c>
      <c r="AD227" s="374" t="s">
        <v>294</v>
      </c>
      <c r="AE227" s="376">
        <v>-1.0787663506845346E-2</v>
      </c>
      <c r="AF227" s="376" t="e">
        <f>AF225/AE225-1</f>
        <v>#DIV/0!</v>
      </c>
      <c r="AG227" s="376" t="e">
        <f>AG225/AF225-1</f>
        <v>#DIV/0!</v>
      </c>
      <c r="AH227" s="376" t="e">
        <f>AH225/AG225-1</f>
        <v>#DIV/0!</v>
      </c>
      <c r="AI227" s="376" t="e">
        <f>AI225/AH225-1</f>
        <v>#DIV/0!</v>
      </c>
      <c r="AJ227" s="376" t="e">
        <f>AJ225/AI225-1</f>
        <v>#DIV/0!</v>
      </c>
      <c r="AK227" s="376" t="e">
        <f t="shared" ref="AK227:AL227" si="96">AK225/AJ225-1</f>
        <v>#DIV/0!</v>
      </c>
      <c r="AL227" s="376" t="e">
        <f t="shared" si="96"/>
        <v>#DIV/0!</v>
      </c>
    </row>
    <row r="228" spans="2:52">
      <c r="B228" s="89" t="s">
        <v>161</v>
      </c>
      <c r="D228" s="7"/>
    </row>
    <row r="229" spans="2:52" ht="13.8">
      <c r="B229" s="89" t="s">
        <v>162</v>
      </c>
      <c r="D229" s="7"/>
      <c r="AH229" s="51"/>
      <c r="AI229" s="377"/>
      <c r="AJ229" s="377"/>
      <c r="AK229" s="377"/>
      <c r="AL229" s="377"/>
      <c r="AM229" s="377"/>
      <c r="AN229" s="377"/>
    </row>
    <row r="230" spans="2:52">
      <c r="B230" s="89" t="s">
        <v>180</v>
      </c>
      <c r="D230" s="7"/>
    </row>
    <row r="231" spans="2:52">
      <c r="B231" s="89" t="s">
        <v>163</v>
      </c>
      <c r="D231" s="7"/>
      <c r="AS231" s="23"/>
    </row>
    <row r="232" spans="2:52">
      <c r="B232" s="89" t="s">
        <v>52</v>
      </c>
      <c r="D232" s="7"/>
    </row>
    <row r="233" spans="2:52">
      <c r="B233" s="89" t="s">
        <v>53</v>
      </c>
      <c r="D233" s="7"/>
      <c r="I233" t="s">
        <v>18</v>
      </c>
      <c r="J233" s="18">
        <f>(X258/S258)^0.2-1</f>
        <v>0.13060662304379034</v>
      </c>
      <c r="AU233" s="23"/>
    </row>
    <row r="234" spans="2:52">
      <c r="B234" s="89" t="s">
        <v>164</v>
      </c>
      <c r="D234" s="7"/>
      <c r="F234">
        <v>1</v>
      </c>
      <c r="G234">
        <v>2</v>
      </c>
      <c r="H234">
        <v>3</v>
      </c>
      <c r="I234">
        <v>4</v>
      </c>
      <c r="J234">
        <f>I234+1</f>
        <v>5</v>
      </c>
      <c r="K234">
        <f t="shared" ref="K234:AE234" si="97">J234+1</f>
        <v>6</v>
      </c>
      <c r="L234">
        <f t="shared" si="97"/>
        <v>7</v>
      </c>
      <c r="M234">
        <f t="shared" si="97"/>
        <v>8</v>
      </c>
      <c r="N234">
        <f t="shared" si="97"/>
        <v>9</v>
      </c>
      <c r="O234">
        <f t="shared" si="97"/>
        <v>10</v>
      </c>
      <c r="P234">
        <f t="shared" si="97"/>
        <v>11</v>
      </c>
      <c r="Q234">
        <f t="shared" si="97"/>
        <v>12</v>
      </c>
      <c r="R234">
        <f t="shared" si="97"/>
        <v>13</v>
      </c>
      <c r="S234">
        <f t="shared" si="97"/>
        <v>14</v>
      </c>
      <c r="T234">
        <f t="shared" si="97"/>
        <v>15</v>
      </c>
      <c r="U234">
        <f t="shared" si="97"/>
        <v>16</v>
      </c>
      <c r="V234">
        <f t="shared" si="97"/>
        <v>17</v>
      </c>
      <c r="W234">
        <f t="shared" si="97"/>
        <v>18</v>
      </c>
      <c r="X234">
        <f t="shared" si="97"/>
        <v>19</v>
      </c>
      <c r="Y234">
        <f t="shared" si="97"/>
        <v>20</v>
      </c>
      <c r="Z234">
        <f t="shared" si="97"/>
        <v>21</v>
      </c>
      <c r="AA234">
        <f t="shared" si="97"/>
        <v>22</v>
      </c>
      <c r="AB234">
        <f t="shared" si="97"/>
        <v>23</v>
      </c>
      <c r="AC234">
        <f t="shared" si="97"/>
        <v>24</v>
      </c>
      <c r="AD234">
        <f t="shared" si="97"/>
        <v>25</v>
      </c>
      <c r="AE234">
        <f t="shared" si="97"/>
        <v>26</v>
      </c>
      <c r="AF234">
        <f>AE234+1</f>
        <v>27</v>
      </c>
      <c r="AG234">
        <f>AF234+1</f>
        <v>28</v>
      </c>
      <c r="AH234">
        <f>AG234+1</f>
        <v>29</v>
      </c>
      <c r="AI234">
        <f>AH234+1</f>
        <v>30</v>
      </c>
      <c r="AJ234">
        <v>31</v>
      </c>
      <c r="AK234">
        <v>32</v>
      </c>
      <c r="AL234">
        <v>33</v>
      </c>
      <c r="AM234">
        <v>34</v>
      </c>
      <c r="AN234">
        <v>35</v>
      </c>
      <c r="AO234">
        <v>36</v>
      </c>
      <c r="AP234">
        <v>37</v>
      </c>
      <c r="AQ234">
        <v>38</v>
      </c>
      <c r="AR234">
        <v>39</v>
      </c>
      <c r="AS234">
        <v>40</v>
      </c>
      <c r="AT234">
        <v>41</v>
      </c>
      <c r="AU234">
        <v>42</v>
      </c>
    </row>
    <row r="235" spans="2:52">
      <c r="B235" s="89" t="s">
        <v>165</v>
      </c>
      <c r="E235" s="9"/>
      <c r="F235" s="10" t="s">
        <v>116</v>
      </c>
      <c r="G235" s="10" t="s">
        <v>117</v>
      </c>
      <c r="H235" s="10" t="s">
        <v>118</v>
      </c>
      <c r="I235" s="10" t="s">
        <v>119</v>
      </c>
      <c r="J235" s="10" t="s">
        <v>120</v>
      </c>
      <c r="K235" s="10" t="s">
        <v>121</v>
      </c>
      <c r="L235" s="10" t="s">
        <v>122</v>
      </c>
      <c r="M235" s="10" t="s">
        <v>123</v>
      </c>
      <c r="N235" s="10" t="s">
        <v>102</v>
      </c>
      <c r="O235" s="10" t="s">
        <v>103</v>
      </c>
      <c r="P235" s="10" t="s">
        <v>104</v>
      </c>
      <c r="Q235" s="10" t="s">
        <v>105</v>
      </c>
      <c r="R235" s="10" t="s">
        <v>106</v>
      </c>
      <c r="S235" s="10" t="s">
        <v>107</v>
      </c>
      <c r="T235" s="10" t="s">
        <v>108</v>
      </c>
      <c r="U235" s="10" t="s">
        <v>109</v>
      </c>
      <c r="V235" s="10" t="s">
        <v>110</v>
      </c>
      <c r="W235" s="10" t="s">
        <v>111</v>
      </c>
      <c r="X235" s="10" t="s">
        <v>112</v>
      </c>
      <c r="Y235" s="10" t="s">
        <v>113</v>
      </c>
      <c r="Z235" s="10" t="s">
        <v>114</v>
      </c>
      <c r="AA235" s="10" t="s">
        <v>115</v>
      </c>
      <c r="AB235" s="10" t="s">
        <v>124</v>
      </c>
      <c r="AC235" s="10" t="s">
        <v>125</v>
      </c>
      <c r="AD235" s="10" t="s">
        <v>126</v>
      </c>
      <c r="AE235" s="10" t="s">
        <v>127</v>
      </c>
      <c r="AF235" s="10" t="s">
        <v>128</v>
      </c>
      <c r="AG235" s="10" t="s">
        <v>129</v>
      </c>
      <c r="AH235" s="10" t="s">
        <v>130</v>
      </c>
      <c r="AI235" s="10" t="s">
        <v>131</v>
      </c>
      <c r="AJ235" s="10" t="s">
        <v>132</v>
      </c>
      <c r="AK235" s="10" t="s">
        <v>133</v>
      </c>
      <c r="AL235" s="10" t="s">
        <v>134</v>
      </c>
      <c r="AM235" s="10" t="s">
        <v>135</v>
      </c>
      <c r="AN235" s="10" t="s">
        <v>136</v>
      </c>
      <c r="AO235" s="10" t="s">
        <v>137</v>
      </c>
      <c r="AP235" s="10" t="s">
        <v>138</v>
      </c>
      <c r="AQ235" s="10" t="s">
        <v>139</v>
      </c>
      <c r="AR235" s="10" t="s">
        <v>140</v>
      </c>
      <c r="AS235" s="10" t="s">
        <v>141</v>
      </c>
      <c r="AT235" s="10" t="s">
        <v>142</v>
      </c>
      <c r="AU235" s="10" t="s">
        <v>143</v>
      </c>
      <c r="AV235" s="10" t="s">
        <v>144</v>
      </c>
      <c r="AW235" s="10" t="s">
        <v>145</v>
      </c>
      <c r="AZ235" s="1249" t="s">
        <v>595</v>
      </c>
    </row>
    <row r="236" spans="2:52">
      <c r="B236" s="89" t="s">
        <v>56</v>
      </c>
      <c r="E236" t="s">
        <v>17</v>
      </c>
    </row>
    <row r="237" spans="2:52">
      <c r="B237" s="89"/>
      <c r="D237" s="7"/>
      <c r="E237" s="93" t="s">
        <v>22</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99">
        <v>399.76259315324842</v>
      </c>
      <c r="W237" s="99">
        <v>458.95183409135132</v>
      </c>
      <c r="X237" s="99">
        <v>404.70655616100464</v>
      </c>
      <c r="Y237" s="99">
        <v>426.6986393683332</v>
      </c>
      <c r="Z237" s="99">
        <v>439.59398006021655</v>
      </c>
      <c r="AA237" s="99">
        <v>493.23885616645731</v>
      </c>
      <c r="AB237" s="99">
        <v>438.93410355430461</v>
      </c>
      <c r="AC237" s="99">
        <v>464.55640441465545</v>
      </c>
      <c r="AD237" s="1045">
        <v>574.81324193000012</v>
      </c>
      <c r="AE237" s="1045">
        <v>646.28303427999992</v>
      </c>
      <c r="AF237" s="1045">
        <v>674.66583959898378</v>
      </c>
      <c r="AG237" s="1045">
        <v>801.34185283538886</v>
      </c>
      <c r="AH237" s="1045">
        <v>715.72646777793818</v>
      </c>
      <c r="AI237" s="1045">
        <v>820.4964072612147</v>
      </c>
      <c r="AJ237" s="1045">
        <v>809.58724973224446</v>
      </c>
      <c r="AK237" s="1045">
        <v>814.82450627820526</v>
      </c>
      <c r="AL237" s="621">
        <f>Summary!W69</f>
        <v>0</v>
      </c>
      <c r="AM237" s="621">
        <f>Summary!X69</f>
        <v>0</v>
      </c>
      <c r="AN237" s="621">
        <f>Summary!Y69</f>
        <v>0</v>
      </c>
      <c r="AO237" s="621">
        <f>Summary!Z69</f>
        <v>0</v>
      </c>
      <c r="AP237" s="621">
        <f>Summary!AA69</f>
        <v>0</v>
      </c>
      <c r="AQ237" s="621">
        <f>Summary!AB69</f>
        <v>0</v>
      </c>
      <c r="AR237" s="621">
        <f>Summary!AC69</f>
        <v>0</v>
      </c>
      <c r="AS237" s="621">
        <f>Summary!AD69</f>
        <v>0</v>
      </c>
      <c r="AT237" s="621">
        <f>Summary!AE69</f>
        <v>0</v>
      </c>
      <c r="AU237" s="621">
        <f>Summary!AF69</f>
        <v>0</v>
      </c>
      <c r="AV237" s="621">
        <f>Summary!AG69</f>
        <v>0</v>
      </c>
      <c r="AW237" s="621">
        <f>Summary!AH69</f>
        <v>0</v>
      </c>
      <c r="AX237" s="159" t="str">
        <f t="shared" ref="AX237:AX242" si="98">E237</f>
        <v xml:space="preserve">Ethernet </v>
      </c>
      <c r="AZ237" s="332" t="e">
        <f t="shared" ref="AZ237:AZ243" si="99">SUM(AT237:AU237)/SUM(AP237:AQ237)-1</f>
        <v>#DIV/0!</v>
      </c>
    </row>
    <row r="238" spans="2:52">
      <c r="D238" s="7"/>
      <c r="E238" s="93" t="s">
        <v>20</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99">
        <v>58.182045670000001</v>
      </c>
      <c r="W238" s="99">
        <v>62.115745930000003</v>
      </c>
      <c r="X238" s="99">
        <v>68.800230620000008</v>
      </c>
      <c r="Y238" s="99">
        <v>74.000017349999993</v>
      </c>
      <c r="Z238" s="99">
        <v>69.144194289999987</v>
      </c>
      <c r="AA238" s="99">
        <v>65.340849000000006</v>
      </c>
      <c r="AB238" s="99">
        <v>59.783707810022072</v>
      </c>
      <c r="AC238" s="99">
        <v>64.381270084985161</v>
      </c>
      <c r="AD238" s="1045">
        <v>59.031201899999992</v>
      </c>
      <c r="AE238" s="1045">
        <v>60.222978640000001</v>
      </c>
      <c r="AF238" s="1045">
        <v>55.57382325504868</v>
      </c>
      <c r="AG238" s="1045">
        <v>68.272802904618231</v>
      </c>
      <c r="AH238" s="1045">
        <v>56.739276800113608</v>
      </c>
      <c r="AI238" s="1045">
        <v>62.871894432037813</v>
      </c>
      <c r="AJ238" s="1045">
        <v>63.370640999999942</v>
      </c>
      <c r="AK238" s="1045">
        <v>63.396205999999985</v>
      </c>
      <c r="AL238" s="621">
        <f>Summary!W70</f>
        <v>0</v>
      </c>
      <c r="AM238" s="621">
        <f>Summary!X70</f>
        <v>0</v>
      </c>
      <c r="AN238" s="621">
        <f>Summary!Y70</f>
        <v>0</v>
      </c>
      <c r="AO238" s="621">
        <f>Summary!Z70</f>
        <v>0</v>
      </c>
      <c r="AP238" s="621">
        <f>Summary!AA70</f>
        <v>0</v>
      </c>
      <c r="AQ238" s="621">
        <f>Summary!AB70</f>
        <v>0</v>
      </c>
      <c r="AR238" s="621">
        <f>Summary!AC70</f>
        <v>0</v>
      </c>
      <c r="AS238" s="621">
        <f>Summary!AD70</f>
        <v>0</v>
      </c>
      <c r="AT238" s="621">
        <f>Summary!AE70</f>
        <v>0</v>
      </c>
      <c r="AU238" s="621">
        <f>Summary!AF70</f>
        <v>0</v>
      </c>
      <c r="AV238" s="621">
        <f>Summary!AG70</f>
        <v>0</v>
      </c>
      <c r="AW238" s="621">
        <f>Summary!AH70</f>
        <v>0</v>
      </c>
      <c r="AX238" s="159" t="str">
        <f t="shared" si="98"/>
        <v>Fibre Channel</v>
      </c>
      <c r="AZ238" s="332" t="e">
        <f t="shared" si="99"/>
        <v>#DIV/0!</v>
      </c>
    </row>
    <row r="239" spans="2:52">
      <c r="D239" s="7"/>
      <c r="E239" s="93" t="s">
        <v>21</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99">
        <v>20.460470885317015</v>
      </c>
      <c r="W239" s="99">
        <v>36.082865883796558</v>
      </c>
      <c r="X239" s="99">
        <v>33.523126987014933</v>
      </c>
      <c r="Y239" s="99">
        <v>37.27421081221749</v>
      </c>
      <c r="Z239" s="99">
        <v>43.846921630000004</v>
      </c>
      <c r="AA239" s="99">
        <v>53.035670459999992</v>
      </c>
      <c r="AB239" s="99">
        <v>51.017422667736142</v>
      </c>
      <c r="AC239" s="99">
        <v>35.863640746232825</v>
      </c>
      <c r="AD239" s="1045">
        <v>52.390062026999999</v>
      </c>
      <c r="AE239" s="1045">
        <v>50.850225741000003</v>
      </c>
      <c r="AF239" s="1045">
        <v>56.618452832003968</v>
      </c>
      <c r="AG239" s="1045">
        <v>60.830675652672319</v>
      </c>
      <c r="AH239" s="1045">
        <v>63.957993999999999</v>
      </c>
      <c r="AI239" s="1045">
        <v>62.745559</v>
      </c>
      <c r="AJ239" s="1045">
        <v>64.137828949999971</v>
      </c>
      <c r="AK239" s="1045">
        <v>62.059159623799992</v>
      </c>
      <c r="AL239" s="621">
        <f>Summary!W71</f>
        <v>0</v>
      </c>
      <c r="AM239" s="621">
        <f>Summary!X71</f>
        <v>0</v>
      </c>
      <c r="AN239" s="621">
        <f>Summary!Y71</f>
        <v>0</v>
      </c>
      <c r="AO239" s="621">
        <f>Summary!Z71</f>
        <v>0</v>
      </c>
      <c r="AP239" s="621">
        <f>Summary!AA71</f>
        <v>0</v>
      </c>
      <c r="AQ239" s="621">
        <f>Summary!AB71</f>
        <v>0</v>
      </c>
      <c r="AR239" s="621">
        <f>Summary!AC71</f>
        <v>0</v>
      </c>
      <c r="AS239" s="621">
        <f>Summary!AD71</f>
        <v>0</v>
      </c>
      <c r="AT239" s="621">
        <f>Summary!AE71</f>
        <v>0</v>
      </c>
      <c r="AU239" s="621">
        <f>Summary!AF71</f>
        <v>0</v>
      </c>
      <c r="AV239" s="621">
        <f>Summary!AG71</f>
        <v>0</v>
      </c>
      <c r="AW239" s="621">
        <f>Summary!AH71</f>
        <v>0</v>
      </c>
      <c r="AX239" s="159" t="str">
        <f t="shared" si="98"/>
        <v>Optical Interconnects</v>
      </c>
      <c r="AZ239" s="332" t="e">
        <f t="shared" si="99"/>
        <v>#DIV/0!</v>
      </c>
    </row>
    <row r="240" spans="2:52">
      <c r="D240" s="7"/>
      <c r="E240" s="93" t="s">
        <v>152</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99">
        <v>190.70730727875454</v>
      </c>
      <c r="W240" s="99">
        <v>187.94189193638658</v>
      </c>
      <c r="X240" s="99">
        <v>195.5118174679553</v>
      </c>
      <c r="Y240" s="99">
        <v>212.64251386880485</v>
      </c>
      <c r="Z240" s="99">
        <v>202.53327321968504</v>
      </c>
      <c r="AA240" s="99">
        <v>212.20412135029335</v>
      </c>
      <c r="AB240" s="99">
        <v>205.74416996662052</v>
      </c>
      <c r="AC240" s="99">
        <v>211.48703559850958</v>
      </c>
      <c r="AD240" s="1045">
        <v>220.71884872000001</v>
      </c>
      <c r="AE240" s="1045">
        <v>247.12567739000002</v>
      </c>
      <c r="AF240" s="1045">
        <v>266.26970415696405</v>
      </c>
      <c r="AG240" s="1045">
        <v>281.19816038189776</v>
      </c>
      <c r="AH240" s="1045">
        <v>270.20488843130698</v>
      </c>
      <c r="AI240" s="1045">
        <v>256.6279579070993</v>
      </c>
      <c r="AJ240" s="1045">
        <v>243.3572022531458</v>
      </c>
      <c r="AK240" s="1045">
        <v>217.88631132471454</v>
      </c>
      <c r="AL240" s="621">
        <f>Summary!W72</f>
        <v>0</v>
      </c>
      <c r="AM240" s="621">
        <f>Summary!X72</f>
        <v>0</v>
      </c>
      <c r="AN240" s="621">
        <f>Summary!Y72</f>
        <v>0</v>
      </c>
      <c r="AO240" s="621">
        <f>Summary!Z72</f>
        <v>0</v>
      </c>
      <c r="AP240" s="621">
        <f>Summary!AA72</f>
        <v>0</v>
      </c>
      <c r="AQ240" s="621">
        <f>Summary!AB72</f>
        <v>0</v>
      </c>
      <c r="AR240" s="621">
        <f>Summary!AC72</f>
        <v>0</v>
      </c>
      <c r="AS240" s="621">
        <f>Summary!AD72</f>
        <v>0</v>
      </c>
      <c r="AT240" s="621">
        <f>Summary!AE72</f>
        <v>0</v>
      </c>
      <c r="AU240" s="621">
        <f>Summary!AF72</f>
        <v>0</v>
      </c>
      <c r="AV240" s="621">
        <f>Summary!AG72</f>
        <v>0</v>
      </c>
      <c r="AW240" s="621">
        <f>Summary!AH72</f>
        <v>0</v>
      </c>
      <c r="AX240" s="159" t="str">
        <f t="shared" si="98"/>
        <v>CWDM/DWDM</v>
      </c>
      <c r="AZ240" s="332" t="e">
        <f t="shared" si="99"/>
        <v>#DIV/0!</v>
      </c>
    </row>
    <row r="241" spans="4:52">
      <c r="D241" s="7"/>
      <c r="E241" s="93" t="s">
        <v>34</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99">
        <v>102.47948385821971</v>
      </c>
      <c r="W241" s="99">
        <v>125.46862342762363</v>
      </c>
      <c r="X241" s="99">
        <v>110.54789892494897</v>
      </c>
      <c r="Y241" s="99">
        <v>99.350660410938346</v>
      </c>
      <c r="Z241" s="99">
        <v>110.21183224490741</v>
      </c>
      <c r="AA241" s="99">
        <v>91.17723711893295</v>
      </c>
      <c r="AB241" s="99">
        <v>72.577522980373644</v>
      </c>
      <c r="AC241" s="99">
        <v>93.458368755009829</v>
      </c>
      <c r="AD241" s="1045">
        <v>86.826255020000005</v>
      </c>
      <c r="AE241" s="1045">
        <v>89.81419004</v>
      </c>
      <c r="AF241" s="1045">
        <v>50.209634004062742</v>
      </c>
      <c r="AG241" s="1045">
        <v>47.666089185393695</v>
      </c>
      <c r="AH241" s="1045">
        <v>49.844619000000002</v>
      </c>
      <c r="AI241" s="1045">
        <v>50.637574000000001</v>
      </c>
      <c r="AJ241" s="1045">
        <v>30.340037777510627</v>
      </c>
      <c r="AK241" s="1045">
        <v>31.02065639624454</v>
      </c>
      <c r="AL241" s="621">
        <f>Summary!W73</f>
        <v>0</v>
      </c>
      <c r="AM241" s="621">
        <f>Summary!X73</f>
        <v>0</v>
      </c>
      <c r="AN241" s="621">
        <f>Summary!Y73</f>
        <v>0</v>
      </c>
      <c r="AO241" s="621">
        <f>Summary!Z73</f>
        <v>0</v>
      </c>
      <c r="AP241" s="621">
        <f>Summary!AA73</f>
        <v>0</v>
      </c>
      <c r="AQ241" s="621">
        <f>Summary!AB73</f>
        <v>0</v>
      </c>
      <c r="AR241" s="621">
        <f>Summary!AC73</f>
        <v>0</v>
      </c>
      <c r="AS241" s="621">
        <f>Summary!AD73</f>
        <v>0</v>
      </c>
      <c r="AT241" s="621">
        <f>Summary!AE73</f>
        <v>0</v>
      </c>
      <c r="AU241" s="621">
        <f>Summary!AF73</f>
        <v>0</v>
      </c>
      <c r="AV241" s="621">
        <f>Summary!AG73</f>
        <v>0</v>
      </c>
      <c r="AW241" s="621">
        <f>Summary!AH73</f>
        <v>0</v>
      </c>
      <c r="AX241" s="159" t="str">
        <f t="shared" si="98"/>
        <v>Wireless</v>
      </c>
      <c r="AZ241" s="332" t="e">
        <f t="shared" si="99"/>
        <v>#DIV/0!</v>
      </c>
    </row>
    <row r="242" spans="4:52">
      <c r="D242" s="7"/>
      <c r="E242" s="93" t="s">
        <v>25</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99">
        <v>80.735737449389745</v>
      </c>
      <c r="W242" s="99">
        <v>81.626975032385261</v>
      </c>
      <c r="X242" s="99">
        <v>95.739639643731479</v>
      </c>
      <c r="Y242" s="99">
        <v>97.115930005148812</v>
      </c>
      <c r="Z242" s="99">
        <v>99.245026673345848</v>
      </c>
      <c r="AA242" s="99">
        <v>114.01235213170845</v>
      </c>
      <c r="AB242" s="99">
        <v>144.01841977653322</v>
      </c>
      <c r="AC242" s="99">
        <v>164.82885055716505</v>
      </c>
      <c r="AD242" s="1045">
        <v>191.83231609999999</v>
      </c>
      <c r="AE242" s="1045">
        <v>196.06846041</v>
      </c>
      <c r="AF242" s="1045">
        <v>179.23087080950984</v>
      </c>
      <c r="AG242" s="1045">
        <v>192.400709045696</v>
      </c>
      <c r="AH242" s="1045">
        <v>144.31780632411963</v>
      </c>
      <c r="AI242" s="1045">
        <v>137.87054910265189</v>
      </c>
      <c r="AJ242" s="1045">
        <v>107.06617811290673</v>
      </c>
      <c r="AK242" s="1045">
        <v>113.85412906297407</v>
      </c>
      <c r="AL242" s="621">
        <f>Summary!W74</f>
        <v>0</v>
      </c>
      <c r="AM242" s="621">
        <f>Summary!X74</f>
        <v>0</v>
      </c>
      <c r="AN242" s="621">
        <f>Summary!Y74</f>
        <v>0</v>
      </c>
      <c r="AO242" s="621">
        <f>Summary!Z74</f>
        <v>0</v>
      </c>
      <c r="AP242" s="621">
        <f>Summary!AA74</f>
        <v>0</v>
      </c>
      <c r="AQ242" s="621">
        <f>Summary!AB74</f>
        <v>0</v>
      </c>
      <c r="AR242" s="621">
        <f>Summary!AC74</f>
        <v>0</v>
      </c>
      <c r="AS242" s="621">
        <f>Summary!AD74</f>
        <v>0</v>
      </c>
      <c r="AT242" s="621">
        <f>Summary!AE74</f>
        <v>0</v>
      </c>
      <c r="AU242" s="621">
        <f>Summary!AF74</f>
        <v>0</v>
      </c>
      <c r="AV242" s="621">
        <f>Summary!AG74</f>
        <v>0</v>
      </c>
      <c r="AW242" s="621">
        <f>Summary!AH74</f>
        <v>0</v>
      </c>
      <c r="AX242" s="159" t="str">
        <f t="shared" si="98"/>
        <v>FTTx</v>
      </c>
      <c r="AZ242" s="332" t="e">
        <f t="shared" si="99"/>
        <v>#DIV/0!</v>
      </c>
    </row>
    <row r="243" spans="4:52">
      <c r="D243" s="7"/>
      <c r="E243" s="2" t="s">
        <v>19</v>
      </c>
      <c r="F243" s="17">
        <f t="shared" ref="F243:AO243" si="100">SUM(F237:F242)</f>
        <v>460.43010014000004</v>
      </c>
      <c r="G243" s="17">
        <f t="shared" si="100"/>
        <v>480.18294604809898</v>
      </c>
      <c r="H243" s="17">
        <f t="shared" si="100"/>
        <v>531.49570567287299</v>
      </c>
      <c r="I243" s="17">
        <f t="shared" si="100"/>
        <v>570.06034413417058</v>
      </c>
      <c r="J243" s="17">
        <f t="shared" si="100"/>
        <v>559.65868994525215</v>
      </c>
      <c r="K243" s="17">
        <f t="shared" si="100"/>
        <v>588.29998807663992</v>
      </c>
      <c r="L243" s="17">
        <f t="shared" si="100"/>
        <v>613.72245695033837</v>
      </c>
      <c r="M243" s="17">
        <f t="shared" si="100"/>
        <v>634.54529121750375</v>
      </c>
      <c r="N243" s="17">
        <f t="shared" ref="N243" si="101">SUM(N237:N242)</f>
        <v>634.54529121750375</v>
      </c>
      <c r="O243" s="17">
        <f t="shared" si="100"/>
        <v>695.86079231660062</v>
      </c>
      <c r="P243" s="17">
        <f t="shared" si="100"/>
        <v>674.69212160151153</v>
      </c>
      <c r="Q243" s="17">
        <f t="shared" si="100"/>
        <v>672.48948670684626</v>
      </c>
      <c r="R243" s="17">
        <f t="shared" si="100"/>
        <v>695</v>
      </c>
      <c r="S243" s="17">
        <f t="shared" si="100"/>
        <v>762</v>
      </c>
      <c r="T243" s="17">
        <f t="shared" si="100"/>
        <v>800.49437567607936</v>
      </c>
      <c r="U243" s="17">
        <f t="shared" si="100"/>
        <v>834.2393328042856</v>
      </c>
      <c r="V243" s="17">
        <f t="shared" si="100"/>
        <v>852.32763829492944</v>
      </c>
      <c r="W243" s="17">
        <f t="shared" si="100"/>
        <v>952.18793630154335</v>
      </c>
      <c r="X243" s="17">
        <f t="shared" si="100"/>
        <v>908.82926980465538</v>
      </c>
      <c r="Y243" s="17">
        <f t="shared" si="100"/>
        <v>947.08197181544267</v>
      </c>
      <c r="Z243" s="17">
        <f t="shared" si="100"/>
        <v>964.57522811815488</v>
      </c>
      <c r="AA243" s="17">
        <f t="shared" si="100"/>
        <v>1029.0090862273921</v>
      </c>
      <c r="AB243" s="17">
        <f t="shared" si="100"/>
        <v>972.07534675559032</v>
      </c>
      <c r="AC243" s="17">
        <f t="shared" si="100"/>
        <v>1034.5755701565579</v>
      </c>
      <c r="AD243" s="17">
        <f t="shared" si="100"/>
        <v>1185.6119256970001</v>
      </c>
      <c r="AE243" s="17">
        <f t="shared" si="100"/>
        <v>1290.3645665009999</v>
      </c>
      <c r="AF243" s="17">
        <f t="shared" si="100"/>
        <v>1282.5683246565732</v>
      </c>
      <c r="AG243" s="17">
        <f t="shared" si="100"/>
        <v>1451.7102900056668</v>
      </c>
      <c r="AH243" s="17">
        <f t="shared" si="100"/>
        <v>1300.7910523334783</v>
      </c>
      <c r="AI243" s="17">
        <f t="shared" si="100"/>
        <v>1391.2499417030037</v>
      </c>
      <c r="AJ243" s="17">
        <f t="shared" si="100"/>
        <v>1317.8591378258075</v>
      </c>
      <c r="AK243" s="17">
        <f t="shared" si="100"/>
        <v>1303.0409686859384</v>
      </c>
      <c r="AL243" s="17">
        <f t="shared" si="100"/>
        <v>0</v>
      </c>
      <c r="AM243" s="17">
        <f t="shared" si="100"/>
        <v>0</v>
      </c>
      <c r="AN243" s="17">
        <f t="shared" si="100"/>
        <v>0</v>
      </c>
      <c r="AO243" s="17">
        <f t="shared" si="100"/>
        <v>0</v>
      </c>
      <c r="AP243" s="17">
        <f t="shared" ref="AP243" si="102">SUM(AP237:AP242)</f>
        <v>0</v>
      </c>
      <c r="AQ243" s="17">
        <f t="shared" ref="AQ243" si="103">SUM(AQ237:AQ242)</f>
        <v>0</v>
      </c>
      <c r="AR243" s="17">
        <f t="shared" ref="AR243:AW243" si="104">SUM(AR237:AR242)</f>
        <v>0</v>
      </c>
      <c r="AS243" s="17">
        <f t="shared" si="104"/>
        <v>0</v>
      </c>
      <c r="AT243" s="17">
        <f t="shared" si="104"/>
        <v>0</v>
      </c>
      <c r="AU243" s="17">
        <f t="shared" si="104"/>
        <v>0</v>
      </c>
      <c r="AV243" s="17">
        <f t="shared" si="104"/>
        <v>0</v>
      </c>
      <c r="AW243" s="17">
        <f t="shared" si="104"/>
        <v>0</v>
      </c>
      <c r="AX243" s="17" t="s">
        <v>19</v>
      </c>
      <c r="AZ243" s="332" t="e">
        <f t="shared" si="99"/>
        <v>#DIV/0!</v>
      </c>
    </row>
    <row r="244" spans="4:52" ht="16.05" customHeight="1">
      <c r="D244" s="7"/>
      <c r="E244" s="2" t="s">
        <v>150</v>
      </c>
      <c r="G244" s="5">
        <f t="shared" ref="G244:AE244" si="105">G243/F243-1</f>
        <v>4.290085705103297E-2</v>
      </c>
      <c r="H244" s="5">
        <f t="shared" si="105"/>
        <v>0.10686085386221555</v>
      </c>
      <c r="I244" s="5">
        <f t="shared" si="105"/>
        <v>7.2558701885417465E-2</v>
      </c>
      <c r="J244" s="5">
        <f t="shared" si="105"/>
        <v>-1.8246584411544808E-2</v>
      </c>
      <c r="K244" s="5">
        <f t="shared" si="105"/>
        <v>5.1176366321033173E-2</v>
      </c>
      <c r="L244" s="5">
        <f t="shared" si="105"/>
        <v>4.3213444482318453E-2</v>
      </c>
      <c r="M244" s="5">
        <f t="shared" si="105"/>
        <v>3.3928747484060828E-2</v>
      </c>
      <c r="N244" s="5">
        <f t="shared" si="105"/>
        <v>0</v>
      </c>
      <c r="O244" s="5">
        <f t="shared" si="105"/>
        <v>9.6629038065116912E-2</v>
      </c>
      <c r="P244" s="5">
        <f t="shared" si="105"/>
        <v>-3.0420841278635868E-2</v>
      </c>
      <c r="Q244" s="5">
        <f t="shared" si="105"/>
        <v>-3.2646518673389302E-3</v>
      </c>
      <c r="R244" s="5">
        <f t="shared" si="105"/>
        <v>3.3473405515061394E-2</v>
      </c>
      <c r="S244" s="5">
        <f t="shared" si="105"/>
        <v>9.6402877697841616E-2</v>
      </c>
      <c r="T244" s="5">
        <f t="shared" si="105"/>
        <v>5.0517553380681646E-2</v>
      </c>
      <c r="U244" s="5">
        <f t="shared" si="105"/>
        <v>4.2155145811869188E-2</v>
      </c>
      <c r="V244" s="5">
        <f t="shared" si="105"/>
        <v>2.1682393504319997E-2</v>
      </c>
      <c r="W244" s="5">
        <f t="shared" si="105"/>
        <v>0.11716186771366832</v>
      </c>
      <c r="X244" s="5">
        <f t="shared" si="105"/>
        <v>-4.5535828426161551E-2</v>
      </c>
      <c r="Y244" s="5">
        <f t="shared" si="105"/>
        <v>4.2090085873895067E-2</v>
      </c>
      <c r="Z244" s="5">
        <f t="shared" si="105"/>
        <v>1.8470688729487428E-2</v>
      </c>
      <c r="AA244" s="5">
        <f t="shared" si="105"/>
        <v>6.6800241423310203E-2</v>
      </c>
      <c r="AB244" s="5">
        <f t="shared" si="105"/>
        <v>-5.5328704317408217E-2</v>
      </c>
      <c r="AC244" s="5">
        <f t="shared" si="105"/>
        <v>6.4295657337231082E-2</v>
      </c>
      <c r="AD244" s="5">
        <f t="shared" si="105"/>
        <v>0.14598871256701584</v>
      </c>
      <c r="AE244" s="5">
        <f t="shared" si="105"/>
        <v>8.8353228011279983E-2</v>
      </c>
      <c r="AF244" s="5">
        <f t="shared" ref="AF244:AM244" si="106">AF243/AE243-1</f>
        <v>-6.0418908321137055E-3</v>
      </c>
      <c r="AG244" s="5">
        <f t="shared" si="106"/>
        <v>0.13187754764985637</v>
      </c>
      <c r="AH244" s="5">
        <f t="shared" si="106"/>
        <v>-0.10395961143982757</v>
      </c>
      <c r="AI244" s="5">
        <f t="shared" si="106"/>
        <v>6.9541444959397625E-2</v>
      </c>
      <c r="AJ244" s="5">
        <f t="shared" si="106"/>
        <v>-5.2751703110484938E-2</v>
      </c>
      <c r="AK244" s="5">
        <f t="shared" si="106"/>
        <v>-1.1244122163401982E-2</v>
      </c>
      <c r="AL244" s="5">
        <f t="shared" si="106"/>
        <v>-1</v>
      </c>
      <c r="AM244" s="5" t="e">
        <f t="shared" si="106"/>
        <v>#DIV/0!</v>
      </c>
      <c r="AN244" s="5" t="e">
        <f t="shared" ref="AN244:AT244" si="107">AN243/AM243-1</f>
        <v>#DIV/0!</v>
      </c>
      <c r="AO244" s="5" t="e">
        <f t="shared" si="107"/>
        <v>#DIV/0!</v>
      </c>
      <c r="AP244" s="5" t="e">
        <f t="shared" si="107"/>
        <v>#DIV/0!</v>
      </c>
      <c r="AQ244" s="5" t="e">
        <f t="shared" si="107"/>
        <v>#DIV/0!</v>
      </c>
      <c r="AR244" s="5" t="e">
        <f t="shared" si="107"/>
        <v>#DIV/0!</v>
      </c>
      <c r="AS244" s="5" t="e">
        <f t="shared" si="107"/>
        <v>#DIV/0!</v>
      </c>
      <c r="AT244" s="5" t="e">
        <f t="shared" si="107"/>
        <v>#DIV/0!</v>
      </c>
      <c r="AU244" s="5" t="e">
        <f>AU243/AT243-1</f>
        <v>#DIV/0!</v>
      </c>
      <c r="AV244" s="5" t="e">
        <f>AV243/AU243-1</f>
        <v>#DIV/0!</v>
      </c>
      <c r="AW244" s="5" t="e">
        <f>AW243/AV243-1</f>
        <v>#DIV/0!</v>
      </c>
      <c r="AX244" s="1131" t="str">
        <f>E244</f>
        <v>Sequential Q/Q</v>
      </c>
    </row>
    <row r="245" spans="4:52">
      <c r="D245" s="7"/>
      <c r="E245" s="2" t="s">
        <v>149</v>
      </c>
      <c r="J245" s="5">
        <f t="shared" ref="J245:AD245" si="108">J243/F243-1</f>
        <v>0.2155128211102626</v>
      </c>
      <c r="K245" s="5">
        <f t="shared" si="108"/>
        <v>0.22515802137152763</v>
      </c>
      <c r="L245" s="5">
        <f t="shared" si="108"/>
        <v>0.15470821381965139</v>
      </c>
      <c r="M245" s="5">
        <f t="shared" si="108"/>
        <v>0.1131195104989724</v>
      </c>
      <c r="N245" s="5">
        <f t="shared" si="108"/>
        <v>0.13380762707280991</v>
      </c>
      <c r="O245" s="5">
        <f t="shared" si="108"/>
        <v>0.18283325925539273</v>
      </c>
      <c r="P245" s="5">
        <f t="shared" si="108"/>
        <v>9.9344034034763551E-2</v>
      </c>
      <c r="Q245" s="5">
        <f t="shared" si="108"/>
        <v>5.9797458139731585E-2</v>
      </c>
      <c r="R245" s="5">
        <f t="shared" si="108"/>
        <v>9.5272488219874107E-2</v>
      </c>
      <c r="S245" s="5">
        <f t="shared" si="108"/>
        <v>9.5046607617041312E-2</v>
      </c>
      <c r="T245" s="5">
        <f t="shared" si="108"/>
        <v>0.18645875658952704</v>
      </c>
      <c r="U245" s="5">
        <f t="shared" si="108"/>
        <v>0.2405239773926009</v>
      </c>
      <c r="V245" s="5">
        <f t="shared" si="108"/>
        <v>0.22637070258263225</v>
      </c>
      <c r="W245" s="5">
        <f t="shared" si="108"/>
        <v>0.24959046758732728</v>
      </c>
      <c r="X245" s="5">
        <f t="shared" si="108"/>
        <v>0.13533498475498829</v>
      </c>
      <c r="Y245" s="5">
        <f t="shared" si="108"/>
        <v>0.13526410776130371</v>
      </c>
      <c r="Z245" s="5">
        <f t="shared" si="108"/>
        <v>0.13169535373483288</v>
      </c>
      <c r="AA245" s="5">
        <f t="shared" si="108"/>
        <v>8.0678558294106306E-2</v>
      </c>
      <c r="AB245" s="5">
        <f t="shared" si="108"/>
        <v>6.9590713076977728E-2</v>
      </c>
      <c r="AC245" s="42">
        <f t="shared" si="108"/>
        <v>9.2382286797625834E-2</v>
      </c>
      <c r="AD245" s="5">
        <f t="shared" si="108"/>
        <v>0.22915444139082686</v>
      </c>
      <c r="AE245" s="5">
        <f t="shared" ref="AE245:AM245" si="109">AE243/AA243-1</f>
        <v>0.25398753399914398</v>
      </c>
      <c r="AF245" s="5">
        <f t="shared" si="109"/>
        <v>0.31941246009096691</v>
      </c>
      <c r="AG245" s="42">
        <f t="shared" si="109"/>
        <v>0.40319405549657983</v>
      </c>
      <c r="AH245" s="5">
        <f t="shared" si="109"/>
        <v>9.7147408979347594E-2</v>
      </c>
      <c r="AI245" s="42">
        <f t="shared" si="109"/>
        <v>7.8183621761692024E-2</v>
      </c>
      <c r="AJ245" s="42">
        <f t="shared" si="109"/>
        <v>2.7515737361347936E-2</v>
      </c>
      <c r="AK245" s="42">
        <f t="shared" si="109"/>
        <v>-0.1024097730402862</v>
      </c>
      <c r="AL245" s="5">
        <f t="shared" si="109"/>
        <v>-1</v>
      </c>
      <c r="AM245" s="5">
        <f t="shared" si="109"/>
        <v>-1</v>
      </c>
      <c r="AN245" s="42">
        <f t="shared" ref="AN245:AT245" si="110">AN243/AJ243-1</f>
        <v>-1</v>
      </c>
      <c r="AO245" s="42">
        <f t="shared" si="110"/>
        <v>-1</v>
      </c>
      <c r="AP245" s="42" t="e">
        <f t="shared" si="110"/>
        <v>#DIV/0!</v>
      </c>
      <c r="AQ245" s="42" t="e">
        <f t="shared" si="110"/>
        <v>#DIV/0!</v>
      </c>
      <c r="AR245" s="42" t="e">
        <f t="shared" si="110"/>
        <v>#DIV/0!</v>
      </c>
      <c r="AS245" s="42" t="e">
        <f t="shared" si="110"/>
        <v>#DIV/0!</v>
      </c>
      <c r="AT245" s="42" t="e">
        <f t="shared" si="110"/>
        <v>#DIV/0!</v>
      </c>
      <c r="AU245" s="42" t="e">
        <f>AU243/AQ243-1</f>
        <v>#DIV/0!</v>
      </c>
      <c r="AV245" s="42" t="e">
        <f>AV243/AR243-1</f>
        <v>#DIV/0!</v>
      </c>
      <c r="AW245" s="42" t="e">
        <f>AW243/AS243-1</f>
        <v>#DIV/0!</v>
      </c>
      <c r="AX245" s="1131" t="str">
        <f>E245</f>
        <v>Y-o-Y</v>
      </c>
    </row>
    <row r="246" spans="4:52">
      <c r="D246" s="7"/>
      <c r="T246" s="2" t="s">
        <v>293</v>
      </c>
      <c r="U246" s="334">
        <f>SUM(R243:U243)/SUM(N243:Q243)-1</f>
        <v>0.15467131773112053</v>
      </c>
      <c r="X246" s="2" t="s">
        <v>293</v>
      </c>
      <c r="Y246" s="335">
        <f>SUM(V243:Y243)/SUM(R243:U243)-1</f>
        <v>0.18393987366257614</v>
      </c>
      <c r="AB246" s="2" t="s">
        <v>293</v>
      </c>
      <c r="AC246" s="335">
        <f>SUM(Z243:AC243)/SUM(V243:Y243)-1</f>
        <v>9.283300339066769E-2</v>
      </c>
      <c r="AF246" s="2" t="s">
        <v>293</v>
      </c>
      <c r="AG246" s="335">
        <f>SUM(AD243:AG243)/SUM(Z243:AC243)-1</f>
        <v>0.30248718029067212</v>
      </c>
      <c r="AJ246" s="2" t="s">
        <v>293</v>
      </c>
      <c r="AK246" s="335">
        <f>SUM(AH243:AK243)/SUM(AD243:AG243)-1</f>
        <v>1.9708438758168301E-2</v>
      </c>
    </row>
    <row r="247" spans="4:52">
      <c r="D247" s="7"/>
      <c r="AE247" s="5"/>
      <c r="AG247" s="17">
        <f>SUM(AD243:AG243)</f>
        <v>5210.2551068602397</v>
      </c>
      <c r="AK247" s="17">
        <f>SUM(AH243:AK243)</f>
        <v>5312.941100548228</v>
      </c>
      <c r="AR247" s="5" t="e">
        <f t="shared" ref="AR247:AW247" si="111">AR241/AQ241-1</f>
        <v>#DIV/0!</v>
      </c>
      <c r="AS247" s="5" t="e">
        <f t="shared" si="111"/>
        <v>#DIV/0!</v>
      </c>
      <c r="AT247" s="5" t="e">
        <f t="shared" si="111"/>
        <v>#DIV/0!</v>
      </c>
      <c r="AU247" s="5" t="e">
        <f t="shared" si="111"/>
        <v>#DIV/0!</v>
      </c>
      <c r="AV247" s="5" t="e">
        <f t="shared" si="111"/>
        <v>#DIV/0!</v>
      </c>
      <c r="AW247" s="5" t="e">
        <f t="shared" si="111"/>
        <v>#DIV/0!</v>
      </c>
    </row>
    <row r="248" spans="4:52">
      <c r="D248" s="7"/>
      <c r="Q248" s="545"/>
      <c r="R248" s="546"/>
      <c r="S248" s="85" t="s">
        <v>28</v>
      </c>
      <c r="T248" s="85"/>
      <c r="U248" s="85"/>
      <c r="V248" s="85"/>
      <c r="W248" s="85"/>
      <c r="X248" s="85"/>
      <c r="Y248" s="85"/>
      <c r="Z248" s="85"/>
      <c r="AA248" s="85"/>
    </row>
    <row r="249" spans="4:52">
      <c r="D249" s="7"/>
      <c r="Q249" s="86"/>
      <c r="R249" s="27"/>
      <c r="S249" s="27"/>
      <c r="T249" s="27"/>
      <c r="U249" s="27"/>
      <c r="V249" s="27"/>
      <c r="W249" s="27"/>
      <c r="X249" s="27"/>
      <c r="Y249" s="27"/>
      <c r="Z249" s="27"/>
      <c r="AA249" s="27"/>
    </row>
    <row r="250" spans="4:52">
      <c r="D250" s="7"/>
      <c r="Q250" s="9"/>
      <c r="R250" s="3"/>
      <c r="S250" s="3">
        <v>2010</v>
      </c>
      <c r="T250" s="3">
        <v>2011</v>
      </c>
      <c r="U250" s="3">
        <v>2012</v>
      </c>
      <c r="V250" s="3">
        <v>2013</v>
      </c>
      <c r="W250" s="3">
        <v>2014</v>
      </c>
      <c r="X250" s="3">
        <v>2015</v>
      </c>
      <c r="Y250" s="387">
        <v>2016</v>
      </c>
      <c r="Z250" s="387">
        <v>2017</v>
      </c>
      <c r="AA250" s="387">
        <v>2018</v>
      </c>
      <c r="AB250" s="387" t="s">
        <v>31</v>
      </c>
    </row>
    <row r="251" spans="4:52">
      <c r="D251" s="7"/>
      <c r="Q251" s="86"/>
      <c r="R251" s="87" t="s">
        <v>22</v>
      </c>
      <c r="S251" s="88">
        <f>SUM(F237:I237)</f>
        <v>792.13496030514239</v>
      </c>
      <c r="T251" s="88">
        <f>SUM(J237:M237)</f>
        <v>905.96062051597232</v>
      </c>
      <c r="U251" s="88">
        <f>SUM(N237:Q237)</f>
        <v>1035.0926867483577</v>
      </c>
      <c r="V251" s="88">
        <f>SUM(R237:U237)</f>
        <v>1329.7661459108731</v>
      </c>
      <c r="W251" s="88">
        <f>SUM(V237:Y237)</f>
        <v>1690.1196227739376</v>
      </c>
      <c r="X251" s="88">
        <f>SUM(Z237:AC237)</f>
        <v>1836.3233441956338</v>
      </c>
      <c r="Y251" s="88">
        <f>SUM(AD237:AG237)</f>
        <v>2697.1039686443728</v>
      </c>
      <c r="Z251" s="88">
        <f>SUM(AH237:AK237)</f>
        <v>3160.6346310496024</v>
      </c>
      <c r="AA251" s="88">
        <f>SUM(AL237:AO237)</f>
        <v>0</v>
      </c>
      <c r="AB251" s="544">
        <f t="shared" ref="AB251:AB257" si="112">(AA251/S251)^(1/8)-1</f>
        <v>-1</v>
      </c>
    </row>
    <row r="252" spans="4:52">
      <c r="D252" s="7"/>
      <c r="Q252" s="86"/>
      <c r="R252" s="87" t="s">
        <v>20</v>
      </c>
      <c r="S252" s="88">
        <f>SUM(F238:I238)</f>
        <v>296.31830934000004</v>
      </c>
      <c r="T252" s="88">
        <f>SUM(J238:M238)</f>
        <v>286.54020821</v>
      </c>
      <c r="U252" s="88">
        <f>SUM(N238:Q238)</f>
        <v>284.96212309000003</v>
      </c>
      <c r="V252" s="88">
        <f>SUM(R238:U238)</f>
        <v>280.355189</v>
      </c>
      <c r="W252" s="88">
        <f>SUM(V238:Y238)</f>
        <v>263.09803957000003</v>
      </c>
      <c r="X252" s="88">
        <f>SUM(Z238:AC238)</f>
        <v>258.65002118500723</v>
      </c>
      <c r="Y252" s="88">
        <f>SUM(AD238:AG238)</f>
        <v>243.10080669966692</v>
      </c>
      <c r="Z252" s="88">
        <f>SUM(AH238:AK238)</f>
        <v>246.37801823215133</v>
      </c>
      <c r="AA252" s="88">
        <f>SUM(AL238:AO238)</f>
        <v>0</v>
      </c>
      <c r="AB252" s="544">
        <f t="shared" si="112"/>
        <v>-1</v>
      </c>
    </row>
    <row r="253" spans="4:52">
      <c r="D253" s="7"/>
      <c r="Q253" s="86"/>
      <c r="R253" s="87" t="s">
        <v>21</v>
      </c>
      <c r="S253" s="88">
        <f>SUM(F239:I239)</f>
        <v>92.700181750000098</v>
      </c>
      <c r="T253" s="88">
        <f>SUM(J239:M239)</f>
        <v>100.91455199999999</v>
      </c>
      <c r="U253" s="88">
        <f>SUM(N239:Q239)</f>
        <v>141.39232980000003</v>
      </c>
      <c r="V253" s="88">
        <f>SUM(R239:U239)</f>
        <v>124.93745308</v>
      </c>
      <c r="W253" s="88">
        <f>SUM(V239:Y239)</f>
        <v>127.340674568346</v>
      </c>
      <c r="X253" s="88">
        <f>SUM(Z239:AC239)</f>
        <v>183.76365550396895</v>
      </c>
      <c r="Y253" s="88">
        <f>SUM(AD239:AG239)</f>
        <v>220.68941625267627</v>
      </c>
      <c r="Z253" s="88">
        <f>SUM(AH239:AK239)</f>
        <v>252.90054157379996</v>
      </c>
      <c r="AA253" s="88">
        <f>SUM(AL239:AO239)</f>
        <v>0</v>
      </c>
      <c r="AB253" s="544">
        <f t="shared" si="112"/>
        <v>-1</v>
      </c>
    </row>
    <row r="254" spans="4:52">
      <c r="D254" s="7"/>
      <c r="Q254" s="86"/>
      <c r="R254" s="87"/>
      <c r="S254" s="88"/>
      <c r="T254" s="88"/>
      <c r="U254" s="88"/>
      <c r="V254" s="88"/>
      <c r="W254" s="88"/>
      <c r="X254" s="88"/>
      <c r="Y254" s="88"/>
      <c r="Z254" s="88"/>
      <c r="AA254" s="88"/>
      <c r="AB254" s="544"/>
    </row>
    <row r="255" spans="4:52">
      <c r="D255" s="7"/>
      <c r="Q255" s="86"/>
      <c r="R255" s="87" t="s">
        <v>23</v>
      </c>
      <c r="S255" s="88">
        <f>SUM(F240:I240)</f>
        <v>478.14045239999996</v>
      </c>
      <c r="T255" s="88">
        <f>SUM(J240:M240)</f>
        <v>566.39881532702668</v>
      </c>
      <c r="U255" s="88">
        <f>SUM(N240:Q240)</f>
        <v>566.70352269702676</v>
      </c>
      <c r="V255" s="88">
        <f>SUM(R240:U240)</f>
        <v>631.94330233404764</v>
      </c>
      <c r="W255" s="88">
        <f>SUM(V240:Y240)</f>
        <v>786.8035305519013</v>
      </c>
      <c r="X255" s="88">
        <f>SUM(Z240:AC240)</f>
        <v>831.96860013510843</v>
      </c>
      <c r="Y255" s="88">
        <f>SUM(AD240:AG240)</f>
        <v>1015.3123906488619</v>
      </c>
      <c r="Z255" s="88">
        <f>SUM(AH240:AK240)</f>
        <v>988.07635991626671</v>
      </c>
      <c r="AA255" s="88">
        <f>SUM(AL240:AO240)</f>
        <v>0</v>
      </c>
      <c r="AB255" s="544">
        <f t="shared" si="112"/>
        <v>-1</v>
      </c>
    </row>
    <row r="256" spans="4:52">
      <c r="D256" s="7"/>
      <c r="Q256" s="86"/>
      <c r="R256" s="87" t="s">
        <v>24</v>
      </c>
      <c r="S256" s="88">
        <f>SUM(F241:I241)</f>
        <v>0</v>
      </c>
      <c r="T256" s="88">
        <f>SUM(J241:M241)</f>
        <v>58.174615259999996</v>
      </c>
      <c r="U256" s="88">
        <f>SUM(N241:Q241)</f>
        <v>141.83993411500001</v>
      </c>
      <c r="V256" s="88">
        <f>SUM(R241:U241)</f>
        <v>286.23903241909522</v>
      </c>
      <c r="W256" s="88">
        <f>SUM(V241:Y241)</f>
        <v>437.84666662173066</v>
      </c>
      <c r="X256" s="88">
        <f>SUM(Z241:AC241)</f>
        <v>367.42496109922382</v>
      </c>
      <c r="Y256" s="88">
        <f>SUM(AD241:AG241)</f>
        <v>274.51616824945643</v>
      </c>
      <c r="Z256" s="88">
        <f>SUM(AH241:AK241)</f>
        <v>161.84288717375514</v>
      </c>
      <c r="AA256" s="88">
        <f>SUM(AL241:AO241)</f>
        <v>0</v>
      </c>
      <c r="AB256" s="544">
        <f>(AA256/T256)^(1/7)-1</f>
        <v>-1</v>
      </c>
    </row>
    <row r="257" spans="1:49">
      <c r="D257" s="7"/>
      <c r="E257" t="s">
        <v>408</v>
      </c>
      <c r="Q257" s="9"/>
      <c r="R257" s="10" t="s">
        <v>25</v>
      </c>
      <c r="S257" s="24">
        <f>SUM(F242:I242)</f>
        <v>382.87519220000001</v>
      </c>
      <c r="T257" s="24">
        <f>SUM(J242:M242)</f>
        <v>478.23761487673534</v>
      </c>
      <c r="U257" s="24">
        <f>SUM(N242:Q242)</f>
        <v>507.59709539207756</v>
      </c>
      <c r="V257" s="24">
        <f>SUM(R242:U242)</f>
        <v>438.49258573634916</v>
      </c>
      <c r="W257" s="24">
        <f>SUM(V242:Y242)</f>
        <v>355.21828213065533</v>
      </c>
      <c r="X257" s="24">
        <f>SUM(Z242:AC242)</f>
        <v>522.10464913875262</v>
      </c>
      <c r="Y257" s="24">
        <f>SUM(AD242:AG242)</f>
        <v>759.53235636520583</v>
      </c>
      <c r="Z257" s="24">
        <f>SUM(AH242:AK242)</f>
        <v>503.10866260265232</v>
      </c>
      <c r="AA257" s="24">
        <f>SUM(AL242:AO242)</f>
        <v>0</v>
      </c>
      <c r="AB257" s="336">
        <f t="shared" si="112"/>
        <v>-1</v>
      </c>
    </row>
    <row r="258" spans="1:49">
      <c r="D258" s="7"/>
      <c r="Q258" s="86"/>
      <c r="R258" s="87" t="s">
        <v>19</v>
      </c>
      <c r="S258" s="88">
        <f t="shared" ref="S258" si="113">SUM(F243:I243)</f>
        <v>2042.1690959951425</v>
      </c>
      <c r="T258" s="88">
        <f t="shared" ref="T258" si="114">SUM(J243:M243)</f>
        <v>2396.226426189734</v>
      </c>
      <c r="U258" s="88">
        <f t="shared" ref="U258" si="115">SUM(N243:Q243)</f>
        <v>2677.5876918424619</v>
      </c>
      <c r="V258" s="88">
        <f t="shared" ref="V258" si="116">SUM(R243:U243)</f>
        <v>3091.7337084803648</v>
      </c>
      <c r="W258" s="88">
        <f t="shared" ref="W258:X258" si="117">SUM(V243:Y243)</f>
        <v>3660.4268162165708</v>
      </c>
      <c r="X258" s="88">
        <f t="shared" si="117"/>
        <v>3772.6744060397964</v>
      </c>
      <c r="Y258" s="88">
        <f>SUM(AD243:AG243)</f>
        <v>5210.2551068602397</v>
      </c>
      <c r="Z258" s="88">
        <f>SUM(AE243:AH243)</f>
        <v>5325.4342334967187</v>
      </c>
      <c r="AA258" s="88">
        <f>SUM(AF243:AI243)</f>
        <v>5426.3196086987227</v>
      </c>
      <c r="AB258" s="544">
        <f>(AA258/S258)^(1/8)-1</f>
        <v>0.12993044055206626</v>
      </c>
    </row>
    <row r="259" spans="1:49">
      <c r="D259" s="7"/>
      <c r="Q259" s="86"/>
      <c r="R259" s="27"/>
      <c r="S259" s="27"/>
      <c r="T259" s="386">
        <f t="shared" ref="T259:AA259" si="118">T258/S258-1</f>
        <v>0.1733731701693686</v>
      </c>
      <c r="U259" s="386">
        <f t="shared" si="118"/>
        <v>0.11741848039799962</v>
      </c>
      <c r="V259" s="386">
        <f t="shared" si="118"/>
        <v>0.15467131773112053</v>
      </c>
      <c r="W259" s="386">
        <f t="shared" si="118"/>
        <v>0.18393987366257614</v>
      </c>
      <c r="X259" s="386">
        <f t="shared" si="118"/>
        <v>3.066516432617683E-2</v>
      </c>
      <c r="Y259" s="386">
        <f t="shared" si="118"/>
        <v>0.38105082657516753</v>
      </c>
      <c r="Z259" s="386">
        <f t="shared" si="118"/>
        <v>2.2106235543980279E-2</v>
      </c>
      <c r="AA259" s="386">
        <f t="shared" si="118"/>
        <v>1.8944065550080325E-2</v>
      </c>
      <c r="AB259" s="386"/>
    </row>
    <row r="260" spans="1:49">
      <c r="D260" s="7"/>
      <c r="Q260" s="86"/>
      <c r="R260" s="87" t="s">
        <v>16</v>
      </c>
      <c r="S260" s="88">
        <f t="shared" ref="S260:X260" si="119">S251+S252+S253</f>
        <v>1181.1534513951426</v>
      </c>
      <c r="T260" s="88">
        <f t="shared" si="119"/>
        <v>1293.4153807259722</v>
      </c>
      <c r="U260" s="88">
        <f t="shared" si="119"/>
        <v>1461.4471396383576</v>
      </c>
      <c r="V260" s="88">
        <f t="shared" si="119"/>
        <v>1735.058787990873</v>
      </c>
      <c r="W260" s="88">
        <f t="shared" si="119"/>
        <v>2080.5583369122837</v>
      </c>
      <c r="X260" s="88">
        <f t="shared" si="119"/>
        <v>2278.73702088461</v>
      </c>
      <c r="Y260" s="88">
        <f>Y251+Y252+Y253</f>
        <v>3160.8941915967162</v>
      </c>
      <c r="Z260" s="88">
        <f>Z251+Z252+Z253</f>
        <v>3659.9131908555537</v>
      </c>
      <c r="AA260" s="88">
        <f>AA251+AA252+AA253</f>
        <v>0</v>
      </c>
      <c r="AB260" s="544">
        <f t="shared" ref="AB260" si="120">(AA260/S260)^(1/8)-1</f>
        <v>-1</v>
      </c>
    </row>
    <row r="261" spans="1:49">
      <c r="D261" s="7"/>
      <c r="Q261" s="9"/>
      <c r="R261" s="10" t="s">
        <v>15</v>
      </c>
      <c r="S261" s="24">
        <f t="shared" ref="S261:X261" si="121">SUM(S254:S257)</f>
        <v>861.01564459999997</v>
      </c>
      <c r="T261" s="24">
        <f t="shared" si="121"/>
        <v>1102.811045463762</v>
      </c>
      <c r="U261" s="24">
        <f t="shared" si="121"/>
        <v>1216.1405522041043</v>
      </c>
      <c r="V261" s="24">
        <f t="shared" si="121"/>
        <v>1356.674920489492</v>
      </c>
      <c r="W261" s="24">
        <f t="shared" si="121"/>
        <v>1579.8684793042873</v>
      </c>
      <c r="X261" s="24">
        <f t="shared" si="121"/>
        <v>1721.4982103730849</v>
      </c>
      <c r="Y261" s="24">
        <f>SUM(Y254:Y257)</f>
        <v>2049.360915263524</v>
      </c>
      <c r="Z261" s="24">
        <f>SUM(Z254:Z257)</f>
        <v>1653.0279096926743</v>
      </c>
      <c r="AA261" s="24">
        <f>SUM(AA254:AA257)</f>
        <v>0</v>
      </c>
      <c r="AB261" s="547">
        <f>(AA261/S261)^(1/8)-1</f>
        <v>-1</v>
      </c>
    </row>
    <row r="262" spans="1:49">
      <c r="D262" s="7"/>
    </row>
    <row r="263" spans="1:49">
      <c r="D263" s="7"/>
    </row>
    <row r="264" spans="1:49">
      <c r="D264" s="7"/>
      <c r="F264" s="10" t="s">
        <v>116</v>
      </c>
      <c r="G264" s="10" t="s">
        <v>117</v>
      </c>
      <c r="H264" s="10" t="s">
        <v>118</v>
      </c>
      <c r="I264" s="10" t="s">
        <v>119</v>
      </c>
      <c r="J264" s="10" t="s">
        <v>120</v>
      </c>
      <c r="K264" s="10" t="s">
        <v>121</v>
      </c>
      <c r="L264" s="10" t="s">
        <v>122</v>
      </c>
      <c r="M264" s="10" t="s">
        <v>123</v>
      </c>
      <c r="N264" s="10" t="s">
        <v>102</v>
      </c>
      <c r="O264" s="10" t="s">
        <v>103</v>
      </c>
      <c r="P264" s="10" t="s">
        <v>104</v>
      </c>
      <c r="Q264" s="10" t="s">
        <v>105</v>
      </c>
      <c r="R264" s="10" t="s">
        <v>106</v>
      </c>
      <c r="S264" s="10" t="s">
        <v>107</v>
      </c>
      <c r="T264" s="10" t="s">
        <v>108</v>
      </c>
      <c r="U264" s="10" t="s">
        <v>109</v>
      </c>
      <c r="V264" s="10" t="s">
        <v>110</v>
      </c>
      <c r="W264" s="10" t="s">
        <v>111</v>
      </c>
      <c r="X264" s="10" t="s">
        <v>112</v>
      </c>
      <c r="Y264" s="10" t="s">
        <v>113</v>
      </c>
      <c r="Z264" s="10" t="s">
        <v>114</v>
      </c>
      <c r="AA264" s="10" t="s">
        <v>115</v>
      </c>
      <c r="AB264" s="10" t="s">
        <v>124</v>
      </c>
      <c r="AC264" s="10" t="s">
        <v>125</v>
      </c>
      <c r="AD264" s="10" t="s">
        <v>126</v>
      </c>
      <c r="AE264" s="10" t="s">
        <v>127</v>
      </c>
      <c r="AF264" s="10" t="s">
        <v>128</v>
      </c>
      <c r="AG264" s="10" t="s">
        <v>129</v>
      </c>
      <c r="AH264" s="10" t="s">
        <v>130</v>
      </c>
      <c r="AI264" s="10" t="s">
        <v>131</v>
      </c>
      <c r="AJ264" s="10" t="s">
        <v>132</v>
      </c>
      <c r="AK264" s="10" t="s">
        <v>133</v>
      </c>
      <c r="AL264" s="10" t="s">
        <v>134</v>
      </c>
      <c r="AM264" s="10" t="s">
        <v>135</v>
      </c>
      <c r="AN264" s="10" t="str">
        <f>AN235</f>
        <v>3Q 18</v>
      </c>
      <c r="AO264" s="10" t="str">
        <f>AO235</f>
        <v>4Q 18</v>
      </c>
      <c r="AP264" s="10" t="str">
        <f t="shared" ref="AP264:AQ264" si="122">AP235</f>
        <v>1Q 19</v>
      </c>
      <c r="AQ264" s="10" t="str">
        <f t="shared" si="122"/>
        <v>2Q 19</v>
      </c>
      <c r="AR264" s="10" t="str">
        <f>AR235</f>
        <v>3Q 19</v>
      </c>
      <c r="AS264" s="10" t="str">
        <f t="shared" ref="AS264:AW264" si="123">AS235</f>
        <v>4Q 19</v>
      </c>
      <c r="AT264" s="10" t="str">
        <f t="shared" si="123"/>
        <v>1Q 20</v>
      </c>
      <c r="AU264" s="10" t="str">
        <f t="shared" si="123"/>
        <v>2Q 20</v>
      </c>
      <c r="AV264" s="10" t="str">
        <f t="shared" si="123"/>
        <v>3Q 20</v>
      </c>
      <c r="AW264" s="10" t="str">
        <f t="shared" si="123"/>
        <v>4Q 20</v>
      </c>
    </row>
    <row r="265" spans="1:49">
      <c r="D265" s="7"/>
      <c r="E265" s="2" t="s">
        <v>16</v>
      </c>
      <c r="F265" s="4">
        <f t="shared" ref="F265:AJ265" si="124">SUM(F237:F239)</f>
        <v>281.93257282000002</v>
      </c>
      <c r="G265" s="4">
        <f t="shared" si="124"/>
        <v>274.82489804809893</v>
      </c>
      <c r="H265" s="4">
        <f t="shared" si="124"/>
        <v>298.42199647287299</v>
      </c>
      <c r="I265" s="4">
        <f t="shared" si="124"/>
        <v>325.97398405417061</v>
      </c>
      <c r="J265" s="4">
        <f t="shared" si="124"/>
        <v>293.6579260359722</v>
      </c>
      <c r="K265" s="4">
        <f t="shared" si="124"/>
        <v>308.18278899999996</v>
      </c>
      <c r="L265" s="4">
        <f t="shared" si="124"/>
        <v>351.29441188000004</v>
      </c>
      <c r="M265" s="4">
        <f t="shared" si="124"/>
        <v>340.28025381000003</v>
      </c>
      <c r="N265" s="4">
        <f>SUM(N237:P239)</f>
        <v>1094.7029480815115</v>
      </c>
      <c r="O265" s="4">
        <f t="shared" si="124"/>
        <v>378.21166979999998</v>
      </c>
      <c r="P265" s="4">
        <f t="shared" si="124"/>
        <v>376.21102447151145</v>
      </c>
      <c r="Q265" s="4">
        <f t="shared" si="124"/>
        <v>366.74419155684626</v>
      </c>
      <c r="R265" s="4">
        <f t="shared" si="124"/>
        <v>375</v>
      </c>
      <c r="S265" s="4">
        <f t="shared" si="124"/>
        <v>402</v>
      </c>
      <c r="T265" s="4">
        <f t="shared" si="124"/>
        <v>461.35634837801581</v>
      </c>
      <c r="U265" s="4">
        <f t="shared" si="124"/>
        <v>496.70243961285718</v>
      </c>
      <c r="V265" s="4">
        <f t="shared" si="124"/>
        <v>478.40510970856542</v>
      </c>
      <c r="W265" s="4">
        <f t="shared" si="124"/>
        <v>557.15044590514788</v>
      </c>
      <c r="X265" s="4">
        <f t="shared" si="124"/>
        <v>507.02991376801958</v>
      </c>
      <c r="Y265" s="4">
        <f t="shared" si="124"/>
        <v>537.97286753055073</v>
      </c>
      <c r="Z265" s="4">
        <f t="shared" si="124"/>
        <v>552.58509598021658</v>
      </c>
      <c r="AA265" s="4">
        <f t="shared" si="124"/>
        <v>611.61537562645731</v>
      </c>
      <c r="AB265" s="4">
        <f t="shared" si="124"/>
        <v>549.73523403206286</v>
      </c>
      <c r="AC265" s="4">
        <f t="shared" si="124"/>
        <v>564.80131524587341</v>
      </c>
      <c r="AD265" s="4">
        <f t="shared" si="124"/>
        <v>686.23450585700016</v>
      </c>
      <c r="AE265" s="4">
        <f t="shared" si="124"/>
        <v>757.35623866099991</v>
      </c>
      <c r="AF265" s="4">
        <f t="shared" si="124"/>
        <v>786.8581156860364</v>
      </c>
      <c r="AG265" s="4">
        <f t="shared" si="124"/>
        <v>930.44533139267935</v>
      </c>
      <c r="AH265" s="4">
        <f t="shared" si="124"/>
        <v>836.42373857805183</v>
      </c>
      <c r="AI265" s="4">
        <f t="shared" si="124"/>
        <v>946.11386069325249</v>
      </c>
      <c r="AJ265" s="4">
        <f t="shared" si="124"/>
        <v>937.09571968224441</v>
      </c>
      <c r="AK265" s="4">
        <f>SUM(AK237:AK239)</f>
        <v>940.27987190200531</v>
      </c>
      <c r="AL265" s="4">
        <f t="shared" ref="AL265:AO265" si="125">SUM(AL237:AL239)</f>
        <v>0</v>
      </c>
      <c r="AM265" s="4">
        <f t="shared" si="125"/>
        <v>0</v>
      </c>
      <c r="AN265" s="4">
        <f t="shared" si="125"/>
        <v>0</v>
      </c>
      <c r="AO265" s="4">
        <f t="shared" si="125"/>
        <v>0</v>
      </c>
      <c r="AP265" s="4">
        <f t="shared" ref="AP265:AU265" si="126">SUM(AP237:AP239)</f>
        <v>0</v>
      </c>
      <c r="AQ265" s="4">
        <f t="shared" si="126"/>
        <v>0</v>
      </c>
      <c r="AR265" s="4">
        <f t="shared" si="126"/>
        <v>0</v>
      </c>
      <c r="AS265" s="4">
        <f t="shared" si="126"/>
        <v>0</v>
      </c>
      <c r="AT265" s="4">
        <f t="shared" si="126"/>
        <v>0</v>
      </c>
      <c r="AU265" s="4">
        <f t="shared" si="126"/>
        <v>0</v>
      </c>
      <c r="AV265" s="4">
        <f t="shared" ref="AV265:AW265" si="127">SUM(AV237:AV239)</f>
        <v>0</v>
      </c>
      <c r="AW265" s="4">
        <f t="shared" si="127"/>
        <v>0</v>
      </c>
    </row>
    <row r="266" spans="1:49">
      <c r="D266" s="7"/>
      <c r="E266" s="19" t="s">
        <v>15</v>
      </c>
      <c r="F266" s="22">
        <f t="shared" ref="F266:AK266" si="128">SUM(F240:F242)</f>
        <v>178.49752731999999</v>
      </c>
      <c r="G266" s="22">
        <f t="shared" si="128"/>
        <v>205.358048</v>
      </c>
      <c r="H266" s="22">
        <f t="shared" si="128"/>
        <v>233.0737092</v>
      </c>
      <c r="I266" s="22">
        <f t="shared" si="128"/>
        <v>244.08636007999999</v>
      </c>
      <c r="J266" s="22">
        <f t="shared" si="128"/>
        <v>266.00076390928001</v>
      </c>
      <c r="K266" s="22">
        <f t="shared" si="128"/>
        <v>280.11719907663996</v>
      </c>
      <c r="L266" s="22">
        <f t="shared" si="128"/>
        <v>262.42804507033844</v>
      </c>
      <c r="M266" s="22">
        <f t="shared" si="128"/>
        <v>294.26503740750366</v>
      </c>
      <c r="N266" s="22">
        <f>SUM(N240:P242)</f>
        <v>910.39525705410426</v>
      </c>
      <c r="O266" s="22">
        <f t="shared" si="128"/>
        <v>317.64912251660064</v>
      </c>
      <c r="P266" s="22">
        <f t="shared" si="128"/>
        <v>298.48109713000002</v>
      </c>
      <c r="Q266" s="22">
        <f t="shared" si="128"/>
        <v>305.74529515</v>
      </c>
      <c r="R266" s="22">
        <f t="shared" si="128"/>
        <v>320</v>
      </c>
      <c r="S266" s="22">
        <f t="shared" si="128"/>
        <v>360</v>
      </c>
      <c r="T266" s="22">
        <f t="shared" si="128"/>
        <v>339.13802729806355</v>
      </c>
      <c r="U266" s="22">
        <f t="shared" si="128"/>
        <v>337.53689319142859</v>
      </c>
      <c r="V266" s="22">
        <f t="shared" si="128"/>
        <v>373.92252858636402</v>
      </c>
      <c r="W266" s="22">
        <f t="shared" si="128"/>
        <v>395.03749039639547</v>
      </c>
      <c r="X266" s="22">
        <f t="shared" si="128"/>
        <v>401.79935603663574</v>
      </c>
      <c r="Y266" s="22">
        <f t="shared" si="128"/>
        <v>409.109104284892</v>
      </c>
      <c r="Z266" s="22">
        <f t="shared" si="128"/>
        <v>411.9901321379383</v>
      </c>
      <c r="AA266" s="22">
        <f t="shared" si="128"/>
        <v>417.39371060093475</v>
      </c>
      <c r="AB266" s="22">
        <f t="shared" si="128"/>
        <v>422.3401127235274</v>
      </c>
      <c r="AC266" s="22">
        <f t="shared" si="128"/>
        <v>469.77425491068448</v>
      </c>
      <c r="AD266" s="22">
        <f t="shared" si="128"/>
        <v>499.37741984000002</v>
      </c>
      <c r="AE266" s="22">
        <f t="shared" si="128"/>
        <v>533.00832783999999</v>
      </c>
      <c r="AF266" s="22">
        <f t="shared" si="128"/>
        <v>495.71020897053666</v>
      </c>
      <c r="AG266" s="22">
        <f t="shared" si="128"/>
        <v>521.26495861298747</v>
      </c>
      <c r="AH266" s="22">
        <f t="shared" si="128"/>
        <v>464.36731375542661</v>
      </c>
      <c r="AI266" s="22">
        <f t="shared" si="128"/>
        <v>445.13608100975125</v>
      </c>
      <c r="AJ266" s="22">
        <f t="shared" si="128"/>
        <v>380.76341814356317</v>
      </c>
      <c r="AK266" s="22">
        <f t="shared" si="128"/>
        <v>362.76109678393311</v>
      </c>
      <c r="AL266" s="22">
        <f>SUM(AL240:AL242)</f>
        <v>0</v>
      </c>
      <c r="AM266" s="22">
        <f t="shared" ref="AM266:AO266" si="129">SUM(AM240:AM242)</f>
        <v>0</v>
      </c>
      <c r="AN266" s="22">
        <f t="shared" si="129"/>
        <v>0</v>
      </c>
      <c r="AO266" s="22">
        <f t="shared" si="129"/>
        <v>0</v>
      </c>
      <c r="AP266" s="22">
        <f t="shared" ref="AP266:AU266" si="130">SUM(AP240:AP242)</f>
        <v>0</v>
      </c>
      <c r="AQ266" s="22">
        <f t="shared" si="130"/>
        <v>0</v>
      </c>
      <c r="AR266" s="22">
        <f t="shared" si="130"/>
        <v>0</v>
      </c>
      <c r="AS266" s="22">
        <f t="shared" si="130"/>
        <v>0</v>
      </c>
      <c r="AT266" s="22">
        <f t="shared" si="130"/>
        <v>0</v>
      </c>
      <c r="AU266" s="22">
        <f t="shared" si="130"/>
        <v>0</v>
      </c>
      <c r="AV266" s="22">
        <f t="shared" ref="AV266:AW266" si="131">SUM(AV240:AV242)</f>
        <v>0</v>
      </c>
      <c r="AW266" s="22">
        <f t="shared" si="131"/>
        <v>0</v>
      </c>
    </row>
    <row r="267" spans="1:49">
      <c r="D267" s="7"/>
      <c r="E267" s="2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row>
    <row r="268" spans="1:49">
      <c r="D268" s="7"/>
      <c r="M268" s="91" t="s">
        <v>151</v>
      </c>
    </row>
    <row r="269" spans="1:49">
      <c r="D269" s="7"/>
      <c r="M269" s="2" t="s">
        <v>16</v>
      </c>
      <c r="N269" s="5">
        <f t="shared" ref="N269:Z270" si="132">N265/J265-1</f>
        <v>2.7278167930240498</v>
      </c>
      <c r="O269" s="5">
        <f t="shared" si="132"/>
        <v>0.2272316407649877</v>
      </c>
      <c r="P269" s="5">
        <f t="shared" si="132"/>
        <v>7.0928007246590541E-2</v>
      </c>
      <c r="Q269" s="5">
        <f t="shared" si="132"/>
        <v>7.7771006253047892E-2</v>
      </c>
      <c r="R269" s="5">
        <f t="shared" si="132"/>
        <v>-0.657441317156225</v>
      </c>
      <c r="S269" s="5">
        <f>S265/O265-1</f>
        <v>6.2896869926248877E-2</v>
      </c>
      <c r="T269" s="5">
        <f t="shared" si="132"/>
        <v>0.22632330890917829</v>
      </c>
      <c r="U269" s="5">
        <f t="shared" si="132"/>
        <v>0.3543566634398001</v>
      </c>
      <c r="V269" s="5">
        <f t="shared" si="132"/>
        <v>0.2757469592228412</v>
      </c>
      <c r="W269" s="5">
        <f t="shared" si="132"/>
        <v>0.38594638284862648</v>
      </c>
      <c r="X269" s="5">
        <f t="shared" si="132"/>
        <v>9.8998454341373332E-2</v>
      </c>
      <c r="Y269" s="5">
        <f t="shared" si="132"/>
        <v>8.3088836748739903E-2</v>
      </c>
      <c r="Z269" s="5">
        <f t="shared" si="132"/>
        <v>0.15505684359608973</v>
      </c>
      <c r="AA269" s="5">
        <f t="shared" ref="AA269:AP270" si="133">AA265/W265-1</f>
        <v>9.7756234642916828E-2</v>
      </c>
      <c r="AB269" s="5">
        <f t="shared" si="133"/>
        <v>8.422643142822972E-2</v>
      </c>
      <c r="AC269" s="5">
        <f t="shared" si="133"/>
        <v>4.9869518212829034E-2</v>
      </c>
      <c r="AD269" s="5">
        <f t="shared" si="133"/>
        <v>0.24186213281722035</v>
      </c>
      <c r="AE269" s="5">
        <f t="shared" si="133"/>
        <v>0.23828842249962245</v>
      </c>
      <c r="AF269" s="5">
        <f t="shared" si="133"/>
        <v>0.43134015608710929</v>
      </c>
      <c r="AG269" s="5">
        <f t="shared" si="133"/>
        <v>0.64738520657946963</v>
      </c>
      <c r="AH269" s="5">
        <f t="shared" si="133"/>
        <v>0.2188599253450374</v>
      </c>
      <c r="AI269" s="5">
        <f t="shared" si="133"/>
        <v>0.24923227986604379</v>
      </c>
      <c r="AJ269" s="5">
        <f t="shared" si="133"/>
        <v>0.19093353808166635</v>
      </c>
      <c r="AK269" s="5">
        <f t="shared" si="133"/>
        <v>1.0569713423792093E-2</v>
      </c>
      <c r="AL269" s="5">
        <f t="shared" si="133"/>
        <v>-1</v>
      </c>
      <c r="AM269" s="5">
        <f t="shared" si="133"/>
        <v>-1</v>
      </c>
      <c r="AN269" s="5">
        <f t="shared" si="133"/>
        <v>-1</v>
      </c>
      <c r="AO269" s="5">
        <f t="shared" si="133"/>
        <v>-1</v>
      </c>
      <c r="AP269" s="5" t="e">
        <f t="shared" si="133"/>
        <v>#DIV/0!</v>
      </c>
      <c r="AQ269" s="5" t="e">
        <f t="shared" ref="AQ269:AU270" si="134">AQ265/AM265-1</f>
        <v>#DIV/0!</v>
      </c>
      <c r="AR269" s="5" t="e">
        <f t="shared" si="134"/>
        <v>#DIV/0!</v>
      </c>
      <c r="AS269" s="5" t="e">
        <f t="shared" si="134"/>
        <v>#DIV/0!</v>
      </c>
      <c r="AT269" s="5" t="e">
        <f t="shared" si="134"/>
        <v>#DIV/0!</v>
      </c>
      <c r="AU269" s="5" t="e">
        <f t="shared" si="134"/>
        <v>#DIV/0!</v>
      </c>
      <c r="AV269" s="5" t="e">
        <f t="shared" ref="AV269:AV270" si="135">AV265/AR265-1</f>
        <v>#DIV/0!</v>
      </c>
      <c r="AW269" s="5" t="e">
        <f t="shared" ref="AW269:AW270" si="136">AW265/AS265-1</f>
        <v>#DIV/0!</v>
      </c>
    </row>
    <row r="270" spans="1:49">
      <c r="D270" s="7"/>
      <c r="M270" s="2" t="s">
        <v>15</v>
      </c>
      <c r="N270" s="5">
        <f t="shared" si="132"/>
        <v>2.4225287314009218</v>
      </c>
      <c r="O270" s="5">
        <f t="shared" si="132"/>
        <v>0.13398650123476341</v>
      </c>
      <c r="P270" s="5">
        <f t="shared" si="132"/>
        <v>0.13738261872887225</v>
      </c>
      <c r="Q270" s="5">
        <f t="shared" si="132"/>
        <v>3.9013325686388933E-2</v>
      </c>
      <c r="R270" s="5">
        <f t="shared" si="132"/>
        <v>-0.64850431994179147</v>
      </c>
      <c r="S270" s="5">
        <f t="shared" si="132"/>
        <v>0.13332597032811289</v>
      </c>
      <c r="T270" s="5">
        <f t="shared" si="132"/>
        <v>0.13621274700138164</v>
      </c>
      <c r="U270" s="5">
        <f t="shared" si="132"/>
        <v>0.10398066150398644</v>
      </c>
      <c r="V270" s="5">
        <f t="shared" si="132"/>
        <v>0.16850790183238762</v>
      </c>
      <c r="W270" s="5">
        <f t="shared" si="132"/>
        <v>9.7326362212209583E-2</v>
      </c>
      <c r="X270" s="5">
        <f t="shared" si="132"/>
        <v>0.18476644815622545</v>
      </c>
      <c r="Y270" s="5">
        <f t="shared" si="132"/>
        <v>0.21204263159722925</v>
      </c>
      <c r="Z270" s="5">
        <f t="shared" si="132"/>
        <v>0.10180612464162309</v>
      </c>
      <c r="AA270" s="5">
        <f t="shared" si="133"/>
        <v>5.6592654489846517E-2</v>
      </c>
      <c r="AB270" s="5">
        <f t="shared" si="133"/>
        <v>5.1121925354750353E-2</v>
      </c>
      <c r="AC270" s="5">
        <f t="shared" si="133"/>
        <v>0.14828599508151497</v>
      </c>
      <c r="AD270" s="5">
        <f t="shared" si="133"/>
        <v>0.2121101475139302</v>
      </c>
      <c r="AE270" s="5">
        <f t="shared" si="133"/>
        <v>0.27699175694959877</v>
      </c>
      <c r="AF270" s="5">
        <f t="shared" si="133"/>
        <v>0.17372277469424002</v>
      </c>
      <c r="AG270" s="42">
        <f t="shared" si="133"/>
        <v>0.1096073340845225</v>
      </c>
      <c r="AH270" s="42">
        <f>AH266/AD266-1</f>
        <v>-7.0107507255315227E-2</v>
      </c>
      <c r="AI270" s="42">
        <f t="shared" si="133"/>
        <v>-0.16486092663195029</v>
      </c>
      <c r="AJ270" s="42">
        <f t="shared" si="133"/>
        <v>-0.23188304123429004</v>
      </c>
      <c r="AK270" s="42">
        <f t="shared" si="133"/>
        <v>-0.30407542116548714</v>
      </c>
      <c r="AL270" s="42">
        <f t="shared" si="133"/>
        <v>-1</v>
      </c>
      <c r="AM270" s="42">
        <f t="shared" si="133"/>
        <v>-1</v>
      </c>
      <c r="AN270" s="42">
        <f t="shared" si="133"/>
        <v>-1</v>
      </c>
      <c r="AO270" s="42">
        <f t="shared" si="133"/>
        <v>-1</v>
      </c>
      <c r="AP270" s="42" t="e">
        <f t="shared" si="133"/>
        <v>#DIV/0!</v>
      </c>
      <c r="AQ270" s="42" t="e">
        <f t="shared" si="134"/>
        <v>#DIV/0!</v>
      </c>
      <c r="AR270" s="42" t="e">
        <f t="shared" si="134"/>
        <v>#DIV/0!</v>
      </c>
      <c r="AS270" s="42" t="e">
        <f>AS266/AO266-1</f>
        <v>#DIV/0!</v>
      </c>
      <c r="AT270" s="42" t="e">
        <f>AT266/AP266-1</f>
        <v>#DIV/0!</v>
      </c>
      <c r="AU270" s="42" t="e">
        <f>AU266/AQ266-1</f>
        <v>#DIV/0!</v>
      </c>
      <c r="AV270" s="42" t="e">
        <f t="shared" si="135"/>
        <v>#DIV/0!</v>
      </c>
      <c r="AW270" s="42" t="e">
        <f t="shared" si="136"/>
        <v>#DIV/0!</v>
      </c>
    </row>
    <row r="271" spans="1:49">
      <c r="D271" s="7"/>
    </row>
    <row r="272" spans="1:49" ht="21">
      <c r="A272" s="1047"/>
      <c r="B272" s="1049" t="s">
        <v>513</v>
      </c>
      <c r="C272" s="1047"/>
      <c r="D272" s="1048"/>
      <c r="E272" s="1047"/>
      <c r="F272" s="1047"/>
      <c r="G272" s="1047"/>
      <c r="H272" s="1047"/>
      <c r="I272" s="1047"/>
      <c r="J272" s="1047"/>
      <c r="K272" s="1047"/>
      <c r="L272" s="1047"/>
      <c r="M272" s="1047"/>
      <c r="N272" s="1047"/>
      <c r="O272" s="1250" t="s">
        <v>664</v>
      </c>
      <c r="P272" s="1047"/>
      <c r="Q272" s="1047"/>
      <c r="R272" s="1047"/>
      <c r="S272" s="1047"/>
    </row>
    <row r="273" spans="4:12">
      <c r="D273" s="7"/>
      <c r="I273" s="1872" t="s">
        <v>516</v>
      </c>
      <c r="J273" s="1873"/>
    </row>
    <row r="274" spans="4:12">
      <c r="D274" s="7"/>
      <c r="F274" s="1050" t="s">
        <v>656</v>
      </c>
      <c r="G274" s="1050" t="s">
        <v>655</v>
      </c>
      <c r="H274" s="1050" t="s">
        <v>657</v>
      </c>
      <c r="I274" s="1058" t="s">
        <v>149</v>
      </c>
      <c r="J274" s="1058" t="s">
        <v>391</v>
      </c>
    </row>
    <row r="275" spans="4:12" ht="15.6">
      <c r="D275" s="27"/>
      <c r="E275" s="1051" t="s">
        <v>67</v>
      </c>
      <c r="F275" s="1053">
        <f>ICPs!R10</f>
        <v>0</v>
      </c>
      <c r="G275" s="1053">
        <f>ICPs!U10</f>
        <v>0</v>
      </c>
      <c r="H275" s="1060">
        <f>1.33*F275</f>
        <v>0</v>
      </c>
      <c r="I275" s="1062" t="e">
        <f>H275/F275-1</f>
        <v>#DIV/0!</v>
      </c>
      <c r="J275" s="1062" t="e">
        <f>H275/G275-1</f>
        <v>#DIV/0!</v>
      </c>
      <c r="K275" s="1252" t="s">
        <v>557</v>
      </c>
    </row>
    <row r="276" spans="4:12" ht="15.6">
      <c r="D276" s="27"/>
      <c r="E276" s="1052" t="s">
        <v>184</v>
      </c>
      <c r="F276" s="1053">
        <f>ICPs!R17</f>
        <v>0</v>
      </c>
      <c r="G276" s="1053">
        <f>ICPs!U17</f>
        <v>0</v>
      </c>
      <c r="H276" s="1060">
        <f>1.23*F276</f>
        <v>0</v>
      </c>
      <c r="I276" s="1062" t="e">
        <f>H276/F276-1</f>
        <v>#DIV/0!</v>
      </c>
      <c r="J276" s="1062" t="e">
        <f t="shared" ref="J276:J277" si="137">H276/G276-1</f>
        <v>#DIV/0!</v>
      </c>
      <c r="K276" s="1252" t="s">
        <v>557</v>
      </c>
    </row>
    <row r="277" spans="4:12" ht="15.6">
      <c r="D277" s="27"/>
      <c r="E277" s="1052" t="s">
        <v>69</v>
      </c>
      <c r="F277" s="1053">
        <f>ICPs!R12</f>
        <v>0</v>
      </c>
      <c r="G277" s="1053">
        <f>ICPs!U12</f>
        <v>0</v>
      </c>
      <c r="H277" s="1060">
        <v>4330</v>
      </c>
      <c r="I277" s="1062" t="e">
        <f t="shared" ref="I277" si="138">H277/F277-1</f>
        <v>#DIV/0!</v>
      </c>
      <c r="J277" s="1062" t="e">
        <f t="shared" si="137"/>
        <v>#DIV/0!</v>
      </c>
      <c r="K277" s="1252" t="s">
        <v>557</v>
      </c>
    </row>
    <row r="278" spans="4:12" ht="15.6">
      <c r="D278" s="27"/>
      <c r="E278" s="1052" t="s">
        <v>402</v>
      </c>
      <c r="F278" s="1053">
        <f>'Datacom equip'!R8</f>
        <v>0</v>
      </c>
      <c r="G278" s="1053">
        <f>'Datacom equip'!U8</f>
        <v>0</v>
      </c>
      <c r="H278" s="1060">
        <v>625</v>
      </c>
      <c r="I278" s="1062" t="e">
        <f>H278/F278-1</f>
        <v>#DIV/0!</v>
      </c>
      <c r="J278" s="1062" t="e">
        <f>H278/G278-1</f>
        <v>#DIV/0!</v>
      </c>
      <c r="K278" s="1252" t="s">
        <v>557</v>
      </c>
    </row>
    <row r="279" spans="4:12" ht="15.6">
      <c r="D279" s="27"/>
      <c r="E279" s="1052" t="s">
        <v>509</v>
      </c>
      <c r="F279" s="1053">
        <f>'Network equip'!R10</f>
        <v>0</v>
      </c>
      <c r="G279" s="1053">
        <f>'Network equip'!U10</f>
        <v>0</v>
      </c>
      <c r="H279" s="1732">
        <v>750</v>
      </c>
      <c r="I279" s="1062" t="e">
        <f>H279/F279-1</f>
        <v>#DIV/0!</v>
      </c>
      <c r="J279" s="1062" t="e">
        <f>H279/G279-1</f>
        <v>#DIV/0!</v>
      </c>
      <c r="K279" s="1252" t="s">
        <v>557</v>
      </c>
    </row>
    <row r="280" spans="4:12" ht="15.6">
      <c r="D280" s="27"/>
      <c r="E280" s="1052" t="s">
        <v>403</v>
      </c>
      <c r="F280" s="1060">
        <v>13159</v>
      </c>
      <c r="G280" s="1060">
        <v>12154</v>
      </c>
      <c r="H280" s="1060">
        <f>0.99*F280</f>
        <v>13027.41</v>
      </c>
      <c r="I280" s="1062">
        <f t="shared" ref="I280" si="139">H280/F280-1</f>
        <v>-1.0000000000000009E-2</v>
      </c>
      <c r="J280" s="1062">
        <f t="shared" ref="J280" si="140">H280/G280-1</f>
        <v>7.186193845647515E-2</v>
      </c>
      <c r="K280" s="1252" t="s">
        <v>557</v>
      </c>
    </row>
    <row r="281" spans="4:12" ht="15.6">
      <c r="D281" s="27"/>
      <c r="E281" s="1052" t="s">
        <v>404</v>
      </c>
      <c r="F281" s="1060">
        <v>1208</v>
      </c>
      <c r="G281" s="1060">
        <v>1138.2</v>
      </c>
      <c r="H281" s="1060">
        <v>1190</v>
      </c>
      <c r="I281" s="1062">
        <f t="shared" ref="I281" si="141">H281/F281-1</f>
        <v>-1.490066225165565E-2</v>
      </c>
      <c r="J281" s="1062">
        <f t="shared" ref="J281" si="142">H281/G281-1</f>
        <v>4.5510455104551095E-2</v>
      </c>
      <c r="K281" s="1252" t="s">
        <v>557</v>
      </c>
    </row>
    <row r="282" spans="4:12" ht="15.6">
      <c r="D282" s="27"/>
      <c r="E282" s="1052" t="s">
        <v>510</v>
      </c>
      <c r="F282" s="1060">
        <v>457.8</v>
      </c>
      <c r="G282" s="1060">
        <v>452</v>
      </c>
      <c r="H282" s="1060">
        <v>475</v>
      </c>
      <c r="I282" s="1062">
        <f>H282/F282-1</f>
        <v>3.757099169943201E-2</v>
      </c>
      <c r="J282" s="1062">
        <f>H282/G282-1</f>
        <v>5.0884955752212413E-2</v>
      </c>
      <c r="K282" s="1252" t="s">
        <v>557</v>
      </c>
    </row>
    <row r="283" spans="4:12" ht="15.6">
      <c r="D283" s="27"/>
      <c r="E283" s="1052" t="s">
        <v>349</v>
      </c>
      <c r="F283" s="1060">
        <v>666</v>
      </c>
      <c r="G283" s="1060">
        <v>728</v>
      </c>
      <c r="H283" s="1060">
        <v>765</v>
      </c>
      <c r="I283" s="1062">
        <f>H283/F283-1</f>
        <v>0.14864864864864868</v>
      </c>
      <c r="J283" s="1062">
        <f>H283/G283-1</f>
        <v>5.0824175824175866E-2</v>
      </c>
      <c r="K283" s="1252" t="s">
        <v>557</v>
      </c>
      <c r="L283" s="27" t="s">
        <v>514</v>
      </c>
    </row>
    <row r="284" spans="4:12" ht="15.6">
      <c r="D284" s="27"/>
      <c r="E284" s="1052" t="s">
        <v>511</v>
      </c>
      <c r="F284" s="1053">
        <f>'OC vendors'!R11</f>
        <v>0</v>
      </c>
      <c r="G284" s="1251">
        <f>'OC vendors'!U11</f>
        <v>0</v>
      </c>
      <c r="H284" s="1060">
        <v>52.5</v>
      </c>
      <c r="I284" s="1062" t="e">
        <f>H284/F284-1</f>
        <v>#DIV/0!</v>
      </c>
      <c r="J284" s="1062" t="e">
        <f>H284/G284-1</f>
        <v>#DIV/0!</v>
      </c>
      <c r="K284" s="1252" t="s">
        <v>557</v>
      </c>
      <c r="L284" s="27" t="s">
        <v>514</v>
      </c>
    </row>
    <row r="285" spans="4:12" ht="15.6">
      <c r="D285" s="27"/>
      <c r="E285" s="1052" t="s">
        <v>52</v>
      </c>
      <c r="F285" s="1053">
        <f>'OC vendors'!R19</f>
        <v>0</v>
      </c>
      <c r="G285" s="1251">
        <f>'OC vendors'!U19</f>
        <v>0</v>
      </c>
      <c r="H285" s="1060">
        <v>67</v>
      </c>
      <c r="I285" s="1062" t="e">
        <f>H285/F285-1</f>
        <v>#DIV/0!</v>
      </c>
      <c r="J285" s="1062" t="e">
        <f>H285/G285-1</f>
        <v>#DIV/0!</v>
      </c>
      <c r="K285" s="1252" t="s">
        <v>557</v>
      </c>
    </row>
    <row r="286" spans="4:12" ht="14.55" customHeight="1">
      <c r="D286" s="27"/>
    </row>
    <row r="287" spans="4:12" ht="12.45" customHeight="1">
      <c r="D287" s="27"/>
      <c r="E287" s="1728" t="s">
        <v>413</v>
      </c>
      <c r="F287" s="1729">
        <f>ICPs!R20</f>
        <v>0</v>
      </c>
      <c r="G287" s="1729">
        <f>ICPs!U20</f>
        <v>0</v>
      </c>
      <c r="H287" s="1730"/>
      <c r="I287" s="1731" t="e">
        <f>H287/F287-1</f>
        <v>#DIV/0!</v>
      </c>
      <c r="J287" s="1731" t="e">
        <f>H287/G287-1</f>
        <v>#DIV/0!</v>
      </c>
      <c r="K287" s="1727" t="s">
        <v>660</v>
      </c>
    </row>
    <row r="288" spans="4:12">
      <c r="D288" s="27"/>
      <c r="E288" s="27"/>
    </row>
    <row r="289" spans="1:19" ht="21">
      <c r="A289" s="46"/>
      <c r="B289" s="92" t="s">
        <v>33</v>
      </c>
      <c r="C289" s="46"/>
      <c r="D289" s="76"/>
      <c r="E289" s="46"/>
      <c r="F289" s="46" t="s">
        <v>170</v>
      </c>
      <c r="G289" s="46"/>
      <c r="H289" s="46"/>
      <c r="I289" s="46"/>
      <c r="J289" s="46"/>
      <c r="K289" s="46"/>
      <c r="L289" s="46"/>
      <c r="M289" s="46"/>
      <c r="N289" s="1128"/>
      <c r="O289" s="98" t="s">
        <v>661</v>
      </c>
      <c r="P289" s="98"/>
      <c r="Q289" s="46"/>
      <c r="R289" s="46"/>
      <c r="S289" s="46"/>
    </row>
    <row r="290" spans="1:19">
      <c r="D290" s="7"/>
    </row>
    <row r="291" spans="1:19">
      <c r="D291" s="7"/>
    </row>
    <row r="292" spans="1:19">
      <c r="D292" s="7"/>
    </row>
    <row r="293" spans="1:19">
      <c r="D293" s="7"/>
    </row>
    <row r="294" spans="1:19">
      <c r="D294" s="7"/>
      <c r="N294" s="1871" t="s">
        <v>659</v>
      </c>
      <c r="O294" s="1871"/>
      <c r="P294" s="1871"/>
    </row>
    <row r="295" spans="1:19">
      <c r="D295" s="7"/>
      <c r="O295" s="25">
        <v>2020</v>
      </c>
      <c r="P295" s="25" t="s">
        <v>618</v>
      </c>
    </row>
    <row r="296" spans="1:19">
      <c r="D296" s="7"/>
      <c r="O296" s="26" t="s">
        <v>32</v>
      </c>
      <c r="P296" s="26" t="s">
        <v>31</v>
      </c>
    </row>
    <row r="297" spans="1:19">
      <c r="D297" s="7"/>
      <c r="N297" s="2" t="s">
        <v>22</v>
      </c>
      <c r="O297" s="1504"/>
      <c r="P297" s="1506"/>
    </row>
    <row r="298" spans="1:19">
      <c r="D298" s="7"/>
      <c r="N298" s="2" t="s">
        <v>20</v>
      </c>
      <c r="O298" s="1504"/>
      <c r="P298" s="1506"/>
    </row>
    <row r="299" spans="1:19">
      <c r="D299" s="7"/>
      <c r="N299" s="2" t="s">
        <v>21</v>
      </c>
      <c r="O299" s="1504"/>
      <c r="P299" s="1506"/>
    </row>
    <row r="300" spans="1:19">
      <c r="D300" s="7"/>
      <c r="N300" s="2" t="s">
        <v>23</v>
      </c>
      <c r="O300" s="1504"/>
      <c r="P300" s="1506"/>
    </row>
    <row r="301" spans="1:19">
      <c r="D301" s="7"/>
      <c r="N301" s="2" t="s">
        <v>34</v>
      </c>
      <c r="O301" s="1504"/>
      <c r="P301" s="1506"/>
    </row>
    <row r="302" spans="1:19">
      <c r="D302" s="7"/>
      <c r="N302" s="10" t="s">
        <v>25</v>
      </c>
      <c r="O302" s="1505"/>
      <c r="P302" s="1507"/>
    </row>
    <row r="303" spans="1:19">
      <c r="D303" s="7"/>
    </row>
    <row r="304" spans="1:19">
      <c r="D304" s="7"/>
    </row>
    <row r="305" spans="4:13">
      <c r="D305" s="7"/>
    </row>
    <row r="306" spans="4:13">
      <c r="D306" s="7"/>
    </row>
    <row r="307" spans="4:13">
      <c r="D307" s="7"/>
    </row>
    <row r="308" spans="4:13">
      <c r="D308" s="7"/>
    </row>
    <row r="309" spans="4:13">
      <c r="D309" s="7"/>
    </row>
    <row r="310" spans="4:13">
      <c r="D310" s="7"/>
    </row>
    <row r="311" spans="4:13">
      <c r="D311" s="7"/>
    </row>
    <row r="312" spans="4:13">
      <c r="D312" s="7"/>
    </row>
    <row r="313" spans="4:13" ht="13.8">
      <c r="D313" s="7"/>
      <c r="E313" s="28"/>
      <c r="F313" s="35"/>
      <c r="G313" s="35"/>
      <c r="H313" s="35"/>
      <c r="I313" s="35"/>
      <c r="J313" s="35"/>
      <c r="K313" s="35"/>
      <c r="L313" s="35"/>
      <c r="M313" s="35"/>
    </row>
    <row r="314" spans="4:13" ht="13.8">
      <c r="D314" s="7"/>
      <c r="E314" s="28"/>
      <c r="F314" s="35"/>
      <c r="G314" s="35"/>
      <c r="H314" s="35"/>
      <c r="I314" s="35"/>
      <c r="J314" s="35"/>
      <c r="K314" s="35"/>
      <c r="L314" s="35"/>
      <c r="M314" s="35"/>
    </row>
    <row r="315" spans="4:13">
      <c r="D315" s="7"/>
    </row>
    <row r="316" spans="4:13">
      <c r="D316" s="7"/>
    </row>
    <row r="317" spans="4:13">
      <c r="D317" s="7"/>
    </row>
    <row r="318" spans="4:13">
      <c r="D318" s="7"/>
    </row>
    <row r="319" spans="4:13">
      <c r="D319" s="7"/>
    </row>
    <row r="320" spans="4:13">
      <c r="D320" s="7"/>
    </row>
    <row r="321" spans="4:45">
      <c r="D321" s="7"/>
    </row>
    <row r="322" spans="4:45">
      <c r="D322" s="7"/>
    </row>
    <row r="323" spans="4:45" ht="13.8">
      <c r="D323" s="7"/>
      <c r="E323" s="28"/>
      <c r="F323" s="35"/>
      <c r="G323" s="35"/>
      <c r="H323" s="35"/>
      <c r="I323" s="35"/>
      <c r="J323" s="35"/>
      <c r="K323" s="35"/>
      <c r="L323" s="35"/>
      <c r="M323" s="35"/>
    </row>
    <row r="324" spans="4:45">
      <c r="D324" s="7"/>
      <c r="F324" t="s">
        <v>43</v>
      </c>
    </row>
    <row r="325" spans="4:45" ht="13.8">
      <c r="D325" s="7"/>
      <c r="E325" s="33" t="s">
        <v>36</v>
      </c>
      <c r="F325" s="34" t="s">
        <v>120</v>
      </c>
      <c r="G325" s="34" t="s">
        <v>121</v>
      </c>
      <c r="H325" s="34" t="s">
        <v>122</v>
      </c>
      <c r="I325" s="34" t="s">
        <v>123</v>
      </c>
      <c r="J325" s="34" t="s">
        <v>102</v>
      </c>
      <c r="K325" s="34" t="s">
        <v>103</v>
      </c>
      <c r="L325" s="34" t="s">
        <v>104</v>
      </c>
      <c r="M325" s="34" t="s">
        <v>105</v>
      </c>
      <c r="N325" s="34" t="s">
        <v>106</v>
      </c>
      <c r="O325" s="34" t="s">
        <v>107</v>
      </c>
      <c r="P325" s="34" t="s">
        <v>108</v>
      </c>
      <c r="Q325" s="34" t="s">
        <v>109</v>
      </c>
      <c r="R325" s="34" t="s">
        <v>110</v>
      </c>
      <c r="S325" s="34" t="s">
        <v>111</v>
      </c>
      <c r="T325" s="34" t="s">
        <v>112</v>
      </c>
      <c r="U325" s="34" t="s">
        <v>113</v>
      </c>
      <c r="V325" s="34" t="s">
        <v>114</v>
      </c>
      <c r="W325" s="34" t="s">
        <v>115</v>
      </c>
      <c r="X325" s="34" t="s">
        <v>124</v>
      </c>
      <c r="Y325" s="34" t="s">
        <v>125</v>
      </c>
      <c r="Z325" s="34" t="s">
        <v>126</v>
      </c>
      <c r="AA325" s="34" t="s">
        <v>127</v>
      </c>
      <c r="AB325" s="34" t="s">
        <v>128</v>
      </c>
      <c r="AC325" s="34" t="s">
        <v>129</v>
      </c>
      <c r="AD325" s="34" t="s">
        <v>130</v>
      </c>
      <c r="AE325" s="34" t="s">
        <v>131</v>
      </c>
      <c r="AF325" s="34" t="s">
        <v>132</v>
      </c>
      <c r="AG325" s="34" t="s">
        <v>133</v>
      </c>
      <c r="AH325" s="34" t="s">
        <v>134</v>
      </c>
      <c r="AI325" s="34" t="s">
        <v>135</v>
      </c>
      <c r="AJ325" s="34" t="s">
        <v>136</v>
      </c>
      <c r="AK325" s="34" t="s">
        <v>137</v>
      </c>
      <c r="AL325" s="34" t="s">
        <v>138</v>
      </c>
      <c r="AM325" s="34" t="s">
        <v>139</v>
      </c>
      <c r="AN325" s="34" t="s">
        <v>140</v>
      </c>
      <c r="AO325" s="34" t="s">
        <v>141</v>
      </c>
      <c r="AP325" s="34" t="s">
        <v>142</v>
      </c>
      <c r="AQ325" s="34" t="s">
        <v>143</v>
      </c>
      <c r="AR325" s="34" t="s">
        <v>144</v>
      </c>
      <c r="AS325" s="34" t="s">
        <v>145</v>
      </c>
    </row>
    <row r="326" spans="4:45" ht="13.8">
      <c r="D326" s="7"/>
      <c r="E326" s="33" t="s">
        <v>37</v>
      </c>
      <c r="F326" s="30">
        <f t="shared" ref="F326:AR326" si="143">J41/I41-1</f>
        <v>-5.2002794280070486E-3</v>
      </c>
      <c r="G326" s="30">
        <f t="shared" si="143"/>
        <v>3.4507192490536909E-2</v>
      </c>
      <c r="H326" s="30">
        <f t="shared" si="143"/>
        <v>-1.4819219196220312E-2</v>
      </c>
      <c r="I326" s="30">
        <f t="shared" si="143"/>
        <v>3.1229075580131882E-2</v>
      </c>
      <c r="J326" s="30">
        <f t="shared" si="143"/>
        <v>-2.0013385067287559E-2</v>
      </c>
      <c r="K326" s="30">
        <f t="shared" si="143"/>
        <v>-1.7854944761859448E-2</v>
      </c>
      <c r="L326" s="30">
        <f t="shared" si="143"/>
        <v>1.8521282883489754E-2</v>
      </c>
      <c r="M326" s="30">
        <f t="shared" si="143"/>
        <v>2.7345250412247557E-2</v>
      </c>
      <c r="N326" s="30">
        <f t="shared" si="143"/>
        <v>-5.8826372261232884E-2</v>
      </c>
      <c r="O326" s="30">
        <f t="shared" si="143"/>
        <v>2.2585411294150814E-2</v>
      </c>
      <c r="P326" s="30">
        <f t="shared" si="143"/>
        <v>6.2605608436641758E-2</v>
      </c>
      <c r="Q326" s="30">
        <f t="shared" si="143"/>
        <v>2.0018216187791538E-3</v>
      </c>
      <c r="R326" s="30">
        <f t="shared" si="143"/>
        <v>-3.8751354455373033E-3</v>
      </c>
      <c r="S326" s="30">
        <f t="shared" si="143"/>
        <v>-8.1197529733918472E-3</v>
      </c>
      <c r="T326" s="30">
        <f t="shared" si="143"/>
        <v>-2.6642065485012911E-2</v>
      </c>
      <c r="U326" s="30">
        <f t="shared" si="143"/>
        <v>3.6736194968209901E-3</v>
      </c>
      <c r="V326" s="30">
        <f t="shared" si="143"/>
        <v>-3.2493983266004389E-2</v>
      </c>
      <c r="W326" s="30">
        <f t="shared" si="143"/>
        <v>-5.9653177710713434E-3</v>
      </c>
      <c r="X326" s="30">
        <f t="shared" si="143"/>
        <v>3.1463826300855757E-2</v>
      </c>
      <c r="Y326" s="30">
        <f t="shared" si="143"/>
        <v>1.1361203356164973E-2</v>
      </c>
      <c r="Z326" s="30">
        <f t="shared" si="143"/>
        <v>8.3275240074402124E-2</v>
      </c>
      <c r="AA326" s="30">
        <f t="shared" si="143"/>
        <v>6.5483298504518395E-3</v>
      </c>
      <c r="AB326" s="30">
        <f t="shared" si="143"/>
        <v>3.0703621661514191E-3</v>
      </c>
      <c r="AC326" s="30">
        <f t="shared" si="143"/>
        <v>2.0308404356234488E-2</v>
      </c>
      <c r="AD326" s="30">
        <f t="shared" si="143"/>
        <v>-5.0121285944052851E-2</v>
      </c>
      <c r="AE326" s="30">
        <f t="shared" si="143"/>
        <v>2.2630380253434668E-2</v>
      </c>
      <c r="AF326" s="30">
        <f t="shared" si="143"/>
        <v>9.685770489081591E-3</v>
      </c>
      <c r="AG326" s="30">
        <f t="shared" si="143"/>
        <v>3.7610881676031882E-2</v>
      </c>
      <c r="AH326" s="30">
        <f t="shared" si="143"/>
        <v>-1</v>
      </c>
      <c r="AI326" s="30" t="e">
        <f t="shared" si="143"/>
        <v>#DIV/0!</v>
      </c>
      <c r="AJ326" s="30" t="e">
        <f t="shared" si="143"/>
        <v>#DIV/0!</v>
      </c>
      <c r="AK326" s="30" t="e">
        <f t="shared" si="143"/>
        <v>#DIV/0!</v>
      </c>
      <c r="AL326" s="30" t="e">
        <f t="shared" si="143"/>
        <v>#DIV/0!</v>
      </c>
      <c r="AM326" s="30" t="e">
        <f t="shared" si="143"/>
        <v>#DIV/0!</v>
      </c>
      <c r="AN326" s="30" t="e">
        <f t="shared" si="143"/>
        <v>#DIV/0!</v>
      </c>
      <c r="AO326" s="30" t="e">
        <f t="shared" si="143"/>
        <v>#DIV/0!</v>
      </c>
      <c r="AP326" s="30" t="e">
        <f t="shared" si="143"/>
        <v>#DIV/0!</v>
      </c>
      <c r="AQ326" s="30" t="e">
        <f t="shared" si="143"/>
        <v>#DIV/0!</v>
      </c>
      <c r="AR326" s="30" t="e">
        <f t="shared" si="143"/>
        <v>#DIV/0!</v>
      </c>
      <c r="AS326" s="30"/>
    </row>
    <row r="327" spans="4:45" ht="13.8">
      <c r="D327" s="7"/>
      <c r="E327" s="33" t="s">
        <v>38</v>
      </c>
      <c r="F327" s="31">
        <f t="shared" ref="F327:AR327" si="144">J94/I94-1</f>
        <v>-0.10058597580119422</v>
      </c>
      <c r="G327" s="31">
        <f t="shared" si="144"/>
        <v>0.13007355748053295</v>
      </c>
      <c r="H327" s="31">
        <f t="shared" si="144"/>
        <v>2.6959870312426304E-5</v>
      </c>
      <c r="I327" s="31">
        <f t="shared" si="144"/>
        <v>0.38271726986131616</v>
      </c>
      <c r="J327" s="31">
        <f t="shared" si="144"/>
        <v>-0.13084172837362429</v>
      </c>
      <c r="K327" s="31">
        <f t="shared" si="144"/>
        <v>6.7116354974736669E-3</v>
      </c>
      <c r="L327" s="31">
        <f t="shared" si="144"/>
        <v>-2.6162632422012777E-2</v>
      </c>
      <c r="M327" s="31">
        <f t="shared" si="144"/>
        <v>0.36842325166131595</v>
      </c>
      <c r="N327" s="31">
        <f t="shared" si="144"/>
        <v>-0.13402499970857107</v>
      </c>
      <c r="O327" s="31">
        <f t="shared" si="144"/>
        <v>-1.6201841744858614E-2</v>
      </c>
      <c r="P327" s="31">
        <f t="shared" si="144"/>
        <v>1.2066569945501371E-2</v>
      </c>
      <c r="Q327" s="31">
        <f t="shared" si="144"/>
        <v>0.36083265789829255</v>
      </c>
      <c r="R327" s="31">
        <f t="shared" si="144"/>
        <v>-0.14427237564989515</v>
      </c>
      <c r="S327" s="31">
        <f t="shared" si="144"/>
        <v>-1.6391473977108162E-2</v>
      </c>
      <c r="T327" s="31">
        <f t="shared" si="144"/>
        <v>3.6644841518806537E-2</v>
      </c>
      <c r="U327" s="31">
        <f t="shared" si="144"/>
        <v>0.38326260634002485</v>
      </c>
      <c r="V327" s="31">
        <f t="shared" si="144"/>
        <v>-0.16616169931626379</v>
      </c>
      <c r="W327" s="31">
        <f t="shared" si="144"/>
        <v>-1.0619387494988919E-2</v>
      </c>
      <c r="X327" s="31">
        <f t="shared" si="144"/>
        <v>1.6194035069048818E-2</v>
      </c>
      <c r="Y327" s="31">
        <f t="shared" si="144"/>
        <v>0.30803179803650993</v>
      </c>
      <c r="Z327" s="31">
        <f t="shared" si="144"/>
        <v>-0.20077249490756177</v>
      </c>
      <c r="AA327" s="31">
        <f t="shared" si="144"/>
        <v>-3.6948403072012415E-4</v>
      </c>
      <c r="AB327" s="31">
        <f t="shared" si="144"/>
        <v>3.532715501762218E-2</v>
      </c>
      <c r="AC327" s="31">
        <f t="shared" si="144"/>
        <v>0.34871267166534725</v>
      </c>
      <c r="AD327" s="31">
        <f t="shared" si="144"/>
        <v>-0.17476587894439577</v>
      </c>
      <c r="AE327" s="31">
        <f t="shared" si="144"/>
        <v>3.5732075924460593E-2</v>
      </c>
      <c r="AF327" s="31">
        <f t="shared" si="144"/>
        <v>8.7005521055726787E-2</v>
      </c>
      <c r="AG327" s="31">
        <f t="shared" si="144"/>
        <v>0.35379132587709661</v>
      </c>
      <c r="AH327" s="31">
        <f t="shared" si="144"/>
        <v>-1</v>
      </c>
      <c r="AI327" s="31" t="e">
        <f t="shared" si="144"/>
        <v>#DIV/0!</v>
      </c>
      <c r="AJ327" s="31" t="e">
        <f t="shared" si="144"/>
        <v>#DIV/0!</v>
      </c>
      <c r="AK327" s="31" t="e">
        <f t="shared" si="144"/>
        <v>#DIV/0!</v>
      </c>
      <c r="AL327" s="31" t="e">
        <f t="shared" si="144"/>
        <v>#DIV/0!</v>
      </c>
      <c r="AM327" s="31" t="e">
        <f t="shared" si="144"/>
        <v>#DIV/0!</v>
      </c>
      <c r="AN327" s="31" t="e">
        <f t="shared" si="144"/>
        <v>#DIV/0!</v>
      </c>
      <c r="AO327" s="31" t="e">
        <f t="shared" si="144"/>
        <v>#DIV/0!</v>
      </c>
      <c r="AP327" s="31" t="e">
        <f t="shared" si="144"/>
        <v>#DIV/0!</v>
      </c>
      <c r="AQ327" s="31" t="e">
        <f t="shared" si="144"/>
        <v>#DIV/0!</v>
      </c>
      <c r="AR327" s="31" t="e">
        <f t="shared" si="144"/>
        <v>#DIV/0!</v>
      </c>
      <c r="AS327" s="31"/>
    </row>
    <row r="328" spans="4:45" ht="13.8">
      <c r="D328" s="7"/>
      <c r="E328" s="33" t="s">
        <v>39</v>
      </c>
      <c r="F328" s="30">
        <f t="shared" ref="F328:AR328" si="145">J70/I70-1</f>
        <v>-0.12713033735652723</v>
      </c>
      <c r="G328" s="30">
        <f t="shared" si="145"/>
        <v>9.4623531311473164E-2</v>
      </c>
      <c r="H328" s="30">
        <f t="shared" si="145"/>
        <v>-6.0112221463376581E-2</v>
      </c>
      <c r="I328" s="30">
        <f t="shared" si="145"/>
        <v>0.10498423207703467</v>
      </c>
      <c r="J328" s="30">
        <f t="shared" si="145"/>
        <v>-0.20336139833911082</v>
      </c>
      <c r="K328" s="30">
        <f t="shared" si="145"/>
        <v>9.7927728462764208E-2</v>
      </c>
      <c r="L328" s="30">
        <f t="shared" si="145"/>
        <v>-3.3031216560483245E-2</v>
      </c>
      <c r="M328" s="30">
        <f t="shared" si="145"/>
        <v>0.19326186494005904</v>
      </c>
      <c r="N328" s="30">
        <f t="shared" si="145"/>
        <v>-0.2046783369997931</v>
      </c>
      <c r="O328" s="30">
        <f t="shared" si="145"/>
        <v>6.5826285800779205E-2</v>
      </c>
      <c r="P328" s="30">
        <f t="shared" si="145"/>
        <v>-0.1074654263604139</v>
      </c>
      <c r="Q328" s="30">
        <f t="shared" si="145"/>
        <v>0.1354976989961767</v>
      </c>
      <c r="R328" s="30">
        <f t="shared" si="145"/>
        <v>-0.12803928338894655</v>
      </c>
      <c r="S328" s="30">
        <f t="shared" si="145"/>
        <v>7.9723067529863911E-2</v>
      </c>
      <c r="T328" s="30">
        <f t="shared" si="145"/>
        <v>5.7117156964520133E-2</v>
      </c>
      <c r="U328" s="30">
        <f t="shared" si="145"/>
        <v>-2.0379324680550259E-2</v>
      </c>
      <c r="V328" s="30">
        <f t="shared" si="145"/>
        <v>-8.6387913451420273E-2</v>
      </c>
      <c r="W328" s="30">
        <f t="shared" si="145"/>
        <v>7.8381825857813725E-2</v>
      </c>
      <c r="X328" s="30">
        <f t="shared" si="145"/>
        <v>4.47102753992763E-2</v>
      </c>
      <c r="Y328" s="30">
        <f t="shared" si="145"/>
        <v>2.2951703613169006E-2</v>
      </c>
      <c r="Z328" s="30">
        <f t="shared" si="145"/>
        <v>4.8432775618622248E-2</v>
      </c>
      <c r="AA328" s="30">
        <f t="shared" si="145"/>
        <v>9.1575000950238739E-2</v>
      </c>
      <c r="AB328" s="30">
        <f t="shared" si="145"/>
        <v>-7.0056418862331715E-2</v>
      </c>
      <c r="AC328" s="30">
        <f t="shared" si="145"/>
        <v>3.4747762691088813E-2</v>
      </c>
      <c r="AD328" s="30">
        <f t="shared" si="145"/>
        <v>-6.2783933900716349E-2</v>
      </c>
      <c r="AE328" s="30">
        <f t="shared" si="145"/>
        <v>2.9493985160380376E-3</v>
      </c>
      <c r="AF328" s="30">
        <f t="shared" si="145"/>
        <v>-7.6092967664985411E-2</v>
      </c>
      <c r="AG328" s="30">
        <f t="shared" si="145"/>
        <v>0.40608794464118469</v>
      </c>
      <c r="AH328" s="30">
        <f t="shared" si="145"/>
        <v>-1</v>
      </c>
      <c r="AI328" s="30" t="e">
        <f t="shared" si="145"/>
        <v>#DIV/0!</v>
      </c>
      <c r="AJ328" s="30" t="e">
        <f t="shared" si="145"/>
        <v>#DIV/0!</v>
      </c>
      <c r="AK328" s="30" t="e">
        <f t="shared" si="145"/>
        <v>#DIV/0!</v>
      </c>
      <c r="AL328" s="30" t="e">
        <f t="shared" si="145"/>
        <v>#DIV/0!</v>
      </c>
      <c r="AM328" s="30" t="e">
        <f t="shared" si="145"/>
        <v>#DIV/0!</v>
      </c>
      <c r="AN328" s="30" t="e">
        <f t="shared" si="145"/>
        <v>#DIV/0!</v>
      </c>
      <c r="AO328" s="30" t="e">
        <f t="shared" si="145"/>
        <v>#DIV/0!</v>
      </c>
      <c r="AP328" s="30" t="e">
        <f t="shared" si="145"/>
        <v>#DIV/0!</v>
      </c>
      <c r="AQ328" s="30" t="e">
        <f t="shared" si="145"/>
        <v>#DIV/0!</v>
      </c>
      <c r="AR328" s="30" t="e">
        <f t="shared" si="145"/>
        <v>#DIV/0!</v>
      </c>
      <c r="AS328" s="30"/>
    </row>
    <row r="329" spans="4:45" ht="13.8">
      <c r="D329" s="7"/>
      <c r="E329" s="33" t="s">
        <v>40</v>
      </c>
      <c r="F329" s="30">
        <f t="shared" ref="F329:AR329" si="146">J144/I144-1</f>
        <v>-8.6051834549220052E-3</v>
      </c>
      <c r="G329" s="30">
        <f t="shared" si="146"/>
        <v>2.516736294728017E-2</v>
      </c>
      <c r="H329" s="30">
        <f t="shared" si="146"/>
        <v>2.9353712121625186E-2</v>
      </c>
      <c r="I329" s="30">
        <f t="shared" si="146"/>
        <v>3.5092332922308511E-2</v>
      </c>
      <c r="J329" s="30">
        <f t="shared" si="146"/>
        <v>-6.9291191531798968E-2</v>
      </c>
      <c r="K329" s="30">
        <f t="shared" si="146"/>
        <v>3.2570081981029286E-2</v>
      </c>
      <c r="L329" s="30">
        <f t="shared" si="146"/>
        <v>-1.5897680253902924E-2</v>
      </c>
      <c r="M329" s="30">
        <f t="shared" si="146"/>
        <v>7.923773227226949E-2</v>
      </c>
      <c r="N329" s="30">
        <f t="shared" si="146"/>
        <v>-0.10409952647651632</v>
      </c>
      <c r="O329" s="30">
        <f t="shared" si="146"/>
        <v>5.0490382208605356E-2</v>
      </c>
      <c r="P329" s="30">
        <f t="shared" si="146"/>
        <v>-9.5904696433346537E-4</v>
      </c>
      <c r="Q329" s="30">
        <f t="shared" si="146"/>
        <v>3.1922416401765741E-2</v>
      </c>
      <c r="R329" s="30">
        <f t="shared" si="146"/>
        <v>-9.769355372090327E-2</v>
      </c>
      <c r="S329" s="30">
        <f t="shared" si="146"/>
        <v>7.998858530658759E-2</v>
      </c>
      <c r="T329" s="30">
        <f t="shared" si="146"/>
        <v>-1.4424146119453973E-2</v>
      </c>
      <c r="U329" s="30">
        <f t="shared" si="146"/>
        <v>6.4593496753890811E-2</v>
      </c>
      <c r="V329" s="30">
        <f t="shared" si="146"/>
        <v>-8.5150116068925974E-2</v>
      </c>
      <c r="W329" s="30">
        <f t="shared" si="146"/>
        <v>6.1093801970012462E-2</v>
      </c>
      <c r="X329" s="30">
        <f t="shared" si="146"/>
        <v>-8.787304949592456E-3</v>
      </c>
      <c r="Y329" s="30">
        <f t="shared" si="146"/>
        <v>3.9006861364763612E-2</v>
      </c>
      <c r="Z329" s="30">
        <f t="shared" si="146"/>
        <v>-5.9027408027740647E-2</v>
      </c>
      <c r="AA329" s="30">
        <f t="shared" si="146"/>
        <v>4.7551064035360469E-2</v>
      </c>
      <c r="AB329" s="30">
        <f t="shared" si="146"/>
        <v>2.941615732067171E-2</v>
      </c>
      <c r="AC329" s="30">
        <f t="shared" si="146"/>
        <v>9.4608701949477458E-2</v>
      </c>
      <c r="AD329" s="30">
        <f t="shared" si="146"/>
        <v>-9.449912747344269E-2</v>
      </c>
      <c r="AE329" s="30">
        <f t="shared" si="146"/>
        <v>6.387892124924166E-2</v>
      </c>
      <c r="AF329" s="30">
        <f t="shared" si="146"/>
        <v>4.1447785363915468E-2</v>
      </c>
      <c r="AG329" s="30">
        <f t="shared" si="146"/>
        <v>0.11754646298773941</v>
      </c>
      <c r="AH329" s="30">
        <f t="shared" si="146"/>
        <v>-1</v>
      </c>
      <c r="AI329" s="30" t="e">
        <f t="shared" si="146"/>
        <v>#DIV/0!</v>
      </c>
      <c r="AJ329" s="30" t="e">
        <f t="shared" si="146"/>
        <v>#DIV/0!</v>
      </c>
      <c r="AK329" s="30" t="e">
        <f t="shared" si="146"/>
        <v>#DIV/0!</v>
      </c>
      <c r="AL329" s="30" t="e">
        <f t="shared" si="146"/>
        <v>#DIV/0!</v>
      </c>
      <c r="AM329" s="30" t="e">
        <f t="shared" si="146"/>
        <v>#DIV/0!</v>
      </c>
      <c r="AN329" s="30" t="e">
        <f t="shared" si="146"/>
        <v>#DIV/0!</v>
      </c>
      <c r="AO329" s="30" t="e">
        <f t="shared" si="146"/>
        <v>#DIV/0!</v>
      </c>
      <c r="AP329" s="30" t="e">
        <f t="shared" si="146"/>
        <v>#DIV/0!</v>
      </c>
      <c r="AQ329" s="30" t="e">
        <f t="shared" si="146"/>
        <v>#DIV/0!</v>
      </c>
      <c r="AR329" s="30" t="e">
        <f t="shared" si="146"/>
        <v>#DIV/0!</v>
      </c>
      <c r="AS329" s="30"/>
    </row>
    <row r="330" spans="4:45" ht="13.8">
      <c r="D330" s="7"/>
      <c r="E330" s="29" t="s">
        <v>41</v>
      </c>
      <c r="F330" s="32">
        <f t="shared" ref="F330:AR330" si="147">J206/I206-1</f>
        <v>4.748840705305768E-2</v>
      </c>
      <c r="G330" s="32">
        <f t="shared" si="147"/>
        <v>-3.7067870427932248E-2</v>
      </c>
      <c r="H330" s="32">
        <f t="shared" si="147"/>
        <v>3.143103437969641E-3</v>
      </c>
      <c r="I330" s="32">
        <f t="shared" si="147"/>
        <v>-8.0182853221781869E-2</v>
      </c>
      <c r="J330" s="32">
        <f t="shared" si="147"/>
        <v>4.5582559177901327E-2</v>
      </c>
      <c r="K330" s="32">
        <f t="shared" si="147"/>
        <v>1.0121017815558631E-2</v>
      </c>
      <c r="L330" s="32">
        <f t="shared" si="147"/>
        <v>0.11806093810154028</v>
      </c>
      <c r="M330" s="32">
        <f t="shared" si="147"/>
        <v>4.2405054209268878E-2</v>
      </c>
      <c r="N330" s="32">
        <f t="shared" si="147"/>
        <v>-5.4431098736346106E-2</v>
      </c>
      <c r="O330" s="32">
        <f t="shared" si="147"/>
        <v>5.7169413097537758E-2</v>
      </c>
      <c r="P330" s="32">
        <f t="shared" si="147"/>
        <v>7.4029693231366434E-2</v>
      </c>
      <c r="Q330" s="32">
        <f t="shared" si="147"/>
        <v>-7.9094708694670279E-3</v>
      </c>
      <c r="R330" s="32">
        <f t="shared" si="147"/>
        <v>4.3958175069293892E-2</v>
      </c>
      <c r="S330" s="32">
        <f t="shared" si="147"/>
        <v>5.6295084312474764E-2</v>
      </c>
      <c r="T330" s="32">
        <f t="shared" si="147"/>
        <v>-7.5009457968736593E-3</v>
      </c>
      <c r="U330" s="32">
        <f t="shared" si="147"/>
        <v>-1.9090787608379789E-2</v>
      </c>
      <c r="V330" s="32">
        <f t="shared" si="147"/>
        <v>0.10875901516854669</v>
      </c>
      <c r="W330" s="32">
        <f t="shared" si="147"/>
        <v>3.1679830125842523E-2</v>
      </c>
      <c r="X330" s="32">
        <f t="shared" si="147"/>
        <v>3.9807346918833364E-2</v>
      </c>
      <c r="Y330" s="32">
        <f t="shared" si="147"/>
        <v>4.2204923637712E-2</v>
      </c>
      <c r="Z330" s="32">
        <f t="shared" si="147"/>
        <v>1.1938148613011679E-2</v>
      </c>
      <c r="AA330" s="32">
        <f t="shared" si="147"/>
        <v>0.10281936253711277</v>
      </c>
      <c r="AB330" s="32">
        <f t="shared" si="147"/>
        <v>8.3863236033308919E-2</v>
      </c>
      <c r="AC330" s="32">
        <f t="shared" si="147"/>
        <v>7.6831125645171694E-2</v>
      </c>
      <c r="AD330" s="32">
        <f t="shared" si="147"/>
        <v>-3.641702777798439E-2</v>
      </c>
      <c r="AE330" s="32">
        <f t="shared" si="147"/>
        <v>-5.8852769811837291E-2</v>
      </c>
      <c r="AF330" s="32">
        <f t="shared" si="147"/>
        <v>3.7948630579981213E-2</v>
      </c>
      <c r="AG330" s="32">
        <f t="shared" si="147"/>
        <v>8.5463936060068413E-2</v>
      </c>
      <c r="AH330" s="32">
        <f t="shared" si="147"/>
        <v>-1</v>
      </c>
      <c r="AI330" s="32" t="e">
        <f t="shared" si="147"/>
        <v>#DIV/0!</v>
      </c>
      <c r="AJ330" s="32" t="e">
        <f t="shared" si="147"/>
        <v>#DIV/0!</v>
      </c>
      <c r="AK330" s="32" t="e">
        <f t="shared" si="147"/>
        <v>#DIV/0!</v>
      </c>
      <c r="AL330" s="32" t="e">
        <f t="shared" si="147"/>
        <v>#DIV/0!</v>
      </c>
      <c r="AM330" s="32" t="e">
        <f t="shared" si="147"/>
        <v>#DIV/0!</v>
      </c>
      <c r="AN330" s="32" t="e">
        <f t="shared" si="147"/>
        <v>#DIV/0!</v>
      </c>
      <c r="AO330" s="32" t="e">
        <f t="shared" si="147"/>
        <v>#DIV/0!</v>
      </c>
      <c r="AP330" s="32" t="e">
        <f t="shared" si="147"/>
        <v>#DIV/0!</v>
      </c>
      <c r="AQ330" s="32" t="e">
        <f t="shared" si="147"/>
        <v>#DIV/0!</v>
      </c>
      <c r="AR330" s="32" t="e">
        <f t="shared" si="147"/>
        <v>#DIV/0!</v>
      </c>
      <c r="AS330" s="32"/>
    </row>
    <row r="331" spans="4:45" ht="13.8">
      <c r="D331" s="7"/>
      <c r="E331" s="29" t="s">
        <v>42</v>
      </c>
      <c r="F331" s="30">
        <f t="shared" ref="F331:AS331" si="148">J243/I243-1</f>
        <v>-1.8246584411544808E-2</v>
      </c>
      <c r="G331" s="30">
        <f t="shared" si="148"/>
        <v>5.1176366321033173E-2</v>
      </c>
      <c r="H331" s="30">
        <f t="shared" si="148"/>
        <v>4.3213444482318453E-2</v>
      </c>
      <c r="I331" s="30">
        <f t="shared" si="148"/>
        <v>3.3928747484060828E-2</v>
      </c>
      <c r="J331" s="30">
        <f t="shared" si="148"/>
        <v>0</v>
      </c>
      <c r="K331" s="30">
        <f t="shared" si="148"/>
        <v>9.6629038065116912E-2</v>
      </c>
      <c r="L331" s="30">
        <f t="shared" si="148"/>
        <v>-3.0420841278635868E-2</v>
      </c>
      <c r="M331" s="30">
        <f t="shared" si="148"/>
        <v>-3.2646518673389302E-3</v>
      </c>
      <c r="N331" s="30">
        <f t="shared" si="148"/>
        <v>3.3473405515061394E-2</v>
      </c>
      <c r="O331" s="30">
        <f t="shared" si="148"/>
        <v>9.6402877697841616E-2</v>
      </c>
      <c r="P331" s="30">
        <f t="shared" si="148"/>
        <v>5.0517553380681646E-2</v>
      </c>
      <c r="Q331" s="30">
        <f t="shared" si="148"/>
        <v>4.2155145811869188E-2</v>
      </c>
      <c r="R331" s="30">
        <f t="shared" si="148"/>
        <v>2.1682393504319997E-2</v>
      </c>
      <c r="S331" s="30">
        <f t="shared" si="148"/>
        <v>0.11716186771366832</v>
      </c>
      <c r="T331" s="30">
        <f t="shared" si="148"/>
        <v>-4.5535828426161551E-2</v>
      </c>
      <c r="U331" s="30">
        <f t="shared" si="148"/>
        <v>4.2090085873895067E-2</v>
      </c>
      <c r="V331" s="30">
        <f t="shared" si="148"/>
        <v>1.8470688729487428E-2</v>
      </c>
      <c r="W331" s="30">
        <f t="shared" si="148"/>
        <v>6.6800241423310203E-2</v>
      </c>
      <c r="X331" s="30">
        <f t="shared" si="148"/>
        <v>-5.5328704317408217E-2</v>
      </c>
      <c r="Y331" s="30">
        <f t="shared" si="148"/>
        <v>6.4295657337231082E-2</v>
      </c>
      <c r="Z331" s="30">
        <f t="shared" si="148"/>
        <v>0.14598871256701584</v>
      </c>
      <c r="AA331" s="30">
        <f t="shared" si="148"/>
        <v>8.8353228011279983E-2</v>
      </c>
      <c r="AB331" s="30">
        <f t="shared" si="148"/>
        <v>-6.0418908321137055E-3</v>
      </c>
      <c r="AC331" s="30">
        <f t="shared" si="148"/>
        <v>0.13187754764985637</v>
      </c>
      <c r="AD331" s="30">
        <f t="shared" si="148"/>
        <v>-0.10395961143982757</v>
      </c>
      <c r="AE331" s="30">
        <f t="shared" si="148"/>
        <v>6.9541444959397625E-2</v>
      </c>
      <c r="AF331" s="30">
        <f t="shared" si="148"/>
        <v>-5.2751703110484938E-2</v>
      </c>
      <c r="AG331" s="30">
        <f t="shared" si="148"/>
        <v>-1.1244122163401982E-2</v>
      </c>
      <c r="AH331" s="30">
        <f t="shared" si="148"/>
        <v>-1</v>
      </c>
      <c r="AI331" s="30" t="e">
        <f t="shared" si="148"/>
        <v>#DIV/0!</v>
      </c>
      <c r="AJ331" s="30" t="e">
        <f t="shared" si="148"/>
        <v>#DIV/0!</v>
      </c>
      <c r="AK331" s="30" t="e">
        <f t="shared" si="148"/>
        <v>#DIV/0!</v>
      </c>
      <c r="AL331" s="30" t="e">
        <f t="shared" si="148"/>
        <v>#DIV/0!</v>
      </c>
      <c r="AM331" s="30" t="e">
        <f t="shared" si="148"/>
        <v>#DIV/0!</v>
      </c>
      <c r="AN331" s="30" t="e">
        <f t="shared" si="148"/>
        <v>#DIV/0!</v>
      </c>
      <c r="AO331" s="30" t="e">
        <f t="shared" si="148"/>
        <v>#DIV/0!</v>
      </c>
      <c r="AP331" s="30" t="e">
        <f t="shared" si="148"/>
        <v>#DIV/0!</v>
      </c>
      <c r="AQ331" s="30" t="e">
        <f t="shared" si="148"/>
        <v>#DIV/0!</v>
      </c>
      <c r="AR331" s="30" t="e">
        <f t="shared" si="148"/>
        <v>#DIV/0!</v>
      </c>
      <c r="AS331" s="30" t="e">
        <f t="shared" si="148"/>
        <v>#DIV/0!</v>
      </c>
    </row>
    <row r="332" spans="4:45" ht="13.8">
      <c r="D332" s="7"/>
      <c r="E332" s="28"/>
      <c r="F332" s="35"/>
      <c r="G332" s="35"/>
      <c r="H332" s="35"/>
      <c r="I332" s="35"/>
      <c r="J332" s="35"/>
      <c r="K332" s="35"/>
      <c r="L332" s="35"/>
      <c r="M332" s="35"/>
    </row>
    <row r="333" spans="4:45" ht="13.8">
      <c r="D333" s="7"/>
      <c r="E333" s="28"/>
      <c r="F333" s="28"/>
      <c r="G333" s="30" t="s">
        <v>146</v>
      </c>
      <c r="H333" s="30" t="s">
        <v>147</v>
      </c>
      <c r="I333" s="30" t="s">
        <v>175</v>
      </c>
      <c r="J333" s="30" t="s">
        <v>148</v>
      </c>
      <c r="K333" s="35"/>
      <c r="L333" s="35"/>
      <c r="M333" s="606"/>
    </row>
    <row r="334" spans="4:45" ht="13.8">
      <c r="D334" s="7"/>
      <c r="F334" s="77" t="s">
        <v>41</v>
      </c>
      <c r="G334" s="30" t="e">
        <f>AVERAGE(F330,J330,N330,R330,V330,Z330,AD330,AH330,AL330,AP330)</f>
        <v>#DIV/0!</v>
      </c>
      <c r="H334" s="30" t="e">
        <f>AVERAGE(G330,K330,O330,S330,W330,AA330,AE330,AI330,AM330,AQ330)</f>
        <v>#DIV/0!</v>
      </c>
      <c r="I334" s="30" t="e">
        <f>AVERAGE(H330,L330,P330,T330, X330,AB330,AF330,AJ330,AN330,AR330)</f>
        <v>#DIV/0!</v>
      </c>
      <c r="J334" s="30" t="e">
        <f>AVERAGE(I330,M330,Q330,U330,Y330,AC330,AG330,AK330,AO330)</f>
        <v>#DIV/0!</v>
      </c>
      <c r="K334" s="1003"/>
      <c r="M334" s="11"/>
    </row>
    <row r="335" spans="4:45" ht="13.8">
      <c r="D335" s="7"/>
      <c r="F335" s="77" t="s">
        <v>42</v>
      </c>
      <c r="G335" s="30" t="e">
        <f>AVERAGE(F331,J331,N331,R331,V331,Z331,AD331,AH331,AL331,AP331)</f>
        <v>#DIV/0!</v>
      </c>
      <c r="H335" s="30" t="e">
        <f>AVERAGE(G331,K331,O331,S331,W331,AA331,AE331,AI331,AM331,AQ331)</f>
        <v>#DIV/0!</v>
      </c>
      <c r="I335" s="30" t="e">
        <f>AVERAGE(H331,L331,P331,T331,X331,AB331,AF331,AJ331,AN331,AR331)</f>
        <v>#DIV/0!</v>
      </c>
      <c r="J335" s="30" t="e">
        <f>AVERAGE(I331,M331,Q331,U331,Y331,AC331,AG331,AK331,AO331)</f>
        <v>#DIV/0!</v>
      </c>
      <c r="K335" s="1003"/>
      <c r="M335" s="11"/>
    </row>
    <row r="336" spans="4:45" ht="13.8">
      <c r="D336" s="7"/>
      <c r="F336" s="28" t="s">
        <v>410</v>
      </c>
      <c r="G336" s="11">
        <f>MAX(F331,J331,N331,R331,V331,Z331,AD331)</f>
        <v>0.14598871256701584</v>
      </c>
      <c r="H336" s="11">
        <f>MAX(G331,K331,O331,S331,W331,AA331,AE331)</f>
        <v>0.11716186771366832</v>
      </c>
      <c r="I336" s="11">
        <f>MAX(H331,L331,P331,T331,X331,AB331,AF331)</f>
        <v>5.0517553380681646E-2</v>
      </c>
      <c r="J336" s="11">
        <f>MAX(I331,M331,Q331,U331,Y331,AC331,AG331)</f>
        <v>0.13187754764985637</v>
      </c>
    </row>
    <row r="337" spans="5:49" ht="13.8">
      <c r="F337" s="28" t="s">
        <v>411</v>
      </c>
      <c r="G337" s="11">
        <f>MIN(F331,J332,N331,R331,V331,Z331,AD331)</f>
        <v>-0.10395961143982757</v>
      </c>
      <c r="H337" s="11">
        <f>MIN(G331,K332,O331,S331,W331,AA331,AE331)</f>
        <v>5.1176366321033173E-2</v>
      </c>
      <c r="I337" s="11">
        <f>MIN(H331,L332,P331,T331,X331,AB331,AF331)</f>
        <v>-5.5328704317408217E-2</v>
      </c>
      <c r="J337" s="11">
        <f>MIN(I331,M332,Q331,U331,Y331,AC331,AG331)</f>
        <v>-1.1244122163401982E-2</v>
      </c>
    </row>
    <row r="338" spans="5:49" ht="13.8">
      <c r="F338" s="28" t="s">
        <v>558</v>
      </c>
      <c r="G338" s="11" t="e">
        <f>MAX(F330,J330,N330,R330,V330,Z330,AD330,AH330,AL330)</f>
        <v>#DIV/0!</v>
      </c>
      <c r="H338" s="11" t="e">
        <f>MAX(G330,K330,O330,S330,W330,AA330,AE330,AI330,AM330)</f>
        <v>#DIV/0!</v>
      </c>
      <c r="I338" s="11" t="e">
        <f>MAX(H330,L330,P330,T330, X330,AB330,AF330,AJ330,AN330,)</f>
        <v>#DIV/0!</v>
      </c>
      <c r="J338" s="11" t="e">
        <f>MAX(I330,M330,Q330,U330,Y330,AC330,AG330,AK330,AO330)</f>
        <v>#DIV/0!</v>
      </c>
    </row>
    <row r="339" spans="5:49" ht="13.8">
      <c r="F339" s="28" t="s">
        <v>559</v>
      </c>
      <c r="G339" s="11" t="e">
        <f>MIN(F330,J330,N330,R330,V330,Z330,AD330,AH330,AL330)</f>
        <v>#DIV/0!</v>
      </c>
      <c r="H339" s="11" t="e">
        <f>MIN(G330,K330,O330,S330,W330,AA330,AE330,AI330,AM330)</f>
        <v>#DIV/0!</v>
      </c>
      <c r="I339" s="11" t="e">
        <f>MIN(H330,L330,P330,T330, X330,AB330,AF330,AJ330,AN330,)</f>
        <v>#DIV/0!</v>
      </c>
      <c r="J339" s="11" t="e">
        <f>MIN(I330,M330,Q330,U330,Y330,AC330,AG330,AK330,AO330)</f>
        <v>#DIV/0!</v>
      </c>
    </row>
    <row r="340" spans="5:49">
      <c r="E340" t="s">
        <v>313</v>
      </c>
      <c r="AV340" s="1874" t="s">
        <v>312</v>
      </c>
      <c r="AW340" s="1875"/>
    </row>
    <row r="341" spans="5:49">
      <c r="F341" s="34" t="str">
        <f>F235</f>
        <v>1Q 10</v>
      </c>
      <c r="G341" s="34" t="str">
        <f>G235</f>
        <v>2Q 10</v>
      </c>
      <c r="H341" s="34" t="str">
        <f>H235</f>
        <v>3Q 10</v>
      </c>
      <c r="I341" s="34" t="str">
        <f>I235</f>
        <v>4Q 10</v>
      </c>
      <c r="J341" s="34" t="str">
        <f>F325</f>
        <v>1Q 11</v>
      </c>
      <c r="K341" s="34" t="str">
        <f t="shared" ref="K341:AW341" si="149">G325</f>
        <v>2Q 11</v>
      </c>
      <c r="L341" s="34" t="str">
        <f t="shared" si="149"/>
        <v>3Q 11</v>
      </c>
      <c r="M341" s="34" t="str">
        <f t="shared" si="149"/>
        <v>4Q 11</v>
      </c>
      <c r="N341" s="34" t="str">
        <f t="shared" si="149"/>
        <v>1Q 12</v>
      </c>
      <c r="O341" s="34" t="str">
        <f t="shared" si="149"/>
        <v>2Q 12</v>
      </c>
      <c r="P341" s="34" t="str">
        <f t="shared" si="149"/>
        <v>3Q 12</v>
      </c>
      <c r="Q341" s="34" t="str">
        <f t="shared" si="149"/>
        <v>4Q 12</v>
      </c>
      <c r="R341" s="34" t="str">
        <f t="shared" si="149"/>
        <v>1Q 13</v>
      </c>
      <c r="S341" s="34" t="str">
        <f t="shared" si="149"/>
        <v>2Q 13</v>
      </c>
      <c r="T341" s="34" t="str">
        <f t="shared" si="149"/>
        <v>3Q 13</v>
      </c>
      <c r="U341" s="34" t="str">
        <f t="shared" si="149"/>
        <v>4Q 13</v>
      </c>
      <c r="V341" s="34" t="str">
        <f t="shared" si="149"/>
        <v>1Q 14</v>
      </c>
      <c r="W341" s="34" t="str">
        <f t="shared" si="149"/>
        <v>2Q 14</v>
      </c>
      <c r="X341" s="34" t="str">
        <f t="shared" si="149"/>
        <v>3Q 14</v>
      </c>
      <c r="Y341" s="34" t="str">
        <f t="shared" si="149"/>
        <v>4Q 14</v>
      </c>
      <c r="Z341" s="34" t="str">
        <f t="shared" si="149"/>
        <v>1Q 15</v>
      </c>
      <c r="AA341" s="34" t="str">
        <f t="shared" si="149"/>
        <v>2Q 15</v>
      </c>
      <c r="AB341" s="34" t="str">
        <f t="shared" si="149"/>
        <v>3Q 15</v>
      </c>
      <c r="AC341" s="34" t="str">
        <f t="shared" si="149"/>
        <v>4Q 15</v>
      </c>
      <c r="AD341" s="34" t="str">
        <f t="shared" si="149"/>
        <v>1Q 16</v>
      </c>
      <c r="AE341" s="34" t="str">
        <f t="shared" si="149"/>
        <v>2Q 16</v>
      </c>
      <c r="AF341" s="34" t="str">
        <f t="shared" si="149"/>
        <v>3Q 16</v>
      </c>
      <c r="AG341" s="34" t="str">
        <f t="shared" si="149"/>
        <v>4Q 16</v>
      </c>
      <c r="AH341" s="34" t="str">
        <f t="shared" si="149"/>
        <v>1Q 17</v>
      </c>
      <c r="AI341" s="34" t="str">
        <f t="shared" si="149"/>
        <v>2Q 17</v>
      </c>
      <c r="AJ341" s="34" t="str">
        <f t="shared" si="149"/>
        <v>3Q 17</v>
      </c>
      <c r="AK341" s="34" t="str">
        <f t="shared" si="149"/>
        <v>4Q 17</v>
      </c>
      <c r="AL341" s="34" t="str">
        <f t="shared" si="149"/>
        <v>1Q 18</v>
      </c>
      <c r="AM341" s="34" t="str">
        <f t="shared" si="149"/>
        <v>2Q 18</v>
      </c>
      <c r="AN341" s="34" t="str">
        <f t="shared" si="149"/>
        <v>3Q 18</v>
      </c>
      <c r="AO341" s="34" t="str">
        <f t="shared" si="149"/>
        <v>4Q 18</v>
      </c>
      <c r="AP341" s="34" t="str">
        <f t="shared" si="149"/>
        <v>1Q 19</v>
      </c>
      <c r="AQ341" s="34" t="str">
        <f t="shared" si="149"/>
        <v>2Q 19</v>
      </c>
      <c r="AR341" s="34" t="str">
        <f t="shared" si="149"/>
        <v>3Q 19</v>
      </c>
      <c r="AS341" s="34" t="str">
        <f t="shared" si="149"/>
        <v>4Q 19</v>
      </c>
      <c r="AT341" s="34" t="str">
        <f t="shared" si="149"/>
        <v>1Q 20</v>
      </c>
      <c r="AU341" s="34" t="str">
        <f t="shared" si="149"/>
        <v>2Q 20</v>
      </c>
      <c r="AV341" s="34" t="str">
        <f t="shared" si="149"/>
        <v>3Q 20</v>
      </c>
      <c r="AW341" s="34" t="str">
        <f t="shared" si="149"/>
        <v>4Q 20</v>
      </c>
    </row>
    <row r="342" spans="5:49" ht="13.8">
      <c r="E342" s="29" t="s">
        <v>42</v>
      </c>
      <c r="F342" s="385"/>
      <c r="G342" s="385"/>
      <c r="H342" s="385"/>
      <c r="I342" s="385"/>
      <c r="J342" s="5">
        <f t="shared" ref="J342:AR342" si="150">J243/F243-1</f>
        <v>0.2155128211102626</v>
      </c>
      <c r="K342" s="5">
        <f t="shared" si="150"/>
        <v>0.22515802137152763</v>
      </c>
      <c r="L342" s="5">
        <f t="shared" si="150"/>
        <v>0.15470821381965139</v>
      </c>
      <c r="M342" s="5">
        <f t="shared" si="150"/>
        <v>0.1131195104989724</v>
      </c>
      <c r="N342" s="5">
        <f t="shared" si="150"/>
        <v>0.13380762707280991</v>
      </c>
      <c r="O342" s="5">
        <f t="shared" si="150"/>
        <v>0.18283325925539273</v>
      </c>
      <c r="P342" s="5">
        <f t="shared" si="150"/>
        <v>9.9344034034763551E-2</v>
      </c>
      <c r="Q342" s="5">
        <f t="shared" si="150"/>
        <v>5.9797458139731585E-2</v>
      </c>
      <c r="R342" s="5">
        <f t="shared" si="150"/>
        <v>9.5272488219874107E-2</v>
      </c>
      <c r="S342" s="5">
        <f t="shared" si="150"/>
        <v>9.5046607617041312E-2</v>
      </c>
      <c r="T342" s="5">
        <f t="shared" si="150"/>
        <v>0.18645875658952704</v>
      </c>
      <c r="U342" s="5">
        <f t="shared" si="150"/>
        <v>0.2405239773926009</v>
      </c>
      <c r="V342" s="5">
        <f t="shared" si="150"/>
        <v>0.22637070258263225</v>
      </c>
      <c r="W342" s="5">
        <f t="shared" si="150"/>
        <v>0.24959046758732728</v>
      </c>
      <c r="X342" s="5">
        <f t="shared" si="150"/>
        <v>0.13533498475498829</v>
      </c>
      <c r="Y342" s="5">
        <f t="shared" si="150"/>
        <v>0.13526410776130371</v>
      </c>
      <c r="Z342" s="5">
        <f t="shared" si="150"/>
        <v>0.13169535373483288</v>
      </c>
      <c r="AA342" s="5">
        <f t="shared" si="150"/>
        <v>8.0678558294106306E-2</v>
      </c>
      <c r="AB342" s="5">
        <f t="shared" si="150"/>
        <v>6.9590713076977728E-2</v>
      </c>
      <c r="AC342" s="5">
        <f t="shared" si="150"/>
        <v>9.2382286797625834E-2</v>
      </c>
      <c r="AD342" s="5">
        <f t="shared" si="150"/>
        <v>0.22915444139082686</v>
      </c>
      <c r="AE342" s="5">
        <f t="shared" si="150"/>
        <v>0.25398753399914398</v>
      </c>
      <c r="AF342" s="5">
        <f t="shared" si="150"/>
        <v>0.31941246009096691</v>
      </c>
      <c r="AG342" s="5">
        <f t="shared" si="150"/>
        <v>0.40319405549657983</v>
      </c>
      <c r="AH342" s="5">
        <f t="shared" si="150"/>
        <v>9.7147408979347594E-2</v>
      </c>
      <c r="AI342" s="5">
        <f t="shared" si="150"/>
        <v>7.8183621761692024E-2</v>
      </c>
      <c r="AJ342" s="5">
        <f t="shared" si="150"/>
        <v>2.7515737361347936E-2</v>
      </c>
      <c r="AK342" s="5">
        <f t="shared" si="150"/>
        <v>-0.1024097730402862</v>
      </c>
      <c r="AL342" s="5">
        <f t="shared" si="150"/>
        <v>-1</v>
      </c>
      <c r="AM342" s="5">
        <f t="shared" si="150"/>
        <v>-1</v>
      </c>
      <c r="AN342" s="5">
        <f t="shared" si="150"/>
        <v>-1</v>
      </c>
      <c r="AO342" s="5">
        <f t="shared" si="150"/>
        <v>-1</v>
      </c>
      <c r="AP342" s="5" t="e">
        <f t="shared" si="150"/>
        <v>#DIV/0!</v>
      </c>
      <c r="AQ342" s="5" t="e">
        <f t="shared" si="150"/>
        <v>#DIV/0!</v>
      </c>
      <c r="AR342" s="5" t="e">
        <f t="shared" si="150"/>
        <v>#DIV/0!</v>
      </c>
      <c r="AS342" s="5" t="e">
        <f t="shared" ref="AS342" si="151">AS243/AO243-1</f>
        <v>#DIV/0!</v>
      </c>
      <c r="AT342" s="5" t="e">
        <f t="shared" ref="AT342:AU342" si="152">AT243/AP243-1</f>
        <v>#DIV/0!</v>
      </c>
      <c r="AU342" s="5" t="e">
        <f t="shared" si="152"/>
        <v>#DIV/0!</v>
      </c>
      <c r="AV342" s="5" t="e">
        <f t="shared" ref="AV342" si="153">AV243/AR243-1</f>
        <v>#DIV/0!</v>
      </c>
      <c r="AW342" s="5" t="e">
        <f t="shared" ref="AW342" si="154">AW243/AS243-1</f>
        <v>#DIV/0!</v>
      </c>
    </row>
  </sheetData>
  <mergeCells count="4">
    <mergeCell ref="N294:P294"/>
    <mergeCell ref="I273:J273"/>
    <mergeCell ref="AV340:AW340"/>
    <mergeCell ref="AE217:AL21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Network equip</vt:lpstr>
      <vt:lpstr>Datacom equip</vt:lpstr>
      <vt:lpstr>OC vendors</vt:lpstr>
      <vt:lpstr>Semiconductor vendors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Stelyana Baleva</cp:lastModifiedBy>
  <dcterms:created xsi:type="dcterms:W3CDTF">2015-03-09T15:37:28Z</dcterms:created>
  <dcterms:modified xsi:type="dcterms:W3CDTF">2022-06-16T19:30:25Z</dcterms:modified>
</cp:coreProperties>
</file>