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5.xml" ContentType="application/vnd.openxmlformats-officedocument.drawing+xml"/>
  <Override PartName="/xl/charts/chart52.xml" ContentType="application/vnd.openxmlformats-officedocument.drawingml.chart+xml"/>
  <Override PartName="/xl/drawings/drawing6.xml" ContentType="application/vnd.openxmlformats-officedocument.drawingml.chartshapes+xml"/>
  <Override PartName="/xl/charts/chart53.xml" ContentType="application/vnd.openxmlformats-officedocument.drawingml.chart+xml"/>
  <Override PartName="/xl/drawings/drawing7.xml" ContentType="application/vnd.openxmlformats-officedocument.drawingml.chartshapes+xml"/>
  <Override PartName="/xl/charts/chart5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55.xml" ContentType="application/vnd.openxmlformats-officedocument.drawingml.chart+xml"/>
  <Override PartName="/xl/charts/style1.xml" ContentType="application/vnd.ms-office.chartstyle+xml"/>
  <Override PartName="/xl/charts/colors1.xml" ContentType="application/vnd.ms-office.chartcolorstyle+xml"/>
  <Override PartName="/xl/charts/chart5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15.xml" ContentType="application/vnd.openxmlformats-officedocument.drawing+xml"/>
  <Override PartName="/xl/charts/chart83.xml" ContentType="application/vnd.openxmlformats-officedocument.drawingml.chart+xml"/>
  <Override PartName="/xl/drawings/drawing16.xml" ContentType="application/vnd.openxmlformats-officedocument.drawingml.chartshapes+xml"/>
  <Override PartName="/xl/charts/chart84.xml" ContentType="application/vnd.openxmlformats-officedocument.drawingml.chart+xml"/>
  <Override PartName="/xl/drawings/drawing17.xml" ContentType="application/vnd.openxmlformats-officedocument.drawingml.chartshapes+xml"/>
  <Override PartName="/xl/charts/chart85.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defaultThemeVersion="124226"/>
  <mc:AlternateContent xmlns:mc="http://schemas.openxmlformats.org/markup-compatibility/2006">
    <mc:Choice Requires="x15">
      <x15ac:absPath xmlns:x15ac="http://schemas.microsoft.com/office/spreadsheetml/2010/11/ac" url="C:\Users\Stelyana Baleva\Dropbox\LC Reports\Data Center Report\2021\September\Deliverables\"/>
    </mc:Choice>
  </mc:AlternateContent>
  <xr:revisionPtr revIDLastSave="0" documentId="13_ncr:1_{1A0E4314-6526-4058-85CE-C2E6F2DDBAD1}" xr6:coauthVersionLast="47" xr6:coauthVersionMax="47" xr10:uidLastSave="{00000000-0000-0000-0000-000000000000}"/>
  <bookViews>
    <workbookView xWindow="-108" yWindow="-108" windowWidth="30936" windowHeight="16896" tabRatio="788" xr2:uid="{00000000-000D-0000-FFFF-FFFF00000000}"/>
  </bookViews>
  <sheets>
    <sheet name="Introduction" sheetId="60" r:id="rId1"/>
    <sheet name="Methodology" sheetId="10" r:id="rId2"/>
    <sheet name="Products" sheetId="33" r:id="rId3"/>
    <sheet name="Summary" sheetId="96" r:id="rId4"/>
    <sheet name="Dashboard" sheetId="76" r:id="rId5"/>
    <sheet name="Products x speed" sheetId="91" r:id="rId6"/>
    <sheet name="112 Adoption" sheetId="123" r:id="rId7"/>
    <sheet name="Cost per Gbps" sheetId="87" r:id="rId8"/>
    <sheet name="Telecom" sheetId="66" r:id="rId9"/>
    <sheet name="Enterprise" sheetId="69" r:id="rId10"/>
    <sheet name="Cloud" sheetId="68" r:id="rId11"/>
    <sheet name="Products x segment" sheetId="70" r:id="rId12"/>
    <sheet name="Segment dashbd" sheetId="71" r:id="rId13"/>
  </sheets>
  <externalReferences>
    <externalReference r:id="rId14"/>
  </externalReferences>
  <definedNames>
    <definedName name="Codes">[1]Ethernet!$AE$9:$AE$47</definedName>
    <definedName name="Comments">#REF!</definedName>
    <definedName name="Current_cell">!A1</definedName>
    <definedName name="Growthconstants">#REF!</definedName>
    <definedName name="PriceDCE">Enterprise!$B$94:$O$174</definedName>
    <definedName name="PriceDCM">Cloud!$B$94:$O$174</definedName>
    <definedName name="PriceTEL">Telecom!$B$94:$O$174</definedName>
    <definedName name="RevDCE">Enterprise!$B$179:$O$259</definedName>
    <definedName name="RevDCM">Cloud!$B$179:$O$259</definedName>
    <definedName name="Revenue">'Products x speed'!$B$201:$O$291</definedName>
    <definedName name="Revenue_new_forecast_model">#REF!</definedName>
    <definedName name="Revenues_Jul2021">#REF!</definedName>
    <definedName name="Revenues_July2020">#REF!</definedName>
    <definedName name="Revenues_Mar2020">#REF!</definedName>
    <definedName name="Revenues_Mar2021">#REF!</definedName>
    <definedName name="Revenues_Sep2020">#REF!</definedName>
    <definedName name="RevTEL">Telecom!$B$179:$O$259</definedName>
    <definedName name="VolDCE">Enterprise!$B$9:$O$89</definedName>
    <definedName name="VolDCM">Cloud!$B$9:$O$89</definedName>
    <definedName name="VolTEL">Telecom!$B$9:$O$89</definedName>
    <definedName name="Volume">'Products x speed'!$B$9:$O$99</definedName>
    <definedName name="Volume_Jul2021">#REF!</definedName>
    <definedName name="Volume_July2020">#REF!</definedName>
    <definedName name="Volume_Mar2020">#REF!</definedName>
    <definedName name="Volume_Mar2021">#REF!</definedName>
    <definedName name="Volume_new_forecast_model">#REF!</definedName>
    <definedName name="Volume_Sep2020">#REF!</definedName>
    <definedName name="Waterfall_ASP">#REF!</definedName>
    <definedName name="Waterfall_rev">#REF!</definedName>
    <definedName name="Waterfall_v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66" l="1"/>
  <c r="A254" i="68"/>
  <c r="A255" i="68"/>
  <c r="A256" i="68"/>
  <c r="A257" i="68"/>
  <c r="A253" i="68"/>
  <c r="A252" i="68"/>
  <c r="A251" i="68"/>
  <c r="A250" i="68"/>
  <c r="A249" i="68"/>
  <c r="A248" i="68"/>
  <c r="E193" i="68"/>
  <c r="F193" i="68"/>
  <c r="E183" i="68" l="1"/>
  <c r="J110" i="87"/>
  <c r="I110" i="87"/>
  <c r="H110" i="87"/>
  <c r="G110" i="87"/>
  <c r="F110" i="87"/>
  <c r="E110" i="87"/>
  <c r="G145" i="96" l="1"/>
  <c r="B146" i="96"/>
  <c r="F127" i="96"/>
  <c r="G127" i="96"/>
  <c r="B129" i="96"/>
  <c r="C129" i="96"/>
  <c r="D129" i="96"/>
  <c r="F739" i="96"/>
  <c r="E739" i="96"/>
  <c r="D739" i="96"/>
  <c r="B739" i="96"/>
  <c r="B732" i="96"/>
  <c r="F725" i="96"/>
  <c r="F732" i="96" s="1"/>
  <c r="P166" i="87"/>
  <c r="O166" i="87"/>
  <c r="N166" i="87"/>
  <c r="M166" i="87"/>
  <c r="L166" i="87"/>
  <c r="K166" i="87"/>
  <c r="P165" i="87"/>
  <c r="O165" i="87"/>
  <c r="N165" i="87"/>
  <c r="M165" i="87"/>
  <c r="L165" i="87"/>
  <c r="K165" i="87"/>
  <c r="P164" i="87"/>
  <c r="O164" i="87"/>
  <c r="N164" i="87"/>
  <c r="M164" i="87"/>
  <c r="L164" i="87"/>
  <c r="K164" i="87"/>
  <c r="S163" i="87"/>
  <c r="R163" i="87"/>
  <c r="Q163" i="87"/>
  <c r="P163" i="87"/>
  <c r="O163" i="87"/>
  <c r="N163" i="87"/>
  <c r="M163" i="87"/>
  <c r="L163" i="87"/>
  <c r="K163" i="87"/>
  <c r="Q162" i="87"/>
  <c r="P162" i="87"/>
  <c r="O162" i="87"/>
  <c r="N162" i="87"/>
  <c r="M162" i="87"/>
  <c r="L162" i="87"/>
  <c r="K162" i="87"/>
  <c r="P161" i="87"/>
  <c r="O161" i="87"/>
  <c r="N161" i="87"/>
  <c r="M161" i="87"/>
  <c r="L161" i="87"/>
  <c r="K161" i="87"/>
  <c r="O160" i="87"/>
  <c r="N160" i="87"/>
  <c r="M160" i="87"/>
  <c r="L160" i="87"/>
  <c r="K160" i="87"/>
  <c r="O159" i="87"/>
  <c r="N159" i="87"/>
  <c r="M159" i="87"/>
  <c r="L159" i="87"/>
  <c r="K159" i="87"/>
  <c r="O158" i="87"/>
  <c r="N158" i="87"/>
  <c r="M158" i="87"/>
  <c r="L158" i="87"/>
  <c r="K158" i="87"/>
  <c r="O109" i="87"/>
  <c r="P109" i="87"/>
  <c r="Q109" i="87"/>
  <c r="R109" i="87"/>
  <c r="S109" i="87"/>
  <c r="T109" i="87"/>
  <c r="U109" i="87"/>
  <c r="D725" i="96" l="1"/>
  <c r="D732" i="96" s="1"/>
  <c r="G725" i="96"/>
  <c r="E725" i="96"/>
  <c r="E732" i="96" s="1"/>
  <c r="H725" i="96"/>
  <c r="I725" i="96"/>
  <c r="J725" i="96"/>
  <c r="G732" i="96" l="1"/>
  <c r="K173" i="87" l="1"/>
  <c r="L173" i="87"/>
  <c r="M173" i="87"/>
  <c r="N173" i="87"/>
  <c r="O173" i="87"/>
  <c r="P173" i="87"/>
  <c r="K167" i="87"/>
  <c r="L167" i="87"/>
  <c r="M167" i="87"/>
  <c r="N167" i="87"/>
  <c r="O167" i="87"/>
  <c r="P167" i="87"/>
  <c r="K168" i="87"/>
  <c r="L168" i="87"/>
  <c r="M168" i="87"/>
  <c r="N168" i="87"/>
  <c r="O168" i="87"/>
  <c r="P168" i="87"/>
  <c r="K169" i="87"/>
  <c r="L169" i="87"/>
  <c r="M169" i="87"/>
  <c r="N169" i="87"/>
  <c r="O169" i="87"/>
  <c r="P169" i="87"/>
  <c r="K170" i="87"/>
  <c r="L170" i="87"/>
  <c r="M170" i="87"/>
  <c r="N170" i="87"/>
  <c r="O170" i="87"/>
  <c r="P170" i="87"/>
  <c r="K171" i="87"/>
  <c r="L171" i="87"/>
  <c r="M171" i="87"/>
  <c r="N171" i="87"/>
  <c r="O171" i="87"/>
  <c r="P171" i="87"/>
  <c r="K172" i="87"/>
  <c r="L172" i="87"/>
  <c r="M172" i="87"/>
  <c r="N172" i="87"/>
  <c r="O172" i="87"/>
  <c r="P172" i="87"/>
  <c r="B39" i="91" l="1"/>
  <c r="B231" i="91" s="1"/>
  <c r="C39" i="91"/>
  <c r="C231" i="91" s="1"/>
  <c r="D39" i="91"/>
  <c r="D231" i="91" s="1"/>
  <c r="B40" i="91"/>
  <c r="B232" i="91" s="1"/>
  <c r="C40" i="91"/>
  <c r="C232" i="91" s="1"/>
  <c r="D40" i="91"/>
  <c r="D232" i="91" s="1"/>
  <c r="C135" i="91"/>
  <c r="D136" i="91" l="1"/>
  <c r="D135" i="91"/>
  <c r="B136" i="91"/>
  <c r="B135" i="91"/>
  <c r="C136" i="91"/>
  <c r="G692" i="96"/>
  <c r="G693" i="96"/>
  <c r="G694" i="96"/>
  <c r="G695" i="96"/>
  <c r="C673" i="96"/>
  <c r="D673" i="96"/>
  <c r="E673" i="96"/>
  <c r="F673" i="96"/>
  <c r="G673" i="96"/>
  <c r="H673" i="96"/>
  <c r="C674" i="96"/>
  <c r="D674" i="96"/>
  <c r="E674" i="96"/>
  <c r="F674" i="96"/>
  <c r="G674" i="96"/>
  <c r="H674" i="96"/>
  <c r="C675" i="96"/>
  <c r="D675" i="96"/>
  <c r="E675" i="96"/>
  <c r="F675" i="96"/>
  <c r="G675" i="96"/>
  <c r="H675" i="96"/>
  <c r="H685" i="96" s="1"/>
  <c r="B137" i="96"/>
  <c r="B138" i="96"/>
  <c r="B139" i="96"/>
  <c r="B140" i="96"/>
  <c r="B141" i="96"/>
  <c r="B142" i="96"/>
  <c r="B143" i="96"/>
  <c r="B144" i="96"/>
  <c r="B145" i="96"/>
  <c r="A231" i="68" l="1"/>
  <c r="A233" i="68"/>
  <c r="A234" i="68"/>
  <c r="A241" i="68"/>
  <c r="A71" i="68" s="1"/>
  <c r="B71" i="69" l="1"/>
  <c r="B241" i="69" s="1"/>
  <c r="C71" i="69"/>
  <c r="C156" i="69" s="1"/>
  <c r="D71" i="69"/>
  <c r="D156" i="69" s="1"/>
  <c r="B71" i="68"/>
  <c r="B156" i="68" s="1"/>
  <c r="C71" i="68"/>
  <c r="C241" i="68" s="1"/>
  <c r="D71" i="68"/>
  <c r="D241" i="68" s="1"/>
  <c r="B71" i="66"/>
  <c r="C71" i="66"/>
  <c r="C241" i="66" s="1"/>
  <c r="D71" i="66"/>
  <c r="D241" i="66" s="1"/>
  <c r="B61" i="69"/>
  <c r="B146" i="69" s="1"/>
  <c r="C61" i="69"/>
  <c r="C231" i="69" s="1"/>
  <c r="D61" i="69"/>
  <c r="D231" i="69" s="1"/>
  <c r="B61" i="68"/>
  <c r="B231" i="68" s="1"/>
  <c r="C61" i="68"/>
  <c r="C231" i="68" s="1"/>
  <c r="D61" i="68"/>
  <c r="D146" i="68" s="1"/>
  <c r="B61" i="66"/>
  <c r="C61" i="66"/>
  <c r="C146" i="66" s="1"/>
  <c r="D61" i="66"/>
  <c r="D146" i="66" s="1"/>
  <c r="B63" i="69"/>
  <c r="B148" i="69" s="1"/>
  <c r="C63" i="69"/>
  <c r="C148" i="69" s="1"/>
  <c r="D63" i="69"/>
  <c r="D233" i="69" s="1"/>
  <c r="B64" i="69"/>
  <c r="B149" i="69" s="1"/>
  <c r="C64" i="69"/>
  <c r="C234" i="69" s="1"/>
  <c r="D64" i="69"/>
  <c r="D234" i="69" s="1"/>
  <c r="B63" i="68"/>
  <c r="B233" i="68" s="1"/>
  <c r="C63" i="68"/>
  <c r="D63" i="68"/>
  <c r="D148" i="68" s="1"/>
  <c r="B64" i="68"/>
  <c r="B234" i="68" s="1"/>
  <c r="C64" i="68"/>
  <c r="C149" i="68" s="1"/>
  <c r="D64" i="68"/>
  <c r="D149" i="68" s="1"/>
  <c r="B63" i="66"/>
  <c r="C63" i="66"/>
  <c r="C148" i="66" s="1"/>
  <c r="D63" i="66"/>
  <c r="D233" i="66" s="1"/>
  <c r="B64" i="66"/>
  <c r="C64" i="66"/>
  <c r="C149" i="66" s="1"/>
  <c r="D64" i="66"/>
  <c r="D149" i="66" s="1"/>
  <c r="E156" i="69"/>
  <c r="C156" i="68"/>
  <c r="B156" i="66"/>
  <c r="C156" i="66"/>
  <c r="E156" i="66"/>
  <c r="C146" i="69"/>
  <c r="D146" i="69"/>
  <c r="E146" i="69"/>
  <c r="F146" i="69"/>
  <c r="E146" i="66"/>
  <c r="F146" i="66"/>
  <c r="E148" i="69"/>
  <c r="F148" i="69"/>
  <c r="C149" i="69"/>
  <c r="D149" i="69"/>
  <c r="E149" i="69"/>
  <c r="F149" i="69"/>
  <c r="B148" i="68"/>
  <c r="C148" i="68"/>
  <c r="B149" i="68"/>
  <c r="B148" i="66"/>
  <c r="E148" i="66"/>
  <c r="F148" i="66"/>
  <c r="E149" i="66"/>
  <c r="F149" i="66"/>
  <c r="C241" i="69"/>
  <c r="B231" i="69"/>
  <c r="C233" i="68"/>
  <c r="D233" i="68"/>
  <c r="D642" i="96"/>
  <c r="E642" i="96"/>
  <c r="F642" i="96"/>
  <c r="G642" i="96"/>
  <c r="B61" i="91"/>
  <c r="B147" i="87" s="1"/>
  <c r="C61" i="91"/>
  <c r="C147" i="87" s="1"/>
  <c r="D61" i="91"/>
  <c r="D147" i="87" s="1"/>
  <c r="K147" i="87"/>
  <c r="L147" i="87"/>
  <c r="M147" i="87"/>
  <c r="N147" i="87"/>
  <c r="O147" i="87"/>
  <c r="Q147" i="87"/>
  <c r="R147" i="87"/>
  <c r="S147" i="87"/>
  <c r="T147" i="87"/>
  <c r="U147" i="87"/>
  <c r="B62" i="91"/>
  <c r="B148" i="87" s="1"/>
  <c r="C62" i="91"/>
  <c r="C148" i="87" s="1"/>
  <c r="D62" i="91"/>
  <c r="D148" i="87" s="1"/>
  <c r="K148" i="87"/>
  <c r="L148" i="87"/>
  <c r="B63" i="91"/>
  <c r="B149" i="87" s="1"/>
  <c r="C63" i="91"/>
  <c r="C149" i="87" s="1"/>
  <c r="D63" i="91"/>
  <c r="D149" i="87" s="1"/>
  <c r="K149" i="87"/>
  <c r="L149" i="87"/>
  <c r="M149" i="87"/>
  <c r="N149" i="87"/>
  <c r="O149" i="87"/>
  <c r="Q149" i="87"/>
  <c r="R149" i="87"/>
  <c r="S149" i="87"/>
  <c r="T149" i="87"/>
  <c r="U149" i="87"/>
  <c r="B64" i="91"/>
  <c r="B150" i="87" s="1"/>
  <c r="C64" i="91"/>
  <c r="C150" i="87" s="1"/>
  <c r="D64" i="91"/>
  <c r="D150" i="87" s="1"/>
  <c r="K150" i="87"/>
  <c r="L150" i="87"/>
  <c r="M150" i="87"/>
  <c r="N150" i="87"/>
  <c r="O150" i="87"/>
  <c r="B65" i="91"/>
  <c r="B151" i="87" s="1"/>
  <c r="C65" i="91"/>
  <c r="C151" i="87" s="1"/>
  <c r="D65" i="91"/>
  <c r="D151" i="87" s="1"/>
  <c r="K151" i="87"/>
  <c r="L151" i="87"/>
  <c r="B66" i="91"/>
  <c r="C66" i="91"/>
  <c r="C152" i="87" s="1"/>
  <c r="D66" i="91"/>
  <c r="K152" i="87"/>
  <c r="L152" i="87"/>
  <c r="B67" i="91"/>
  <c r="B153" i="87" s="1"/>
  <c r="C67" i="91"/>
  <c r="C153" i="87" s="1"/>
  <c r="D67" i="91"/>
  <c r="D153" i="87" s="1"/>
  <c r="K153" i="87"/>
  <c r="L153" i="87"/>
  <c r="B68" i="91"/>
  <c r="B154" i="87" s="1"/>
  <c r="C68" i="91"/>
  <c r="C154" i="87" s="1"/>
  <c r="D68" i="91"/>
  <c r="D154" i="87" s="1"/>
  <c r="K154" i="87"/>
  <c r="L154" i="87"/>
  <c r="B69" i="91"/>
  <c r="B155" i="87" s="1"/>
  <c r="C69" i="91"/>
  <c r="C155" i="87" s="1"/>
  <c r="D69" i="91"/>
  <c r="D155" i="87" s="1"/>
  <c r="K155" i="87"/>
  <c r="B70" i="91"/>
  <c r="B156" i="87" s="1"/>
  <c r="C70" i="91"/>
  <c r="C156" i="87" s="1"/>
  <c r="D70" i="91"/>
  <c r="D156" i="87" s="1"/>
  <c r="K156" i="87"/>
  <c r="L156" i="87"/>
  <c r="M156" i="87"/>
  <c r="N156" i="87"/>
  <c r="B71" i="91"/>
  <c r="B263" i="91" s="1"/>
  <c r="B620" i="96" s="1"/>
  <c r="C71" i="91"/>
  <c r="C157" i="87" s="1"/>
  <c r="D71" i="91"/>
  <c r="D157" i="87" s="1"/>
  <c r="K157" i="87"/>
  <c r="L157" i="87"/>
  <c r="M157" i="87"/>
  <c r="N157" i="87"/>
  <c r="O157" i="87"/>
  <c r="B257" i="91"/>
  <c r="C258" i="91"/>
  <c r="B259" i="91"/>
  <c r="B260" i="91"/>
  <c r="B231" i="66" l="1"/>
  <c r="P61" i="66"/>
  <c r="B146" i="68"/>
  <c r="D156" i="68"/>
  <c r="B233" i="66"/>
  <c r="P63" i="66"/>
  <c r="B241" i="66"/>
  <c r="P71" i="66"/>
  <c r="B234" i="69"/>
  <c r="D148" i="69"/>
  <c r="B149" i="66"/>
  <c r="P64" i="66"/>
  <c r="C146" i="68"/>
  <c r="D234" i="68"/>
  <c r="D156" i="66"/>
  <c r="D148" i="66"/>
  <c r="C259" i="91"/>
  <c r="P63" i="91"/>
  <c r="H642" i="96"/>
  <c r="M155" i="87"/>
  <c r="M148" i="87"/>
  <c r="L155" i="87"/>
  <c r="G285" i="96"/>
  <c r="N151" i="87"/>
  <c r="N154" i="87"/>
  <c r="N153" i="87"/>
  <c r="F285" i="96"/>
  <c r="N152" i="87"/>
  <c r="M151" i="87"/>
  <c r="P149" i="87"/>
  <c r="N155" i="87"/>
  <c r="M154" i="87"/>
  <c r="M153" i="87"/>
  <c r="E285" i="96"/>
  <c r="M152" i="87"/>
  <c r="N148" i="87"/>
  <c r="P147" i="87"/>
  <c r="C254" i="91"/>
  <c r="C233" i="69"/>
  <c r="B241" i="68"/>
  <c r="B261" i="91"/>
  <c r="B254" i="91"/>
  <c r="B233" i="69"/>
  <c r="D241" i="69"/>
  <c r="B146" i="66"/>
  <c r="C257" i="91"/>
  <c r="P64" i="91"/>
  <c r="D231" i="68"/>
  <c r="P65" i="91"/>
  <c r="P62" i="91"/>
  <c r="P61" i="91"/>
  <c r="D259" i="91"/>
  <c r="D257" i="91"/>
  <c r="C233" i="66"/>
  <c r="D234" i="66"/>
  <c r="C234" i="66"/>
  <c r="B234" i="66"/>
  <c r="D231" i="66"/>
  <c r="B157" i="91"/>
  <c r="B255" i="91"/>
  <c r="D256" i="91"/>
  <c r="D159" i="91"/>
  <c r="C256" i="91"/>
  <c r="B253" i="91"/>
  <c r="C159" i="91"/>
  <c r="C160" i="91"/>
  <c r="F620" i="96"/>
  <c r="F631" i="96" s="1"/>
  <c r="D260" i="91"/>
  <c r="D261" i="91"/>
  <c r="C260" i="91"/>
  <c r="P71" i="91"/>
  <c r="B167" i="91"/>
  <c r="B157" i="87"/>
  <c r="D255" i="91"/>
  <c r="B256" i="91"/>
  <c r="D253" i="91"/>
  <c r="D263" i="91"/>
  <c r="C262" i="91"/>
  <c r="B159" i="91"/>
  <c r="D157" i="91"/>
  <c r="C167" i="91"/>
  <c r="C234" i="68"/>
  <c r="C231" i="66"/>
  <c r="C261" i="91"/>
  <c r="D254" i="91"/>
  <c r="G620" i="96"/>
  <c r="G631" i="96" s="1"/>
  <c r="P70" i="91"/>
  <c r="P69" i="91"/>
  <c r="P68" i="91"/>
  <c r="P67" i="91"/>
  <c r="B258" i="91"/>
  <c r="B152" i="87"/>
  <c r="N159" i="91"/>
  <c r="F233" i="68"/>
  <c r="C255" i="91"/>
  <c r="C253" i="91"/>
  <c r="C263" i="91"/>
  <c r="B262" i="91"/>
  <c r="D160" i="91"/>
  <c r="C157" i="91"/>
  <c r="E620" i="96"/>
  <c r="E631" i="96" s="1"/>
  <c r="P66" i="91"/>
  <c r="D152" i="87"/>
  <c r="O157" i="91"/>
  <c r="D262" i="91"/>
  <c r="B160" i="91"/>
  <c r="D167" i="91"/>
  <c r="B642" i="96"/>
  <c r="B631" i="96"/>
  <c r="B156" i="69"/>
  <c r="D258" i="91"/>
  <c r="E96" i="91"/>
  <c r="D228" i="96"/>
  <c r="E126" i="96"/>
  <c r="D227" i="96"/>
  <c r="J159" i="91"/>
  <c r="F144" i="96"/>
  <c r="D126" i="96"/>
  <c r="D155" i="96" s="1"/>
  <c r="E144" i="96"/>
  <c r="F228" i="96"/>
  <c r="F227" i="96"/>
  <c r="D144" i="96"/>
  <c r="D159" i="96" s="1"/>
  <c r="F167" i="91"/>
  <c r="F156" i="69" s="1"/>
  <c r="D620" i="96"/>
  <c r="E228" i="96"/>
  <c r="F126" i="96"/>
  <c r="E227" i="96"/>
  <c r="I167" i="91"/>
  <c r="H167" i="91"/>
  <c r="I160" i="91"/>
  <c r="E234" i="68"/>
  <c r="E234" i="66"/>
  <c r="L159" i="91"/>
  <c r="H159" i="91"/>
  <c r="Q150" i="87"/>
  <c r="F96" i="91"/>
  <c r="K157" i="91"/>
  <c r="G157" i="91"/>
  <c r="N157" i="91"/>
  <c r="J157" i="91"/>
  <c r="F231" i="68"/>
  <c r="F231" i="66"/>
  <c r="E241" i="66"/>
  <c r="F234" i="66"/>
  <c r="M159" i="91"/>
  <c r="I159" i="91"/>
  <c r="E233" i="68"/>
  <c r="E233" i="66"/>
  <c r="E231" i="66"/>
  <c r="E231" i="68"/>
  <c r="E288" i="91"/>
  <c r="H160" i="91"/>
  <c r="M157" i="91"/>
  <c r="I157" i="91"/>
  <c r="F241" i="66"/>
  <c r="O159" i="91"/>
  <c r="K159" i="91"/>
  <c r="G159" i="91"/>
  <c r="G160" i="91"/>
  <c r="L157" i="91"/>
  <c r="H157" i="91"/>
  <c r="G167" i="91"/>
  <c r="F233" i="66"/>
  <c r="F288" i="91"/>
  <c r="F156" i="66" l="1"/>
  <c r="P150" i="87"/>
  <c r="P157" i="87"/>
  <c r="I620" i="96"/>
  <c r="H620" i="96"/>
  <c r="H631" i="96" s="1"/>
  <c r="J160" i="91"/>
  <c r="J167" i="91"/>
  <c r="F241" i="68"/>
  <c r="E241" i="68"/>
  <c r="K160" i="91"/>
  <c r="R150" i="87"/>
  <c r="I642" i="96" l="1"/>
  <c r="Q157" i="87"/>
  <c r="I631" i="96"/>
  <c r="J620" i="96"/>
  <c r="K167" i="91"/>
  <c r="S150" i="87"/>
  <c r="L160" i="91"/>
  <c r="J642" i="96" l="1"/>
  <c r="R157" i="87"/>
  <c r="J631" i="96"/>
  <c r="K620" i="96"/>
  <c r="L167" i="91"/>
  <c r="M160" i="91"/>
  <c r="T150" i="87"/>
  <c r="L620" i="96"/>
  <c r="K642" i="96" l="1"/>
  <c r="S157" i="87"/>
  <c r="K631" i="96"/>
  <c r="M167" i="91"/>
  <c r="N160" i="91"/>
  <c r="T157" i="87"/>
  <c r="U150" i="87" l="1"/>
  <c r="L642" i="96"/>
  <c r="L631" i="96" s="1"/>
  <c r="N167" i="91"/>
  <c r="M620" i="96"/>
  <c r="O160" i="91"/>
  <c r="A179" i="68" l="1"/>
  <c r="A9" i="68" s="1"/>
  <c r="A180" i="68"/>
  <c r="A10" i="68" s="1"/>
  <c r="A181" i="68"/>
  <c r="A11" i="68" s="1"/>
  <c r="A182" i="68"/>
  <c r="A12" i="68" s="1"/>
  <c r="A183" i="68"/>
  <c r="A13" i="68" s="1"/>
  <c r="A184" i="68"/>
  <c r="A14" i="68" s="1"/>
  <c r="A185" i="68"/>
  <c r="A15" i="68" s="1"/>
  <c r="A186" i="68"/>
  <c r="A16" i="68" s="1"/>
  <c r="A187" i="68"/>
  <c r="A17" i="68" s="1"/>
  <c r="A188" i="68"/>
  <c r="A18" i="68" s="1"/>
  <c r="A189" i="68"/>
  <c r="A19" i="68" s="1"/>
  <c r="A190" i="68"/>
  <c r="A20" i="68" s="1"/>
  <c r="A191" i="68"/>
  <c r="A21" i="68" s="1"/>
  <c r="A192" i="68"/>
  <c r="A22" i="68" s="1"/>
  <c r="A193" i="68"/>
  <c r="A23" i="68" s="1"/>
  <c r="A194" i="68"/>
  <c r="A24" i="68" s="1"/>
  <c r="A195" i="68"/>
  <c r="A25" i="68" s="1"/>
  <c r="A196" i="68"/>
  <c r="A26" i="68" s="1"/>
  <c r="A197" i="68"/>
  <c r="A27" i="68" s="1"/>
  <c r="A198" i="68"/>
  <c r="A28" i="68" s="1"/>
  <c r="A199" i="68"/>
  <c r="A29" i="68" s="1"/>
  <c r="A200" i="68"/>
  <c r="A30" i="68" s="1"/>
  <c r="A201" i="68"/>
  <c r="A31" i="68" s="1"/>
  <c r="A202" i="68"/>
  <c r="A32" i="68" s="1"/>
  <c r="A203" i="68"/>
  <c r="A33" i="68" s="1"/>
  <c r="A204" i="68"/>
  <c r="A34" i="68" s="1"/>
  <c r="A205" i="68"/>
  <c r="A35" i="68" s="1"/>
  <c r="A206" i="68"/>
  <c r="A36" i="68" s="1"/>
  <c r="A207" i="68"/>
  <c r="A37" i="68" s="1"/>
  <c r="A208" i="68"/>
  <c r="A38" i="68" s="1"/>
  <c r="A209" i="68"/>
  <c r="A39" i="68" s="1"/>
  <c r="A210" i="68"/>
  <c r="A40" i="68" s="1"/>
  <c r="A211" i="68"/>
  <c r="A41" i="68" s="1"/>
  <c r="A212" i="68"/>
  <c r="A42" i="68" s="1"/>
  <c r="A213" i="68"/>
  <c r="A43" i="68" s="1"/>
  <c r="A214" i="68"/>
  <c r="A44" i="68" s="1"/>
  <c r="A215" i="68"/>
  <c r="A45" i="68" s="1"/>
  <c r="A216" i="68"/>
  <c r="A46" i="68" s="1"/>
  <c r="A217" i="68"/>
  <c r="A47" i="68" s="1"/>
  <c r="A218" i="68"/>
  <c r="A48" i="68" s="1"/>
  <c r="A219" i="68"/>
  <c r="A49" i="68" s="1"/>
  <c r="A220" i="68"/>
  <c r="A50" i="68" s="1"/>
  <c r="A221" i="68"/>
  <c r="A51" i="68" s="1"/>
  <c r="A222" i="68"/>
  <c r="A52" i="68" s="1"/>
  <c r="A223" i="68"/>
  <c r="A53" i="68" s="1"/>
  <c r="A224" i="68"/>
  <c r="A54" i="68" s="1"/>
  <c r="A225" i="68"/>
  <c r="A55" i="68" s="1"/>
  <c r="A226" i="68"/>
  <c r="A56" i="68" s="1"/>
  <c r="A227" i="68"/>
  <c r="A57" i="68" s="1"/>
  <c r="A228" i="68"/>
  <c r="A58" i="68" s="1"/>
  <c r="A229" i="68"/>
  <c r="A59" i="68" s="1"/>
  <c r="A230" i="68"/>
  <c r="A60" i="68" s="1"/>
  <c r="A232" i="68"/>
  <c r="A62" i="68" s="1"/>
  <c r="A235" i="68"/>
  <c r="A65" i="68" s="1"/>
  <c r="A236" i="68"/>
  <c r="A66" i="68" s="1"/>
  <c r="A237" i="68"/>
  <c r="A67" i="68" s="1"/>
  <c r="A238" i="68"/>
  <c r="A68" i="68" s="1"/>
  <c r="A239" i="68"/>
  <c r="A69" i="68" s="1"/>
  <c r="A240" i="68"/>
  <c r="A70" i="68" s="1"/>
  <c r="A242" i="68"/>
  <c r="A72" i="68" s="1"/>
  <c r="A243" i="68"/>
  <c r="A73" i="68" s="1"/>
  <c r="A244" i="68"/>
  <c r="A74" i="68" s="1"/>
  <c r="A245" i="68"/>
  <c r="A75" i="68" s="1"/>
  <c r="A246" i="68"/>
  <c r="A76" i="68" s="1"/>
  <c r="A247" i="68"/>
  <c r="A77" i="68" s="1"/>
  <c r="F97" i="91" l="1"/>
  <c r="E97" i="91"/>
  <c r="B194" i="91" l="1"/>
  <c r="C194" i="91"/>
  <c r="D194" i="91"/>
  <c r="E194" i="91"/>
  <c r="F194" i="91"/>
  <c r="G194" i="91"/>
  <c r="H194" i="91"/>
  <c r="I194" i="91"/>
  <c r="B195" i="91"/>
  <c r="C195" i="91"/>
  <c r="D195" i="91"/>
  <c r="E195" i="91"/>
  <c r="F195" i="91"/>
  <c r="G195" i="91"/>
  <c r="H195" i="91"/>
  <c r="I195" i="91"/>
  <c r="P98" i="91"/>
  <c r="P99" i="91"/>
  <c r="J195" i="91"/>
  <c r="J194" i="91"/>
  <c r="E160" i="69"/>
  <c r="F160" i="69"/>
  <c r="E161" i="69"/>
  <c r="F161" i="69"/>
  <c r="E162" i="69"/>
  <c r="F162" i="69"/>
  <c r="E163" i="69"/>
  <c r="F163" i="69"/>
  <c r="E164" i="69"/>
  <c r="F164" i="69"/>
  <c r="E165" i="69"/>
  <c r="F165" i="69"/>
  <c r="E166" i="69"/>
  <c r="F166" i="69"/>
  <c r="E167" i="69"/>
  <c r="F167" i="69"/>
  <c r="E168" i="69"/>
  <c r="F168" i="69"/>
  <c r="E169" i="69"/>
  <c r="F169" i="69"/>
  <c r="E170" i="69"/>
  <c r="F170" i="69"/>
  <c r="E171" i="69"/>
  <c r="F171" i="69"/>
  <c r="E172" i="69"/>
  <c r="F172" i="69"/>
  <c r="E173" i="69"/>
  <c r="F173" i="69"/>
  <c r="E160" i="66"/>
  <c r="F160" i="66"/>
  <c r="E161" i="66"/>
  <c r="F161" i="66"/>
  <c r="E162" i="66"/>
  <c r="F162" i="66"/>
  <c r="E163" i="66"/>
  <c r="F163" i="66"/>
  <c r="E164" i="66"/>
  <c r="F164" i="66"/>
  <c r="E165" i="66"/>
  <c r="F165" i="66"/>
  <c r="E166" i="66"/>
  <c r="F166" i="66"/>
  <c r="E167" i="66"/>
  <c r="F167" i="66"/>
  <c r="E168" i="66"/>
  <c r="F168" i="66"/>
  <c r="E169" i="66"/>
  <c r="F169" i="66"/>
  <c r="E170" i="66"/>
  <c r="F170" i="66"/>
  <c r="E171" i="66"/>
  <c r="F171" i="66"/>
  <c r="E172" i="66"/>
  <c r="F172" i="66"/>
  <c r="E173" i="66"/>
  <c r="F173" i="66"/>
  <c r="B75" i="69"/>
  <c r="B245" i="69" s="1"/>
  <c r="C75" i="69"/>
  <c r="C245" i="69" s="1"/>
  <c r="D75" i="69"/>
  <c r="D245" i="69" s="1"/>
  <c r="E245" i="69"/>
  <c r="F245" i="69"/>
  <c r="B76" i="69"/>
  <c r="B246" i="69" s="1"/>
  <c r="C76" i="69"/>
  <c r="C246" i="69" s="1"/>
  <c r="D76" i="69"/>
  <c r="D246" i="69" s="1"/>
  <c r="E246" i="69"/>
  <c r="F246" i="69"/>
  <c r="B77" i="69"/>
  <c r="B247" i="69" s="1"/>
  <c r="C77" i="69"/>
  <c r="C247" i="69" s="1"/>
  <c r="D77" i="69"/>
  <c r="D247" i="69" s="1"/>
  <c r="E247" i="69"/>
  <c r="F247" i="69"/>
  <c r="B78" i="69"/>
  <c r="B248" i="69" s="1"/>
  <c r="C78" i="69"/>
  <c r="C248" i="69" s="1"/>
  <c r="D78" i="69"/>
  <c r="D248" i="69" s="1"/>
  <c r="E248" i="69"/>
  <c r="F248" i="69"/>
  <c r="B79" i="69"/>
  <c r="B249" i="69" s="1"/>
  <c r="C79" i="69"/>
  <c r="C249" i="69" s="1"/>
  <c r="D79" i="69"/>
  <c r="D249" i="69" s="1"/>
  <c r="E249" i="69"/>
  <c r="F249" i="69"/>
  <c r="B80" i="69"/>
  <c r="B250" i="69" s="1"/>
  <c r="C80" i="69"/>
  <c r="C250" i="69" s="1"/>
  <c r="D80" i="69"/>
  <c r="D250" i="69" s="1"/>
  <c r="E250" i="69"/>
  <c r="F250" i="69"/>
  <c r="B81" i="69"/>
  <c r="B251" i="69" s="1"/>
  <c r="C81" i="69"/>
  <c r="C251" i="69" s="1"/>
  <c r="D81" i="69"/>
  <c r="D251" i="69" s="1"/>
  <c r="E251" i="69"/>
  <c r="F251" i="69"/>
  <c r="B82" i="69"/>
  <c r="B252" i="69" s="1"/>
  <c r="C82" i="69"/>
  <c r="C252" i="69" s="1"/>
  <c r="D82" i="69"/>
  <c r="D252" i="69" s="1"/>
  <c r="E252" i="69"/>
  <c r="F252" i="69"/>
  <c r="B83" i="69"/>
  <c r="B253" i="69" s="1"/>
  <c r="C83" i="69"/>
  <c r="C253" i="69" s="1"/>
  <c r="D83" i="69"/>
  <c r="D253" i="69" s="1"/>
  <c r="E253" i="69"/>
  <c r="F253" i="69"/>
  <c r="B84" i="69"/>
  <c r="B254" i="69" s="1"/>
  <c r="C84" i="69"/>
  <c r="C254" i="69" s="1"/>
  <c r="D84" i="69"/>
  <c r="D254" i="69" s="1"/>
  <c r="E254" i="69"/>
  <c r="F254" i="69"/>
  <c r="B85" i="69"/>
  <c r="B255" i="69" s="1"/>
  <c r="C85" i="69"/>
  <c r="C255" i="69" s="1"/>
  <c r="D85" i="69"/>
  <c r="D255" i="69" s="1"/>
  <c r="E255" i="69"/>
  <c r="F255" i="69"/>
  <c r="B86" i="69"/>
  <c r="B256" i="69" s="1"/>
  <c r="C86" i="69"/>
  <c r="C256" i="69" s="1"/>
  <c r="D86" i="69"/>
  <c r="D256" i="69" s="1"/>
  <c r="E256" i="69"/>
  <c r="F256" i="69"/>
  <c r="B87" i="69"/>
  <c r="B257" i="69" s="1"/>
  <c r="C87" i="69"/>
  <c r="C257" i="69" s="1"/>
  <c r="D87" i="69"/>
  <c r="D257" i="69" s="1"/>
  <c r="E257" i="69"/>
  <c r="F257" i="69"/>
  <c r="B75" i="68"/>
  <c r="B245" i="68" s="1"/>
  <c r="C75" i="68"/>
  <c r="C245" i="68" s="1"/>
  <c r="D75" i="68"/>
  <c r="D245" i="68" s="1"/>
  <c r="B76" i="68"/>
  <c r="B246" i="68" s="1"/>
  <c r="C76" i="68"/>
  <c r="C246" i="68" s="1"/>
  <c r="D76" i="68"/>
  <c r="D246" i="68" s="1"/>
  <c r="B77" i="68"/>
  <c r="B247" i="68" s="1"/>
  <c r="C77" i="68"/>
  <c r="C247" i="68" s="1"/>
  <c r="D77" i="68"/>
  <c r="D247" i="68" s="1"/>
  <c r="B78" i="68"/>
  <c r="B248" i="68" s="1"/>
  <c r="C78" i="68"/>
  <c r="C248" i="68" s="1"/>
  <c r="D78" i="68"/>
  <c r="D248" i="68" s="1"/>
  <c r="B79" i="68"/>
  <c r="B249" i="68" s="1"/>
  <c r="C79" i="68"/>
  <c r="C249" i="68" s="1"/>
  <c r="D79" i="68"/>
  <c r="D249" i="68" s="1"/>
  <c r="B80" i="68"/>
  <c r="B250" i="68" s="1"/>
  <c r="C80" i="68"/>
  <c r="C250" i="68" s="1"/>
  <c r="D80" i="68"/>
  <c r="D250" i="68" s="1"/>
  <c r="B81" i="68"/>
  <c r="B251" i="68" s="1"/>
  <c r="C81" i="68"/>
  <c r="C251" i="68" s="1"/>
  <c r="D81" i="68"/>
  <c r="D251" i="68" s="1"/>
  <c r="B82" i="68"/>
  <c r="B252" i="68" s="1"/>
  <c r="C82" i="68"/>
  <c r="C252" i="68" s="1"/>
  <c r="D82" i="68"/>
  <c r="D252" i="68" s="1"/>
  <c r="B83" i="68"/>
  <c r="B253" i="68" s="1"/>
  <c r="C83" i="68"/>
  <c r="C253" i="68" s="1"/>
  <c r="D83" i="68"/>
  <c r="D253" i="68" s="1"/>
  <c r="B84" i="68"/>
  <c r="B254" i="68" s="1"/>
  <c r="C84" i="68"/>
  <c r="C254" i="68" s="1"/>
  <c r="D84" i="68"/>
  <c r="D254" i="68" s="1"/>
  <c r="B85" i="68"/>
  <c r="B255" i="68" s="1"/>
  <c r="C85" i="68"/>
  <c r="C255" i="68" s="1"/>
  <c r="D85" i="68"/>
  <c r="D255" i="68" s="1"/>
  <c r="B86" i="68"/>
  <c r="B256" i="68" s="1"/>
  <c r="C86" i="68"/>
  <c r="C256" i="68" s="1"/>
  <c r="D86" i="68"/>
  <c r="D256" i="68" s="1"/>
  <c r="B87" i="68"/>
  <c r="B257" i="68" s="1"/>
  <c r="C87" i="68"/>
  <c r="C257" i="68" s="1"/>
  <c r="D87" i="68"/>
  <c r="D257" i="68" s="1"/>
  <c r="B75" i="66"/>
  <c r="C75" i="66"/>
  <c r="C245" i="66" s="1"/>
  <c r="D75" i="66"/>
  <c r="D245" i="66" s="1"/>
  <c r="E245" i="66"/>
  <c r="F245" i="66"/>
  <c r="B76" i="66"/>
  <c r="C76" i="66"/>
  <c r="C246" i="66" s="1"/>
  <c r="D76" i="66"/>
  <c r="D246" i="66" s="1"/>
  <c r="E246" i="66"/>
  <c r="F246" i="66"/>
  <c r="B77" i="66"/>
  <c r="C77" i="66"/>
  <c r="C247" i="66" s="1"/>
  <c r="D77" i="66"/>
  <c r="D247" i="66" s="1"/>
  <c r="E247" i="66"/>
  <c r="F247" i="66"/>
  <c r="B78" i="66"/>
  <c r="C78" i="66"/>
  <c r="C248" i="66" s="1"/>
  <c r="D78" i="66"/>
  <c r="D248" i="66" s="1"/>
  <c r="E248" i="66"/>
  <c r="F248" i="66"/>
  <c r="B79" i="66"/>
  <c r="C79" i="66"/>
  <c r="C249" i="66" s="1"/>
  <c r="D79" i="66"/>
  <c r="D249" i="66" s="1"/>
  <c r="E249" i="66"/>
  <c r="F249" i="66"/>
  <c r="B80" i="66"/>
  <c r="C80" i="66"/>
  <c r="C250" i="66" s="1"/>
  <c r="D80" i="66"/>
  <c r="D250" i="66" s="1"/>
  <c r="E250" i="66"/>
  <c r="F250" i="66"/>
  <c r="B81" i="66"/>
  <c r="C81" i="66"/>
  <c r="C251" i="66" s="1"/>
  <c r="D81" i="66"/>
  <c r="D251" i="66" s="1"/>
  <c r="E251" i="66"/>
  <c r="F251" i="66"/>
  <c r="B82" i="66"/>
  <c r="C82" i="66"/>
  <c r="C252" i="66" s="1"/>
  <c r="D82" i="66"/>
  <c r="D252" i="66" s="1"/>
  <c r="E252" i="66"/>
  <c r="F252" i="66"/>
  <c r="B83" i="66"/>
  <c r="C83" i="66"/>
  <c r="C253" i="66" s="1"/>
  <c r="D83" i="66"/>
  <c r="D253" i="66" s="1"/>
  <c r="E253" i="66"/>
  <c r="F253" i="66"/>
  <c r="B84" i="66"/>
  <c r="C84" i="66"/>
  <c r="C254" i="66" s="1"/>
  <c r="D84" i="66"/>
  <c r="D254" i="66" s="1"/>
  <c r="E254" i="66"/>
  <c r="F254" i="66"/>
  <c r="B85" i="66"/>
  <c r="C85" i="66"/>
  <c r="C255" i="66" s="1"/>
  <c r="D85" i="66"/>
  <c r="D255" i="66" s="1"/>
  <c r="E255" i="66"/>
  <c r="F255" i="66"/>
  <c r="B86" i="66"/>
  <c r="C86" i="66"/>
  <c r="C256" i="66" s="1"/>
  <c r="D86" i="66"/>
  <c r="D256" i="66" s="1"/>
  <c r="E256" i="66"/>
  <c r="F256" i="66"/>
  <c r="B87" i="66"/>
  <c r="C87" i="66"/>
  <c r="C257" i="66" s="1"/>
  <c r="D87" i="66"/>
  <c r="D257" i="66" s="1"/>
  <c r="E257" i="66"/>
  <c r="F257" i="66"/>
  <c r="B161" i="69"/>
  <c r="D161" i="69"/>
  <c r="D164" i="69"/>
  <c r="B165" i="69"/>
  <c r="B166" i="69"/>
  <c r="C166" i="69"/>
  <c r="C169" i="69"/>
  <c r="B170" i="69"/>
  <c r="C172" i="69"/>
  <c r="D172" i="69"/>
  <c r="B161" i="68"/>
  <c r="D163" i="68"/>
  <c r="C164" i="68"/>
  <c r="C165" i="68"/>
  <c r="C167" i="68"/>
  <c r="D167" i="68"/>
  <c r="B169" i="68"/>
  <c r="C169" i="68"/>
  <c r="D171" i="68"/>
  <c r="C172" i="68"/>
  <c r="C163" i="66"/>
  <c r="C167" i="66"/>
  <c r="G171" i="91"/>
  <c r="H171" i="91"/>
  <c r="I171" i="91"/>
  <c r="J171" i="91"/>
  <c r="G172" i="91"/>
  <c r="H172" i="91"/>
  <c r="I172" i="91"/>
  <c r="J172" i="91"/>
  <c r="G173" i="91"/>
  <c r="H173" i="91"/>
  <c r="I173" i="91"/>
  <c r="J173" i="91"/>
  <c r="G174" i="91"/>
  <c r="H174" i="91"/>
  <c r="I174" i="91"/>
  <c r="J174" i="91"/>
  <c r="G175" i="91"/>
  <c r="H175" i="91"/>
  <c r="I175" i="91"/>
  <c r="J175" i="91"/>
  <c r="G176" i="91"/>
  <c r="H176" i="91"/>
  <c r="I176" i="91"/>
  <c r="J176" i="91"/>
  <c r="G177" i="91"/>
  <c r="H177" i="91"/>
  <c r="I177" i="91"/>
  <c r="J177" i="91"/>
  <c r="G178" i="91"/>
  <c r="H178" i="91"/>
  <c r="I178" i="91"/>
  <c r="J178" i="91"/>
  <c r="G179" i="91"/>
  <c r="H179" i="91"/>
  <c r="I179" i="91"/>
  <c r="J179" i="91"/>
  <c r="G180" i="91"/>
  <c r="H180" i="91"/>
  <c r="I180" i="91"/>
  <c r="J180" i="91"/>
  <c r="G181" i="91"/>
  <c r="H181" i="91"/>
  <c r="I181" i="91"/>
  <c r="J181" i="91"/>
  <c r="G182" i="91"/>
  <c r="H182" i="91"/>
  <c r="I182" i="91"/>
  <c r="J182" i="91"/>
  <c r="G183" i="91"/>
  <c r="H183" i="91"/>
  <c r="I183" i="91"/>
  <c r="J183" i="91"/>
  <c r="H694" i="96"/>
  <c r="I694" i="96"/>
  <c r="H695" i="96"/>
  <c r="I695" i="96"/>
  <c r="J695" i="96"/>
  <c r="K695" i="96"/>
  <c r="K737" i="96"/>
  <c r="K738" i="96"/>
  <c r="Q165" i="87"/>
  <c r="R165" i="87"/>
  <c r="Q166" i="87"/>
  <c r="R166" i="87"/>
  <c r="Q167" i="87"/>
  <c r="R167" i="87"/>
  <c r="S167" i="87"/>
  <c r="T167" i="87"/>
  <c r="U167" i="87"/>
  <c r="Q168" i="87"/>
  <c r="R168" i="87"/>
  <c r="S168" i="87"/>
  <c r="T168" i="87"/>
  <c r="U168" i="87"/>
  <c r="Q169" i="87"/>
  <c r="R169" i="87"/>
  <c r="S169" i="87"/>
  <c r="T169" i="87"/>
  <c r="U169" i="87"/>
  <c r="Q170" i="87"/>
  <c r="R170" i="87"/>
  <c r="S170" i="87"/>
  <c r="T170" i="87"/>
  <c r="U170" i="87"/>
  <c r="Q171" i="87"/>
  <c r="R171" i="87"/>
  <c r="S171" i="87"/>
  <c r="T171" i="87"/>
  <c r="U171" i="87"/>
  <c r="Q172" i="87"/>
  <c r="R172" i="87"/>
  <c r="S172" i="87"/>
  <c r="T172" i="87"/>
  <c r="U172" i="87"/>
  <c r="Q173" i="87"/>
  <c r="R173" i="87"/>
  <c r="S173" i="87"/>
  <c r="T173" i="87"/>
  <c r="U173" i="87"/>
  <c r="B75" i="91"/>
  <c r="B161" i="87" s="1"/>
  <c r="C75" i="91"/>
  <c r="C161" i="87" s="1"/>
  <c r="D75" i="91"/>
  <c r="D161" i="87" s="1"/>
  <c r="B76" i="91"/>
  <c r="C76" i="91"/>
  <c r="D76" i="91"/>
  <c r="B77" i="91"/>
  <c r="C77" i="91"/>
  <c r="D77" i="91"/>
  <c r="B78" i="91"/>
  <c r="C78" i="91"/>
  <c r="D78" i="91"/>
  <c r="B79" i="91"/>
  <c r="C79" i="91"/>
  <c r="D79" i="91"/>
  <c r="B80" i="91"/>
  <c r="C80" i="91"/>
  <c r="D80" i="91"/>
  <c r="B81" i="91"/>
  <c r="C81" i="91"/>
  <c r="D81" i="91"/>
  <c r="B82" i="91"/>
  <c r="C82" i="91"/>
  <c r="D82" i="91"/>
  <c r="B83" i="91"/>
  <c r="C83" i="91"/>
  <c r="D83" i="91"/>
  <c r="B84" i="91"/>
  <c r="C84" i="91"/>
  <c r="D84" i="91"/>
  <c r="B85" i="91"/>
  <c r="C85" i="91"/>
  <c r="D85" i="91"/>
  <c r="B86" i="91"/>
  <c r="C86" i="91"/>
  <c r="D86" i="91"/>
  <c r="B87" i="91"/>
  <c r="C87" i="91"/>
  <c r="D87" i="91"/>
  <c r="B252" i="66" l="1"/>
  <c r="P82" i="66"/>
  <c r="B170" i="68"/>
  <c r="D164" i="68"/>
  <c r="B171" i="69"/>
  <c r="D165" i="69"/>
  <c r="D160" i="69"/>
  <c r="B250" i="66"/>
  <c r="P80" i="66"/>
  <c r="B255" i="66"/>
  <c r="P85" i="66"/>
  <c r="B247" i="66"/>
  <c r="P77" i="66"/>
  <c r="C170" i="69"/>
  <c r="C165" i="69"/>
  <c r="B253" i="66"/>
  <c r="P83" i="66"/>
  <c r="B245" i="66"/>
  <c r="P75" i="66"/>
  <c r="D168" i="68"/>
  <c r="D169" i="69"/>
  <c r="B251" i="66"/>
  <c r="P81" i="66"/>
  <c r="B256" i="66"/>
  <c r="P86" i="66"/>
  <c r="B248" i="66"/>
  <c r="P78" i="66"/>
  <c r="C168" i="68"/>
  <c r="D160" i="68"/>
  <c r="B163" i="69"/>
  <c r="B254" i="66"/>
  <c r="P84" i="66"/>
  <c r="B246" i="66"/>
  <c r="P76" i="66"/>
  <c r="D172" i="68"/>
  <c r="C160" i="68"/>
  <c r="D168" i="69"/>
  <c r="B162" i="69"/>
  <c r="B257" i="66"/>
  <c r="P87" i="66"/>
  <c r="B249" i="66"/>
  <c r="P79" i="66"/>
  <c r="D162" i="66"/>
  <c r="B160" i="66"/>
  <c r="D163" i="66"/>
  <c r="C172" i="66"/>
  <c r="D167" i="66"/>
  <c r="L724" i="96"/>
  <c r="R164" i="87"/>
  <c r="M674" i="96"/>
  <c r="M673" i="96"/>
  <c r="K724" i="96"/>
  <c r="K731" i="96" s="1"/>
  <c r="S166" i="87"/>
  <c r="L292" i="96"/>
  <c r="L230" i="96"/>
  <c r="L723" i="96"/>
  <c r="M722" i="96"/>
  <c r="M219" i="96"/>
  <c r="Q164" i="87"/>
  <c r="L674" i="96"/>
  <c r="L673" i="96"/>
  <c r="K292" i="96"/>
  <c r="K723" i="96"/>
  <c r="K730" i="96" s="1"/>
  <c r="K230" i="96"/>
  <c r="S165" i="87"/>
  <c r="L128" i="96"/>
  <c r="L219" i="96"/>
  <c r="L722" i="96"/>
  <c r="K674" i="96"/>
  <c r="K673" i="96"/>
  <c r="D170" i="68"/>
  <c r="K219" i="96"/>
  <c r="K722" i="96"/>
  <c r="K128" i="96"/>
  <c r="J674" i="96"/>
  <c r="J673" i="96"/>
  <c r="M723" i="96"/>
  <c r="I673" i="96"/>
  <c r="H693" i="96"/>
  <c r="C164" i="66"/>
  <c r="B161" i="66"/>
  <c r="B167" i="69"/>
  <c r="B166" i="68"/>
  <c r="B165" i="68"/>
  <c r="B164" i="66"/>
  <c r="M695" i="96"/>
  <c r="L695" i="96"/>
  <c r="U163" i="87"/>
  <c r="T163" i="87"/>
  <c r="C161" i="69"/>
  <c r="B167" i="66"/>
  <c r="B169" i="66"/>
  <c r="D170" i="66"/>
  <c r="C168" i="66"/>
  <c r="B165" i="66"/>
  <c r="D161" i="66"/>
  <c r="C279" i="91"/>
  <c r="C173" i="87"/>
  <c r="B274" i="91"/>
  <c r="B168" i="87"/>
  <c r="B270" i="91"/>
  <c r="B164" i="87"/>
  <c r="J675" i="96"/>
  <c r="D279" i="91"/>
  <c r="D173" i="87"/>
  <c r="C278" i="91"/>
  <c r="C172" i="87"/>
  <c r="B277" i="91"/>
  <c r="B171" i="87"/>
  <c r="D275" i="91"/>
  <c r="D169" i="87"/>
  <c r="C274" i="91"/>
  <c r="C168" i="87"/>
  <c r="B273" i="91"/>
  <c r="B167" i="87"/>
  <c r="D271" i="91"/>
  <c r="D165" i="87"/>
  <c r="C270" i="91"/>
  <c r="C164" i="87"/>
  <c r="B269" i="91"/>
  <c r="B163" i="87"/>
  <c r="K675" i="96"/>
  <c r="B171" i="66"/>
  <c r="D165" i="66"/>
  <c r="C162" i="66"/>
  <c r="C171" i="68"/>
  <c r="B164" i="68"/>
  <c r="B169" i="69"/>
  <c r="D163" i="69"/>
  <c r="C275" i="91"/>
  <c r="C169" i="87"/>
  <c r="D268" i="91"/>
  <c r="D162" i="87"/>
  <c r="B278" i="91"/>
  <c r="B172" i="87"/>
  <c r="D272" i="91"/>
  <c r="D166" i="87"/>
  <c r="B279" i="91"/>
  <c r="B173" i="87"/>
  <c r="D277" i="91"/>
  <c r="D171" i="87"/>
  <c r="C276" i="91"/>
  <c r="C170" i="87"/>
  <c r="B275" i="91"/>
  <c r="B169" i="87"/>
  <c r="D273" i="91"/>
  <c r="D167" i="87"/>
  <c r="C272" i="91"/>
  <c r="C166" i="87"/>
  <c r="B271" i="91"/>
  <c r="B165" i="87"/>
  <c r="D269" i="91"/>
  <c r="D163" i="87"/>
  <c r="C268" i="91"/>
  <c r="C162" i="87"/>
  <c r="M675" i="96"/>
  <c r="M685" i="96" s="1"/>
  <c r="I675" i="96"/>
  <c r="I685" i="96" s="1"/>
  <c r="B172" i="66"/>
  <c r="C170" i="66"/>
  <c r="B168" i="66"/>
  <c r="D166" i="66"/>
  <c r="B163" i="66"/>
  <c r="B172" i="68"/>
  <c r="D166" i="68"/>
  <c r="C163" i="68"/>
  <c r="D171" i="69"/>
  <c r="C168" i="69"/>
  <c r="D276" i="91"/>
  <c r="D170" i="87"/>
  <c r="C271" i="91"/>
  <c r="C165" i="87"/>
  <c r="D278" i="91"/>
  <c r="D172" i="87"/>
  <c r="C277" i="91"/>
  <c r="C171" i="87"/>
  <c r="B276" i="91"/>
  <c r="B170" i="87"/>
  <c r="D274" i="91"/>
  <c r="D168" i="87"/>
  <c r="C273" i="91"/>
  <c r="C167" i="87"/>
  <c r="B272" i="91"/>
  <c r="B166" i="87"/>
  <c r="D270" i="91"/>
  <c r="D164" i="87"/>
  <c r="C269" i="91"/>
  <c r="C163" i="87"/>
  <c r="B268" i="91"/>
  <c r="B162" i="87"/>
  <c r="C171" i="66"/>
  <c r="D169" i="66"/>
  <c r="C166" i="66"/>
  <c r="B168" i="68"/>
  <c r="D162" i="68"/>
  <c r="B160" i="68"/>
  <c r="D167" i="69"/>
  <c r="C164" i="69"/>
  <c r="C160" i="69"/>
  <c r="C162" i="69"/>
  <c r="B162" i="68"/>
  <c r="C161" i="68"/>
  <c r="C160" i="66"/>
  <c r="L675" i="96"/>
  <c r="L685" i="96" s="1"/>
  <c r="I674" i="96"/>
  <c r="C267" i="91"/>
  <c r="B267" i="91"/>
  <c r="D267" i="91"/>
  <c r="B170" i="66"/>
  <c r="D168" i="66"/>
  <c r="B166" i="66"/>
  <c r="D164" i="66"/>
  <c r="B162" i="66"/>
  <c r="D160" i="66"/>
  <c r="B171" i="68"/>
  <c r="D169" i="68"/>
  <c r="B167" i="68"/>
  <c r="D165" i="68"/>
  <c r="B163" i="68"/>
  <c r="D161" i="68"/>
  <c r="B172" i="69"/>
  <c r="D170" i="69"/>
  <c r="B168" i="69"/>
  <c r="D166" i="69"/>
  <c r="B164" i="69"/>
  <c r="D162" i="69"/>
  <c r="B160" i="69"/>
  <c r="D172" i="66"/>
  <c r="C169" i="66"/>
  <c r="C165" i="66"/>
  <c r="C161" i="66"/>
  <c r="C170" i="68"/>
  <c r="C166" i="68"/>
  <c r="C162" i="68"/>
  <c r="C171" i="69"/>
  <c r="C167" i="69"/>
  <c r="C163" i="69"/>
  <c r="E255" i="68"/>
  <c r="F254" i="68"/>
  <c r="E251" i="68"/>
  <c r="F250" i="68"/>
  <c r="E247" i="68"/>
  <c r="F246" i="68"/>
  <c r="P86" i="91"/>
  <c r="P84" i="91"/>
  <c r="P82" i="91"/>
  <c r="P80" i="91"/>
  <c r="B724" i="96" s="1"/>
  <c r="P78" i="91"/>
  <c r="B722" i="96" s="1"/>
  <c r="P76" i="91"/>
  <c r="B674" i="96" s="1"/>
  <c r="F257" i="68"/>
  <c r="E254" i="68"/>
  <c r="F253" i="68"/>
  <c r="E250" i="68"/>
  <c r="F249" i="68"/>
  <c r="E246" i="68"/>
  <c r="F245" i="68"/>
  <c r="E257" i="68"/>
  <c r="F256" i="68"/>
  <c r="E253" i="68"/>
  <c r="F252" i="68"/>
  <c r="E249" i="68"/>
  <c r="F248" i="68"/>
  <c r="E245" i="68"/>
  <c r="P87" i="91"/>
  <c r="P85" i="91"/>
  <c r="P83" i="91"/>
  <c r="P81" i="91"/>
  <c r="P79" i="91"/>
  <c r="B723" i="96" s="1"/>
  <c r="P77" i="91"/>
  <c r="B675" i="96" s="1"/>
  <c r="P75" i="91"/>
  <c r="B673" i="96" s="1"/>
  <c r="E256" i="68"/>
  <c r="F255" i="68"/>
  <c r="E252" i="68"/>
  <c r="F251" i="68"/>
  <c r="E248" i="68"/>
  <c r="F247" i="68"/>
  <c r="N195" i="91"/>
  <c r="K194" i="91"/>
  <c r="M195" i="91"/>
  <c r="L195" i="91"/>
  <c r="O195" i="91"/>
  <c r="K195" i="91"/>
  <c r="L194" i="91"/>
  <c r="O183" i="91"/>
  <c r="K183" i="91"/>
  <c r="L182" i="91"/>
  <c r="M181" i="91"/>
  <c r="N180" i="91"/>
  <c r="O179" i="91"/>
  <c r="K179" i="91"/>
  <c r="L178" i="91"/>
  <c r="M177" i="91"/>
  <c r="K175" i="91"/>
  <c r="L174" i="91"/>
  <c r="M173" i="91"/>
  <c r="N177" i="91"/>
  <c r="N183" i="91"/>
  <c r="O182" i="91"/>
  <c r="K182" i="91"/>
  <c r="L181" i="91"/>
  <c r="M180" i="91"/>
  <c r="N179" i="91"/>
  <c r="O178" i="91"/>
  <c r="K178" i="91"/>
  <c r="L177" i="91"/>
  <c r="M176" i="91"/>
  <c r="K174" i="91"/>
  <c r="L173" i="91"/>
  <c r="M183" i="91"/>
  <c r="N182" i="91"/>
  <c r="O181" i="91"/>
  <c r="K181" i="91"/>
  <c r="L180" i="91"/>
  <c r="M179" i="91"/>
  <c r="N178" i="91"/>
  <c r="O177" i="91"/>
  <c r="K177" i="91"/>
  <c r="L176" i="91"/>
  <c r="M175" i="91"/>
  <c r="L183" i="91"/>
  <c r="M182" i="91"/>
  <c r="N181" i="91"/>
  <c r="O180" i="91"/>
  <c r="K180" i="91"/>
  <c r="L179" i="91"/>
  <c r="M178" i="91"/>
  <c r="K176" i="91"/>
  <c r="L175" i="91"/>
  <c r="O173" i="91"/>
  <c r="K173" i="91"/>
  <c r="N173" i="91"/>
  <c r="K172" i="91"/>
  <c r="D171" i="66"/>
  <c r="B182" i="91"/>
  <c r="C181" i="91"/>
  <c r="D180" i="91"/>
  <c r="B178" i="91"/>
  <c r="C177" i="91"/>
  <c r="D176" i="91"/>
  <c r="B174" i="91"/>
  <c r="C173" i="91"/>
  <c r="D172" i="91"/>
  <c r="D183" i="91"/>
  <c r="B181" i="91"/>
  <c r="C180" i="91"/>
  <c r="D179" i="91"/>
  <c r="B177" i="91"/>
  <c r="C176" i="91"/>
  <c r="D175" i="91"/>
  <c r="B173" i="91"/>
  <c r="C172" i="91"/>
  <c r="D171" i="91"/>
  <c r="C183" i="91"/>
  <c r="D182" i="91"/>
  <c r="B180" i="91"/>
  <c r="C179" i="91"/>
  <c r="D178" i="91"/>
  <c r="B176" i="91"/>
  <c r="C175" i="91"/>
  <c r="D174" i="91"/>
  <c r="B172" i="91"/>
  <c r="C171" i="91"/>
  <c r="B183" i="91"/>
  <c r="C182" i="91"/>
  <c r="D181" i="91"/>
  <c r="B179" i="91"/>
  <c r="C178" i="91"/>
  <c r="D177" i="91"/>
  <c r="B175" i="91"/>
  <c r="C174" i="91"/>
  <c r="D173" i="91"/>
  <c r="B171" i="91"/>
  <c r="L725" i="96" l="1"/>
  <c r="K725" i="96"/>
  <c r="B731" i="96"/>
  <c r="B738" i="96"/>
  <c r="B737" i="96"/>
  <c r="B730" i="96"/>
  <c r="B736" i="96"/>
  <c r="B729" i="96"/>
  <c r="B694" i="96"/>
  <c r="B684" i="96"/>
  <c r="B693" i="96"/>
  <c r="B683" i="96"/>
  <c r="B685" i="96"/>
  <c r="B695" i="96"/>
  <c r="L726" i="96" l="1"/>
  <c r="T38" i="87" l="1"/>
  <c r="U38" i="87"/>
  <c r="P33" i="76"/>
  <c r="C480" i="96" l="1"/>
  <c r="D476" i="96"/>
  <c r="C476" i="96"/>
  <c r="D473" i="96"/>
  <c r="C473" i="96"/>
  <c r="B485" i="96"/>
  <c r="M393" i="96"/>
  <c r="I168" i="91" l="1"/>
  <c r="I169" i="91"/>
  <c r="I170" i="91"/>
  <c r="B57" i="69"/>
  <c r="B227" i="69" s="1"/>
  <c r="C57" i="69"/>
  <c r="C142" i="69" s="1"/>
  <c r="D57" i="69"/>
  <c r="D142" i="69" s="1"/>
  <c r="B58" i="69"/>
  <c r="B228" i="69" s="1"/>
  <c r="C58" i="69"/>
  <c r="C228" i="69" s="1"/>
  <c r="D58" i="69"/>
  <c r="D143" i="69" s="1"/>
  <c r="B57" i="68"/>
  <c r="B142" i="68" s="1"/>
  <c r="C57" i="68"/>
  <c r="C227" i="68" s="1"/>
  <c r="D57" i="68"/>
  <c r="D227" i="68" s="1"/>
  <c r="B58" i="68"/>
  <c r="B143" i="68" s="1"/>
  <c r="C58" i="68"/>
  <c r="C143" i="68" s="1"/>
  <c r="D58" i="68"/>
  <c r="D228" i="68" s="1"/>
  <c r="B57" i="66"/>
  <c r="C57" i="66"/>
  <c r="C142" i="66" s="1"/>
  <c r="D57" i="66"/>
  <c r="D142" i="66" s="1"/>
  <c r="B58" i="66"/>
  <c r="C58" i="66"/>
  <c r="C228" i="66" s="1"/>
  <c r="D58" i="66"/>
  <c r="D143" i="66" s="1"/>
  <c r="B57" i="91"/>
  <c r="C57" i="91"/>
  <c r="D57" i="91"/>
  <c r="K143" i="87"/>
  <c r="B58" i="91"/>
  <c r="C58" i="91"/>
  <c r="D58" i="91"/>
  <c r="K122" i="87"/>
  <c r="L122" i="87"/>
  <c r="K123" i="87"/>
  <c r="K124" i="87"/>
  <c r="L124" i="87"/>
  <c r="M124" i="87"/>
  <c r="N124" i="87"/>
  <c r="B36" i="91"/>
  <c r="B228" i="91" s="1"/>
  <c r="C36" i="91"/>
  <c r="C228" i="91" s="1"/>
  <c r="D36" i="91"/>
  <c r="D228" i="91" s="1"/>
  <c r="B37" i="91"/>
  <c r="C37" i="91"/>
  <c r="C229" i="91" s="1"/>
  <c r="D37" i="91"/>
  <c r="D133" i="91" s="1"/>
  <c r="B38" i="91"/>
  <c r="B134" i="91" s="1"/>
  <c r="C38" i="91"/>
  <c r="C134" i="91" s="1"/>
  <c r="D38" i="91"/>
  <c r="D230" i="91" s="1"/>
  <c r="B227" i="66" l="1"/>
  <c r="P57" i="66"/>
  <c r="B228" i="66"/>
  <c r="P58" i="66"/>
  <c r="N122" i="87"/>
  <c r="E290" i="96"/>
  <c r="M123" i="87"/>
  <c r="M122" i="87"/>
  <c r="N143" i="87"/>
  <c r="F290" i="96"/>
  <c r="N123" i="87"/>
  <c r="D290" i="96"/>
  <c r="L123" i="87"/>
  <c r="M143" i="87"/>
  <c r="L143" i="87"/>
  <c r="D153" i="91"/>
  <c r="D143" i="87"/>
  <c r="D154" i="91"/>
  <c r="D144" i="87"/>
  <c r="C153" i="91"/>
  <c r="C143" i="87"/>
  <c r="C154" i="91"/>
  <c r="C144" i="87"/>
  <c r="B153" i="91"/>
  <c r="B143" i="87"/>
  <c r="B154" i="91"/>
  <c r="B144" i="87"/>
  <c r="C498" i="96"/>
  <c r="F134" i="91"/>
  <c r="F133" i="91"/>
  <c r="E466" i="96"/>
  <c r="D498" i="96"/>
  <c r="E134" i="91"/>
  <c r="E133" i="91"/>
  <c r="E467" i="96"/>
  <c r="E498" i="96"/>
  <c r="H134" i="91"/>
  <c r="H133" i="91"/>
  <c r="F498" i="96"/>
  <c r="G134" i="91"/>
  <c r="G133" i="91"/>
  <c r="C249" i="91"/>
  <c r="B249" i="91"/>
  <c r="H161" i="91"/>
  <c r="D227" i="66"/>
  <c r="C228" i="68"/>
  <c r="B227" i="68"/>
  <c r="D227" i="69"/>
  <c r="C143" i="66"/>
  <c r="B142" i="66"/>
  <c r="D142" i="68"/>
  <c r="C143" i="69"/>
  <c r="B142" i="69"/>
  <c r="D228" i="66"/>
  <c r="C227" i="66"/>
  <c r="B228" i="68"/>
  <c r="D228" i="69"/>
  <c r="C227" i="69"/>
  <c r="B143" i="66"/>
  <c r="D143" i="68"/>
  <c r="C142" i="68"/>
  <c r="B143" i="69"/>
  <c r="M144" i="87"/>
  <c r="F467" i="96"/>
  <c r="F466" i="96"/>
  <c r="K144" i="87"/>
  <c r="D467" i="96"/>
  <c r="F153" i="91"/>
  <c r="D466" i="96"/>
  <c r="B250" i="91"/>
  <c r="D250" i="91"/>
  <c r="G153" i="91"/>
  <c r="C250" i="91"/>
  <c r="P58" i="91"/>
  <c r="C467" i="96"/>
  <c r="P57" i="91"/>
  <c r="E153" i="91"/>
  <c r="C466" i="96"/>
  <c r="C482" i="96" s="1"/>
  <c r="D249" i="91"/>
  <c r="H153" i="91"/>
  <c r="N144" i="87"/>
  <c r="L144" i="87"/>
  <c r="P37" i="91"/>
  <c r="P36" i="91"/>
  <c r="D229" i="91"/>
  <c r="B133" i="91"/>
  <c r="D134" i="91"/>
  <c r="B230" i="91"/>
  <c r="C133" i="91"/>
  <c r="P38" i="91"/>
  <c r="B229" i="91"/>
  <c r="C230" i="91"/>
  <c r="F482" i="96" l="1"/>
  <c r="E482" i="96"/>
  <c r="D499" i="96"/>
  <c r="D483" i="96" s="1"/>
  <c r="F499" i="96"/>
  <c r="F483" i="96" s="1"/>
  <c r="C499" i="96"/>
  <c r="C483" i="96" s="1"/>
  <c r="D482" i="96"/>
  <c r="E499" i="96"/>
  <c r="E483" i="96" s="1"/>
  <c r="E227" i="69"/>
  <c r="E227" i="66"/>
  <c r="E142" i="69"/>
  <c r="E227" i="68"/>
  <c r="F228" i="68"/>
  <c r="E142" i="66"/>
  <c r="B466" i="96"/>
  <c r="B482" i="96" s="1"/>
  <c r="E154" i="91"/>
  <c r="B467" i="96"/>
  <c r="B483" i="96" s="1"/>
  <c r="G154" i="91"/>
  <c r="F154" i="91"/>
  <c r="H154" i="91"/>
  <c r="F227" i="68"/>
  <c r="F142" i="69"/>
  <c r="F227" i="69" s="1"/>
  <c r="F142" i="66"/>
  <c r="F227" i="66" s="1"/>
  <c r="E228" i="68"/>
  <c r="B498" i="96" l="1"/>
  <c r="B499" i="96"/>
  <c r="E143" i="69"/>
  <c r="E228" i="69" s="1"/>
  <c r="E143" i="66"/>
  <c r="E228" i="66" s="1"/>
  <c r="F143" i="66"/>
  <c r="F228" i="66" s="1"/>
  <c r="F143" i="69"/>
  <c r="F228" i="69" s="1"/>
  <c r="U157" i="87" l="1"/>
  <c r="M642" i="96"/>
  <c r="M631" i="96" s="1"/>
  <c r="O167" i="91"/>
  <c r="O123" i="87" l="1"/>
  <c r="I133" i="91"/>
  <c r="M724" i="96" l="1"/>
  <c r="M230" i="96"/>
  <c r="M128" i="96"/>
  <c r="M292" i="96"/>
  <c r="M725" i="96" l="1"/>
  <c r="M726" i="96" l="1"/>
  <c r="F241" i="69"/>
  <c r="U39" i="87"/>
  <c r="E241" i="69" l="1"/>
  <c r="U99" i="87" l="1"/>
  <c r="AD44" i="123"/>
  <c r="AE44" i="123"/>
  <c r="AF44" i="123"/>
  <c r="AG44" i="123"/>
  <c r="AH44" i="123"/>
  <c r="AD50" i="123"/>
  <c r="AE50" i="123"/>
  <c r="AF50" i="123"/>
  <c r="AG50" i="123"/>
  <c r="AH50" i="123"/>
  <c r="AD56" i="123"/>
  <c r="AE56" i="123"/>
  <c r="AF56" i="123"/>
  <c r="AG56" i="123"/>
  <c r="AH56" i="123"/>
  <c r="N50" i="123"/>
  <c r="O50" i="123"/>
  <c r="P50" i="123"/>
  <c r="Q50" i="123"/>
  <c r="M56" i="123"/>
  <c r="N56" i="123"/>
  <c r="O56" i="123"/>
  <c r="P56" i="123"/>
  <c r="Q56" i="123"/>
  <c r="U127" i="87"/>
  <c r="U128" i="87"/>
  <c r="O119" i="91"/>
  <c r="U100" i="87" l="1"/>
  <c r="M376" i="96"/>
  <c r="M392" i="96"/>
  <c r="M377" i="96"/>
  <c r="M385" i="96" s="1"/>
  <c r="O137" i="91"/>
  <c r="O138" i="91"/>
  <c r="O110" i="91"/>
  <c r="M384" i="96" l="1"/>
  <c r="D525" i="96" l="1"/>
  <c r="C525" i="96"/>
  <c r="D83" i="87" l="1"/>
  <c r="D84" i="87"/>
  <c r="D85" i="87"/>
  <c r="D86" i="87"/>
  <c r="D87" i="87"/>
  <c r="D88" i="87"/>
  <c r="D89" i="87"/>
  <c r="D90" i="87"/>
  <c r="D91" i="87"/>
  <c r="D72" i="87"/>
  <c r="D73" i="87"/>
  <c r="D74" i="87"/>
  <c r="D75" i="87"/>
  <c r="D76" i="87"/>
  <c r="D77" i="87"/>
  <c r="D78" i="87"/>
  <c r="D79" i="87"/>
  <c r="D80" i="87"/>
  <c r="F696" i="96"/>
  <c r="C670" i="96"/>
  <c r="D670" i="96"/>
  <c r="E670" i="96"/>
  <c r="F670" i="96"/>
  <c r="G670" i="96"/>
  <c r="C671" i="96"/>
  <c r="D671" i="96"/>
  <c r="E671" i="96"/>
  <c r="F671" i="96"/>
  <c r="G671" i="96"/>
  <c r="C672" i="96"/>
  <c r="D672" i="96"/>
  <c r="E672" i="96"/>
  <c r="F672" i="96"/>
  <c r="G672" i="96"/>
  <c r="D696" i="96"/>
  <c r="B696" i="96"/>
  <c r="E696" i="96"/>
  <c r="B686" i="96"/>
  <c r="N40" i="70" l="1"/>
  <c r="B3" i="123" l="1"/>
  <c r="B2" i="123"/>
  <c r="S38" i="123" l="1"/>
  <c r="S56" i="123" s="1"/>
  <c r="S54" i="123"/>
  <c r="S55" i="123"/>
  <c r="AC56" i="123"/>
  <c r="AB56" i="123"/>
  <c r="AA56" i="123"/>
  <c r="Z56" i="123"/>
  <c r="S53" i="123"/>
  <c r="S48" i="123"/>
  <c r="S49" i="123"/>
  <c r="AC50" i="123"/>
  <c r="AB50" i="123"/>
  <c r="AA50" i="123"/>
  <c r="Z50" i="123"/>
  <c r="S47" i="123"/>
  <c r="S42" i="123"/>
  <c r="S43" i="123"/>
  <c r="AC44" i="123"/>
  <c r="AB44" i="123"/>
  <c r="AA44" i="123"/>
  <c r="Z44" i="123"/>
  <c r="S41" i="123"/>
  <c r="B41" i="123"/>
  <c r="B43" i="123"/>
  <c r="B42" i="123"/>
  <c r="I56" i="123"/>
  <c r="J56" i="123"/>
  <c r="K56" i="123"/>
  <c r="L56" i="123"/>
  <c r="J50" i="123"/>
  <c r="K50" i="123"/>
  <c r="L50" i="123"/>
  <c r="I50" i="123"/>
  <c r="B53" i="123"/>
  <c r="B55" i="123"/>
  <c r="B54" i="123"/>
  <c r="B47" i="123"/>
  <c r="B49" i="123"/>
  <c r="B48" i="123"/>
  <c r="B38" i="123"/>
  <c r="S50" i="123" l="1"/>
  <c r="S44" i="123"/>
  <c r="B44" i="123"/>
  <c r="B50" i="123"/>
  <c r="B56" i="123"/>
  <c r="B186" i="91" l="1"/>
  <c r="C186" i="91"/>
  <c r="D186" i="91"/>
  <c r="B187" i="91"/>
  <c r="C187" i="91"/>
  <c r="D187" i="91"/>
  <c r="E285" i="91"/>
  <c r="F285" i="91"/>
  <c r="P90" i="91"/>
  <c r="M218" i="96" l="1"/>
  <c r="M127" i="96"/>
  <c r="M229" i="96"/>
  <c r="M672" i="96"/>
  <c r="M670" i="96"/>
  <c r="M671" i="96"/>
  <c r="M676" i="96" l="1"/>
  <c r="O151" i="87" l="1"/>
  <c r="I161" i="91" l="1"/>
  <c r="P151" i="87" l="1"/>
  <c r="J161" i="91"/>
  <c r="R151" i="87" l="1"/>
  <c r="P152" i="87" l="1"/>
  <c r="Q151" i="87"/>
  <c r="K161" i="91"/>
  <c r="Q152" i="87"/>
  <c r="S151" i="87"/>
  <c r="S152" i="87" l="1"/>
  <c r="R152" i="87"/>
  <c r="L161" i="91"/>
  <c r="L736" i="96" l="1"/>
  <c r="T164" i="87"/>
  <c r="K736" i="96"/>
  <c r="K146" i="96"/>
  <c r="S164" i="87"/>
  <c r="M194" i="91"/>
  <c r="M174" i="91"/>
  <c r="T152" i="87"/>
  <c r="N174" i="91"/>
  <c r="M161" i="91"/>
  <c r="T151" i="87" l="1"/>
  <c r="M736" i="96"/>
  <c r="U164" i="87"/>
  <c r="L729" i="96"/>
  <c r="K739" i="96"/>
  <c r="K732" i="96" s="1"/>
  <c r="K729" i="96"/>
  <c r="O174" i="91"/>
  <c r="N161" i="91"/>
  <c r="M729" i="96" l="1"/>
  <c r="F109" i="91" l="1"/>
  <c r="G109" i="91"/>
  <c r="G170" i="91"/>
  <c r="G169" i="91"/>
  <c r="G168" i="91"/>
  <c r="G184" i="91"/>
  <c r="D74" i="68" l="1"/>
  <c r="D159" i="68" s="1"/>
  <c r="C74" i="68"/>
  <c r="C244" i="68" s="1"/>
  <c r="D73" i="68"/>
  <c r="D243" i="68" s="1"/>
  <c r="C73" i="68"/>
  <c r="C243" i="68" s="1"/>
  <c r="D74" i="69"/>
  <c r="D159" i="69" s="1"/>
  <c r="C74" i="69"/>
  <c r="C159" i="69" s="1"/>
  <c r="D73" i="69"/>
  <c r="D158" i="69" s="1"/>
  <c r="C73" i="69"/>
  <c r="C243" i="69" s="1"/>
  <c r="F159" i="69"/>
  <c r="E159" i="69"/>
  <c r="F158" i="69"/>
  <c r="E158" i="69"/>
  <c r="F159" i="66"/>
  <c r="E159" i="66"/>
  <c r="F158" i="66"/>
  <c r="E158" i="66"/>
  <c r="C73" i="66"/>
  <c r="C158" i="66" s="1"/>
  <c r="D73" i="66"/>
  <c r="D158" i="66" s="1"/>
  <c r="C74" i="66"/>
  <c r="C244" i="66" s="1"/>
  <c r="D74" i="66"/>
  <c r="D244" i="66" s="1"/>
  <c r="H170" i="91"/>
  <c r="H169" i="91"/>
  <c r="H168" i="91"/>
  <c r="B289" i="91"/>
  <c r="B193" i="91" s="1"/>
  <c r="C289" i="91"/>
  <c r="C193" i="91" s="1"/>
  <c r="D289" i="91"/>
  <c r="D193" i="91" s="1"/>
  <c r="P97" i="91"/>
  <c r="C73" i="91"/>
  <c r="C159" i="87" s="1"/>
  <c r="D73" i="91"/>
  <c r="D159" i="87" s="1"/>
  <c r="C74" i="91"/>
  <c r="C160" i="87" s="1"/>
  <c r="D74" i="91"/>
  <c r="D160" i="87" s="1"/>
  <c r="J218" i="96" l="1"/>
  <c r="J285" i="96"/>
  <c r="H218" i="96"/>
  <c r="H127" i="96"/>
  <c r="H285" i="96"/>
  <c r="H229" i="96"/>
  <c r="I218" i="96"/>
  <c r="I285" i="96"/>
  <c r="D170" i="91"/>
  <c r="C266" i="91"/>
  <c r="D265" i="91"/>
  <c r="C265" i="91"/>
  <c r="F244" i="68"/>
  <c r="F243" i="68"/>
  <c r="G691" i="96"/>
  <c r="C244" i="69"/>
  <c r="I670" i="96"/>
  <c r="I671" i="96"/>
  <c r="J670" i="96"/>
  <c r="H672" i="96"/>
  <c r="H670" i="96"/>
  <c r="H671" i="96"/>
  <c r="K672" i="96"/>
  <c r="D243" i="69"/>
  <c r="C158" i="69"/>
  <c r="D244" i="69"/>
  <c r="D158" i="68"/>
  <c r="C170" i="91"/>
  <c r="D266" i="91"/>
  <c r="E243" i="68"/>
  <c r="E244" i="69"/>
  <c r="C169" i="91"/>
  <c r="E243" i="69"/>
  <c r="F244" i="69"/>
  <c r="E244" i="68"/>
  <c r="D169" i="91"/>
  <c r="F243" i="69"/>
  <c r="D244" i="68"/>
  <c r="C159" i="68"/>
  <c r="C158" i="68"/>
  <c r="C243" i="66"/>
  <c r="C159" i="66"/>
  <c r="D243" i="66"/>
  <c r="D159" i="66"/>
  <c r="I193" i="91"/>
  <c r="K229" i="96" l="1"/>
  <c r="H676" i="96"/>
  <c r="E243" i="66"/>
  <c r="E244" i="66"/>
  <c r="F244" i="66"/>
  <c r="F243" i="66"/>
  <c r="K671" i="96"/>
  <c r="B283" i="91" l="1"/>
  <c r="C283" i="91"/>
  <c r="D283" i="91"/>
  <c r="B284" i="91"/>
  <c r="C284" i="91"/>
  <c r="D284" i="91"/>
  <c r="B285" i="91"/>
  <c r="C285" i="91"/>
  <c r="D285" i="91"/>
  <c r="B286" i="91"/>
  <c r="C286" i="91"/>
  <c r="D286" i="91"/>
  <c r="B287" i="91"/>
  <c r="C287" i="91"/>
  <c r="D287" i="91"/>
  <c r="B288" i="91"/>
  <c r="B192" i="91" s="1"/>
  <c r="C288" i="91"/>
  <c r="C192" i="91" s="1"/>
  <c r="D288" i="91"/>
  <c r="D192" i="91" s="1"/>
  <c r="F157" i="69" l="1"/>
  <c r="E157" i="69"/>
  <c r="E155" i="69"/>
  <c r="E154" i="69"/>
  <c r="F152" i="69"/>
  <c r="E152" i="69"/>
  <c r="F151" i="69"/>
  <c r="E151" i="69"/>
  <c r="F153" i="69"/>
  <c r="E153" i="69"/>
  <c r="F147" i="69"/>
  <c r="E147" i="69"/>
  <c r="F150" i="69"/>
  <c r="E150" i="69"/>
  <c r="F145" i="69"/>
  <c r="E145" i="69"/>
  <c r="F125" i="69"/>
  <c r="E125" i="69"/>
  <c r="F124" i="69"/>
  <c r="E124" i="69"/>
  <c r="F98" i="69"/>
  <c r="F157" i="66"/>
  <c r="E157" i="66"/>
  <c r="E155" i="66"/>
  <c r="E154" i="66"/>
  <c r="F152" i="66"/>
  <c r="E152" i="66"/>
  <c r="F151" i="66"/>
  <c r="E151" i="66"/>
  <c r="F153" i="66"/>
  <c r="E153" i="66"/>
  <c r="F147" i="66"/>
  <c r="E147" i="66"/>
  <c r="F150" i="66"/>
  <c r="E150" i="66"/>
  <c r="F145" i="66"/>
  <c r="E145" i="66"/>
  <c r="F125" i="66"/>
  <c r="E125" i="66"/>
  <c r="F124" i="66"/>
  <c r="E124" i="66"/>
  <c r="P89" i="91"/>
  <c r="P23" i="91"/>
  <c r="P13" i="91"/>
  <c r="E143" i="96" l="1"/>
  <c r="E159" i="96" s="1"/>
  <c r="I229" i="96" l="1"/>
  <c r="I127" i="96"/>
  <c r="I672" i="96"/>
  <c r="D387" i="96" l="1"/>
  <c r="T99" i="87"/>
  <c r="T39" i="87"/>
  <c r="L393" i="96" l="1"/>
  <c r="T100" i="87"/>
  <c r="T127" i="87"/>
  <c r="T128" i="87"/>
  <c r="N119" i="91"/>
  <c r="N137" i="91" l="1"/>
  <c r="N110" i="91"/>
  <c r="N138" i="91"/>
  <c r="L377" i="96"/>
  <c r="L385" i="96" s="1"/>
  <c r="L376" i="96"/>
  <c r="L392" i="96" l="1"/>
  <c r="L384" i="96"/>
  <c r="C159" i="96"/>
  <c r="C155" i="96"/>
  <c r="E393" i="96"/>
  <c r="B39" i="69"/>
  <c r="B124" i="69" s="1"/>
  <c r="C39" i="69"/>
  <c r="C209" i="69" s="1"/>
  <c r="D39" i="69"/>
  <c r="D124" i="69" s="1"/>
  <c r="B40" i="69"/>
  <c r="B125" i="69" s="1"/>
  <c r="C40" i="69"/>
  <c r="C125" i="69" s="1"/>
  <c r="D40" i="69"/>
  <c r="D125" i="69" s="1"/>
  <c r="B39" i="68"/>
  <c r="B209" i="68" s="1"/>
  <c r="C39" i="68"/>
  <c r="C124" i="68" s="1"/>
  <c r="D39" i="68"/>
  <c r="D209" i="68" s="1"/>
  <c r="B40" i="68"/>
  <c r="B125" i="68" s="1"/>
  <c r="C40" i="68"/>
  <c r="C125" i="68" s="1"/>
  <c r="D40" i="68"/>
  <c r="D125" i="68" s="1"/>
  <c r="B39" i="66"/>
  <c r="C39" i="66"/>
  <c r="D39" i="66"/>
  <c r="D124" i="66" s="1"/>
  <c r="B40" i="66"/>
  <c r="C40" i="66"/>
  <c r="C210" i="66" s="1"/>
  <c r="D40" i="66"/>
  <c r="E242" i="69"/>
  <c r="F242" i="69"/>
  <c r="E242" i="68"/>
  <c r="F242" i="68"/>
  <c r="E242" i="66"/>
  <c r="F242" i="66"/>
  <c r="B73" i="69"/>
  <c r="B243" i="69" s="1"/>
  <c r="B74" i="69"/>
  <c r="B159" i="69" s="1"/>
  <c r="B73" i="68"/>
  <c r="B158" i="68" s="1"/>
  <c r="B74" i="68"/>
  <c r="B159" i="68" s="1"/>
  <c r="B73" i="66"/>
  <c r="B74" i="66"/>
  <c r="B173" i="66"/>
  <c r="B72" i="69"/>
  <c r="C72" i="69"/>
  <c r="C242" i="69" s="1"/>
  <c r="D72" i="69"/>
  <c r="D157" i="69" s="1"/>
  <c r="B72" i="68"/>
  <c r="B242" i="68" s="1"/>
  <c r="C72" i="68"/>
  <c r="D72" i="68"/>
  <c r="D157" i="68" s="1"/>
  <c r="B72" i="66"/>
  <c r="C72" i="66"/>
  <c r="C242" i="66" s="1"/>
  <c r="D72" i="66"/>
  <c r="D242" i="66" s="1"/>
  <c r="B74" i="91"/>
  <c r="B160" i="87" s="1"/>
  <c r="B73" i="91"/>
  <c r="B159" i="87" s="1"/>
  <c r="K109" i="87"/>
  <c r="L109" i="87"/>
  <c r="B72" i="91"/>
  <c r="B158" i="87" s="1"/>
  <c r="C72" i="91"/>
  <c r="C158" i="87" s="1"/>
  <c r="D72" i="91"/>
  <c r="D158" i="87" s="1"/>
  <c r="B49" i="69"/>
  <c r="B134" i="69" s="1"/>
  <c r="C49" i="69"/>
  <c r="D49" i="69"/>
  <c r="D134" i="69" s="1"/>
  <c r="B50" i="69"/>
  <c r="C50" i="69"/>
  <c r="C135" i="69" s="1"/>
  <c r="D50" i="69"/>
  <c r="D135" i="69" s="1"/>
  <c r="B49" i="68"/>
  <c r="B134" i="68" s="1"/>
  <c r="C49" i="68"/>
  <c r="C219" i="68" s="1"/>
  <c r="D49" i="68"/>
  <c r="D134" i="68" s="1"/>
  <c r="B50" i="68"/>
  <c r="B135" i="68" s="1"/>
  <c r="C50" i="68"/>
  <c r="C135" i="68" s="1"/>
  <c r="D50" i="68"/>
  <c r="B49" i="66"/>
  <c r="C49" i="66"/>
  <c r="C219" i="66" s="1"/>
  <c r="D49" i="66"/>
  <c r="D134" i="66" s="1"/>
  <c r="B50" i="66"/>
  <c r="C50" i="66"/>
  <c r="C135" i="66" s="1"/>
  <c r="D50" i="66"/>
  <c r="D135" i="66" s="1"/>
  <c r="B49" i="91"/>
  <c r="B135" i="87" s="1"/>
  <c r="C49" i="91"/>
  <c r="C135" i="87" s="1"/>
  <c r="D49" i="91"/>
  <c r="D145" i="91" s="1"/>
  <c r="B50" i="91"/>
  <c r="C50" i="91"/>
  <c r="C146" i="91" s="1"/>
  <c r="D50" i="91"/>
  <c r="K135" i="87"/>
  <c r="B55" i="91"/>
  <c r="C55" i="91"/>
  <c r="C151" i="91" s="1"/>
  <c r="D55" i="91"/>
  <c r="D151" i="91" s="1"/>
  <c r="K141" i="87"/>
  <c r="M141" i="87"/>
  <c r="B51" i="91"/>
  <c r="B243" i="91" s="1"/>
  <c r="C51" i="91"/>
  <c r="C147" i="91" s="1"/>
  <c r="D51" i="91"/>
  <c r="D243" i="91" s="1"/>
  <c r="K137" i="87"/>
  <c r="L137" i="87"/>
  <c r="M137" i="87"/>
  <c r="B48" i="91"/>
  <c r="B144" i="91" s="1"/>
  <c r="C48" i="91"/>
  <c r="D48" i="91"/>
  <c r="K134" i="87"/>
  <c r="B44" i="91"/>
  <c r="B130" i="87" s="1"/>
  <c r="C44" i="91"/>
  <c r="D44" i="91"/>
  <c r="D140" i="91" s="1"/>
  <c r="K130" i="87"/>
  <c r="L130" i="87"/>
  <c r="M130" i="87"/>
  <c r="O130" i="87"/>
  <c r="K131" i="87"/>
  <c r="K132" i="87"/>
  <c r="K142" i="87"/>
  <c r="K145" i="87"/>
  <c r="L131" i="87"/>
  <c r="L132" i="87"/>
  <c r="L142" i="87"/>
  <c r="L145" i="87"/>
  <c r="M132" i="87"/>
  <c r="M128" i="87"/>
  <c r="M142" i="87"/>
  <c r="B41" i="91"/>
  <c r="B137" i="91" s="1"/>
  <c r="C41" i="91"/>
  <c r="C137" i="91" s="1"/>
  <c r="D41" i="91"/>
  <c r="D127" i="87" s="1"/>
  <c r="B42" i="91"/>
  <c r="B234" i="91" s="1"/>
  <c r="C42" i="91"/>
  <c r="D42" i="91"/>
  <c r="D128" i="87" s="1"/>
  <c r="B43" i="91"/>
  <c r="C43" i="91"/>
  <c r="C235" i="91" s="1"/>
  <c r="D43" i="91"/>
  <c r="D139" i="91" s="1"/>
  <c r="B45" i="91"/>
  <c r="C45" i="91"/>
  <c r="D45" i="91"/>
  <c r="D141" i="91" s="1"/>
  <c r="B46" i="91"/>
  <c r="C46" i="91"/>
  <c r="C238" i="91" s="1"/>
  <c r="D46" i="91"/>
  <c r="D238" i="91" s="1"/>
  <c r="B47" i="91"/>
  <c r="B143" i="91" s="1"/>
  <c r="C47" i="91"/>
  <c r="C143" i="91" s="1"/>
  <c r="D47" i="91"/>
  <c r="D143" i="91" s="1"/>
  <c r="B52" i="91"/>
  <c r="C52" i="91"/>
  <c r="C244" i="91" s="1"/>
  <c r="D52" i="91"/>
  <c r="B53" i="91"/>
  <c r="C53" i="91"/>
  <c r="C245" i="91" s="1"/>
  <c r="D53" i="91"/>
  <c r="D149" i="91" s="1"/>
  <c r="B54" i="91"/>
  <c r="C54" i="91"/>
  <c r="C246" i="91" s="1"/>
  <c r="D54" i="91"/>
  <c r="D140" i="87" s="1"/>
  <c r="B56" i="91"/>
  <c r="C56" i="91"/>
  <c r="C152" i="91" s="1"/>
  <c r="D56" i="91"/>
  <c r="D142" i="87" s="1"/>
  <c r="B59" i="91"/>
  <c r="B251" i="91" s="1"/>
  <c r="C59" i="91"/>
  <c r="C251" i="91" s="1"/>
  <c r="D59" i="91"/>
  <c r="E492" i="96"/>
  <c r="E282" i="91"/>
  <c r="K112" i="87"/>
  <c r="K115" i="87"/>
  <c r="L102" i="87"/>
  <c r="L104" i="87"/>
  <c r="L106" i="87"/>
  <c r="L108" i="87"/>
  <c r="L114" i="87"/>
  <c r="L115" i="87"/>
  <c r="F287" i="91"/>
  <c r="M146" i="87"/>
  <c r="B44" i="69"/>
  <c r="B214" i="69" s="1"/>
  <c r="C44" i="69"/>
  <c r="D44" i="69"/>
  <c r="D129" i="69" s="1"/>
  <c r="B45" i="69"/>
  <c r="C45" i="69"/>
  <c r="C130" i="69" s="1"/>
  <c r="D45" i="69"/>
  <c r="B46" i="69"/>
  <c r="B216" i="69" s="1"/>
  <c r="C46" i="69"/>
  <c r="C216" i="69" s="1"/>
  <c r="D46" i="69"/>
  <c r="B47" i="69"/>
  <c r="C47" i="69"/>
  <c r="D47" i="69"/>
  <c r="B48" i="69"/>
  <c r="C48" i="69"/>
  <c r="D48" i="69"/>
  <c r="B51" i="69"/>
  <c r="C51" i="69"/>
  <c r="C136" i="69" s="1"/>
  <c r="D51" i="69"/>
  <c r="D136" i="69" s="1"/>
  <c r="B52" i="69"/>
  <c r="C52" i="69"/>
  <c r="C137" i="69" s="1"/>
  <c r="D52" i="69"/>
  <c r="D222" i="69" s="1"/>
  <c r="B53" i="69"/>
  <c r="B223" i="69" s="1"/>
  <c r="C53" i="69"/>
  <c r="D53" i="69"/>
  <c r="D223" i="69" s="1"/>
  <c r="B54" i="69"/>
  <c r="B139" i="69" s="1"/>
  <c r="C54" i="69"/>
  <c r="C224" i="69" s="1"/>
  <c r="D54" i="69"/>
  <c r="D139" i="69" s="1"/>
  <c r="B55" i="69"/>
  <c r="C55" i="69"/>
  <c r="C140" i="69" s="1"/>
  <c r="D55" i="69"/>
  <c r="D140" i="69" s="1"/>
  <c r="B56" i="69"/>
  <c r="C56" i="69"/>
  <c r="D56" i="69"/>
  <c r="D226" i="69" s="1"/>
  <c r="B44" i="68"/>
  <c r="C44" i="68"/>
  <c r="D44" i="68"/>
  <c r="B45" i="68"/>
  <c r="C45" i="68"/>
  <c r="D45" i="68"/>
  <c r="D130" i="68" s="1"/>
  <c r="B46" i="68"/>
  <c r="B131" i="68" s="1"/>
  <c r="C46" i="68"/>
  <c r="C216" i="68" s="1"/>
  <c r="D46" i="68"/>
  <c r="B47" i="68"/>
  <c r="B217" i="68" s="1"/>
  <c r="C47" i="68"/>
  <c r="C132" i="68" s="1"/>
  <c r="D47" i="68"/>
  <c r="B48" i="68"/>
  <c r="C48" i="68"/>
  <c r="D48" i="68"/>
  <c r="D218" i="68" s="1"/>
  <c r="B51" i="68"/>
  <c r="C51" i="68"/>
  <c r="D51" i="68"/>
  <c r="B52" i="68"/>
  <c r="B137" i="68" s="1"/>
  <c r="C52" i="68"/>
  <c r="C222" i="68" s="1"/>
  <c r="D52" i="68"/>
  <c r="B53" i="68"/>
  <c r="C53" i="68"/>
  <c r="C223" i="68" s="1"/>
  <c r="D53" i="68"/>
  <c r="D138" i="68" s="1"/>
  <c r="B54" i="68"/>
  <c r="B224" i="68" s="1"/>
  <c r="C54" i="68"/>
  <c r="D54" i="68"/>
  <c r="D139" i="68" s="1"/>
  <c r="B55" i="68"/>
  <c r="B140" i="68" s="1"/>
  <c r="C55" i="68"/>
  <c r="D55" i="68"/>
  <c r="D140" i="68" s="1"/>
  <c r="B56" i="68"/>
  <c r="B226" i="68" s="1"/>
  <c r="C56" i="68"/>
  <c r="D56" i="68"/>
  <c r="D226" i="68" s="1"/>
  <c r="B44" i="66"/>
  <c r="C44" i="66"/>
  <c r="C129" i="66" s="1"/>
  <c r="D44" i="66"/>
  <c r="D214" i="66" s="1"/>
  <c r="B45" i="66"/>
  <c r="C45" i="66"/>
  <c r="C215" i="66" s="1"/>
  <c r="D45" i="66"/>
  <c r="D130" i="66" s="1"/>
  <c r="B46" i="66"/>
  <c r="P46" i="66" s="1"/>
  <c r="C46" i="66"/>
  <c r="C131" i="66" s="1"/>
  <c r="D46" i="66"/>
  <c r="D131" i="66" s="1"/>
  <c r="B47" i="66"/>
  <c r="C47" i="66"/>
  <c r="C132" i="66" s="1"/>
  <c r="D47" i="66"/>
  <c r="B48" i="66"/>
  <c r="C48" i="66"/>
  <c r="D48" i="66"/>
  <c r="B51" i="66"/>
  <c r="C51" i="66"/>
  <c r="D51" i="66"/>
  <c r="B52" i="66"/>
  <c r="C52" i="66"/>
  <c r="D52" i="66"/>
  <c r="B53" i="66"/>
  <c r="C53" i="66"/>
  <c r="C223" i="66" s="1"/>
  <c r="D53" i="66"/>
  <c r="D223" i="66" s="1"/>
  <c r="B54" i="66"/>
  <c r="C54" i="66"/>
  <c r="C224" i="66" s="1"/>
  <c r="D54" i="66"/>
  <c r="B55" i="66"/>
  <c r="C55" i="66"/>
  <c r="D55" i="66"/>
  <c r="D225" i="66" s="1"/>
  <c r="B56" i="66"/>
  <c r="P56" i="66" s="1"/>
  <c r="C56" i="66"/>
  <c r="D56" i="66"/>
  <c r="B30" i="91"/>
  <c r="B581" i="96"/>
  <c r="B587" i="96" s="1"/>
  <c r="B643" i="96"/>
  <c r="B632" i="96"/>
  <c r="C25" i="91"/>
  <c r="C26" i="91"/>
  <c r="C218" i="91" s="1"/>
  <c r="C24" i="91"/>
  <c r="B148" i="96"/>
  <c r="P96" i="91"/>
  <c r="P95" i="91"/>
  <c r="P94" i="91"/>
  <c r="P93" i="91"/>
  <c r="P92" i="91"/>
  <c r="P91" i="91"/>
  <c r="B24" i="91"/>
  <c r="B110" i="87" s="1"/>
  <c r="D191" i="91"/>
  <c r="C191" i="91"/>
  <c r="B191" i="91"/>
  <c r="D190" i="91"/>
  <c r="C190" i="91"/>
  <c r="B190" i="91"/>
  <c r="D189" i="91"/>
  <c r="C189" i="91"/>
  <c r="B189" i="91"/>
  <c r="D188" i="91"/>
  <c r="C188" i="91"/>
  <c r="B188" i="91"/>
  <c r="B392" i="96"/>
  <c r="B393" i="96"/>
  <c r="B394" i="96"/>
  <c r="B395" i="96"/>
  <c r="B396" i="96"/>
  <c r="B384" i="96"/>
  <c r="B385" i="96"/>
  <c r="B386" i="96"/>
  <c r="B387" i="96"/>
  <c r="B388" i="96"/>
  <c r="B214" i="70"/>
  <c r="B213" i="70"/>
  <c r="B212" i="70"/>
  <c r="B211" i="70"/>
  <c r="B172" i="70"/>
  <c r="B171" i="70"/>
  <c r="B170" i="70"/>
  <c r="B169" i="70"/>
  <c r="B130" i="70"/>
  <c r="B129" i="70"/>
  <c r="B128" i="70"/>
  <c r="B127" i="70"/>
  <c r="C60" i="91"/>
  <c r="D60" i="91"/>
  <c r="B62" i="69"/>
  <c r="B232" i="69" s="1"/>
  <c r="C62" i="69"/>
  <c r="C147" i="69" s="1"/>
  <c r="D62" i="69"/>
  <c r="B62" i="68"/>
  <c r="B147" i="68" s="1"/>
  <c r="C62" i="68"/>
  <c r="C147" i="68" s="1"/>
  <c r="D62" i="68"/>
  <c r="D147" i="68" s="1"/>
  <c r="B62" i="66"/>
  <c r="C62" i="66"/>
  <c r="D62" i="66"/>
  <c r="D147" i="66" s="1"/>
  <c r="B69" i="69"/>
  <c r="B239" i="69" s="1"/>
  <c r="C69" i="69"/>
  <c r="C154" i="69" s="1"/>
  <c r="D69" i="69"/>
  <c r="D154" i="69" s="1"/>
  <c r="B69" i="68"/>
  <c r="C69" i="68"/>
  <c r="D69" i="68"/>
  <c r="B69" i="66"/>
  <c r="C69" i="66"/>
  <c r="C154" i="66" s="1"/>
  <c r="D69" i="66"/>
  <c r="B27" i="91"/>
  <c r="B123" i="91" s="1"/>
  <c r="B28" i="91"/>
  <c r="B29" i="91"/>
  <c r="B125" i="91" s="1"/>
  <c r="B31" i="91"/>
  <c r="B117" i="87" s="1"/>
  <c r="B32" i="91"/>
  <c r="B224" i="91" s="1"/>
  <c r="B33" i="91"/>
  <c r="B34" i="91"/>
  <c r="B35" i="91"/>
  <c r="B124" i="87"/>
  <c r="B60" i="91"/>
  <c r="B25" i="91"/>
  <c r="B26" i="91"/>
  <c r="B218" i="91" s="1"/>
  <c r="B14" i="91"/>
  <c r="B15" i="91"/>
  <c r="B101" i="87" s="1"/>
  <c r="B16" i="91"/>
  <c r="B17" i="91"/>
  <c r="B209" i="91" s="1"/>
  <c r="B18" i="91"/>
  <c r="B210" i="91" s="1"/>
  <c r="B19" i="91"/>
  <c r="B211" i="91" s="1"/>
  <c r="B20" i="91"/>
  <c r="B116" i="91" s="1"/>
  <c r="B21" i="91"/>
  <c r="B213" i="91" s="1"/>
  <c r="B22" i="91"/>
  <c r="B109" i="87"/>
  <c r="B9" i="91"/>
  <c r="B105" i="91" s="1"/>
  <c r="B10" i="91"/>
  <c r="B96" i="87" s="1"/>
  <c r="B11" i="91"/>
  <c r="B203" i="91" s="1"/>
  <c r="B12" i="91"/>
  <c r="B204" i="91" s="1"/>
  <c r="P31" i="76"/>
  <c r="C9" i="91"/>
  <c r="D9" i="91"/>
  <c r="C10" i="91"/>
  <c r="C202" i="91" s="1"/>
  <c r="D10" i="91"/>
  <c r="D106" i="91" s="1"/>
  <c r="C11" i="91"/>
  <c r="C107" i="91" s="1"/>
  <c r="D11" i="91"/>
  <c r="C12" i="91"/>
  <c r="C108" i="91" s="1"/>
  <c r="D12" i="91"/>
  <c r="C14" i="91"/>
  <c r="C206" i="91" s="1"/>
  <c r="D14" i="91"/>
  <c r="C15" i="91"/>
  <c r="C111" i="91" s="1"/>
  <c r="D15" i="91"/>
  <c r="D207" i="91" s="1"/>
  <c r="C16" i="91"/>
  <c r="D16" i="91"/>
  <c r="C17" i="91"/>
  <c r="C113" i="91" s="1"/>
  <c r="D17" i="91"/>
  <c r="C18" i="91"/>
  <c r="C114" i="91" s="1"/>
  <c r="D18" i="91"/>
  <c r="C19" i="91"/>
  <c r="C211" i="91" s="1"/>
  <c r="D19" i="91"/>
  <c r="D211" i="91" s="1"/>
  <c r="C20" i="91"/>
  <c r="C212" i="91" s="1"/>
  <c r="D20" i="91"/>
  <c r="D212" i="91" s="1"/>
  <c r="C21" i="91"/>
  <c r="D21" i="91"/>
  <c r="C22" i="91"/>
  <c r="C214" i="91" s="1"/>
  <c r="D22" i="91"/>
  <c r="D24" i="91"/>
  <c r="D216" i="91" s="1"/>
  <c r="D25" i="91"/>
  <c r="D26" i="91"/>
  <c r="D218" i="91" s="1"/>
  <c r="C27" i="91"/>
  <c r="D27" i="91"/>
  <c r="C28" i="91"/>
  <c r="D28" i="91"/>
  <c r="D220" i="91" s="1"/>
  <c r="C29" i="91"/>
  <c r="C221" i="91" s="1"/>
  <c r="D29" i="91"/>
  <c r="D115" i="87" s="1"/>
  <c r="C31" i="91"/>
  <c r="D31" i="91"/>
  <c r="D223" i="91" s="1"/>
  <c r="C32" i="91"/>
  <c r="C118" i="87" s="1"/>
  <c r="D32" i="91"/>
  <c r="D128" i="91" s="1"/>
  <c r="C33" i="91"/>
  <c r="D33" i="91"/>
  <c r="D129" i="91" s="1"/>
  <c r="C34" i="91"/>
  <c r="C120" i="87" s="1"/>
  <c r="D34" i="91"/>
  <c r="D226" i="91" s="1"/>
  <c r="C35" i="91"/>
  <c r="C121" i="87" s="1"/>
  <c r="D35" i="91"/>
  <c r="D121" i="87" s="1"/>
  <c r="B13" i="69"/>
  <c r="C13" i="69"/>
  <c r="D13" i="69"/>
  <c r="D183" i="69" s="1"/>
  <c r="B13" i="68"/>
  <c r="C13" i="68"/>
  <c r="D13" i="68"/>
  <c r="D183" i="68" s="1"/>
  <c r="B13" i="66"/>
  <c r="C13" i="66"/>
  <c r="C183" i="66" s="1"/>
  <c r="D13" i="66"/>
  <c r="D183" i="66" s="1"/>
  <c r="B23" i="69"/>
  <c r="B108" i="69" s="1"/>
  <c r="C23" i="69"/>
  <c r="C193" i="69" s="1"/>
  <c r="D23" i="69"/>
  <c r="D108" i="69" s="1"/>
  <c r="B23" i="68"/>
  <c r="B108" i="68" s="1"/>
  <c r="C23" i="68"/>
  <c r="C108" i="68" s="1"/>
  <c r="D23" i="68"/>
  <c r="D108" i="68" s="1"/>
  <c r="B23" i="66"/>
  <c r="C23" i="66"/>
  <c r="C108" i="66" s="1"/>
  <c r="D23" i="66"/>
  <c r="D193" i="66" s="1"/>
  <c r="B3" i="71"/>
  <c r="B2" i="71"/>
  <c r="B147" i="96"/>
  <c r="B3" i="96"/>
  <c r="B2" i="96"/>
  <c r="B501" i="96"/>
  <c r="B397" i="96"/>
  <c r="B389" i="96"/>
  <c r="K99" i="87"/>
  <c r="L99" i="87"/>
  <c r="M99" i="87"/>
  <c r="N99" i="87"/>
  <c r="O99" i="87"/>
  <c r="P99" i="87"/>
  <c r="Q99" i="87"/>
  <c r="R99" i="87"/>
  <c r="S99" i="87"/>
  <c r="C116" i="87"/>
  <c r="D116" i="87"/>
  <c r="B25" i="69"/>
  <c r="B110" i="69" s="1"/>
  <c r="C25" i="69"/>
  <c r="C195" i="69" s="1"/>
  <c r="D25" i="69"/>
  <c r="D195" i="69" s="1"/>
  <c r="B26" i="69"/>
  <c r="B196" i="69" s="1"/>
  <c r="C26" i="69"/>
  <c r="C196" i="69" s="1"/>
  <c r="D26" i="69"/>
  <c r="D111" i="69" s="1"/>
  <c r="B24" i="69"/>
  <c r="B194" i="69" s="1"/>
  <c r="C24" i="69"/>
  <c r="C194" i="69" s="1"/>
  <c r="D24" i="69"/>
  <c r="B16" i="69"/>
  <c r="C16" i="69"/>
  <c r="C186" i="69" s="1"/>
  <c r="D16" i="69"/>
  <c r="D186" i="69" s="1"/>
  <c r="B17" i="69"/>
  <c r="C17" i="69"/>
  <c r="C187" i="69" s="1"/>
  <c r="D17" i="69"/>
  <c r="D187" i="69" s="1"/>
  <c r="B18" i="69"/>
  <c r="B103" i="69" s="1"/>
  <c r="C18" i="69"/>
  <c r="D18" i="69"/>
  <c r="B19" i="69"/>
  <c r="B189" i="69" s="1"/>
  <c r="C19" i="69"/>
  <c r="C189" i="69" s="1"/>
  <c r="D19" i="69"/>
  <c r="D189" i="69" s="1"/>
  <c r="B20" i="69"/>
  <c r="B190" i="69" s="1"/>
  <c r="C20" i="69"/>
  <c r="C190" i="69" s="1"/>
  <c r="D20" i="69"/>
  <c r="D190" i="69" s="1"/>
  <c r="B21" i="69"/>
  <c r="C21" i="69"/>
  <c r="D21" i="69"/>
  <c r="B22" i="69"/>
  <c r="B192" i="69" s="1"/>
  <c r="C22" i="69"/>
  <c r="C107" i="69" s="1"/>
  <c r="D22" i="69"/>
  <c r="D192" i="69" s="1"/>
  <c r="B19" i="68"/>
  <c r="B189" i="68" s="1"/>
  <c r="C19" i="68"/>
  <c r="D19" i="68"/>
  <c r="B20" i="68"/>
  <c r="B105" i="68" s="1"/>
  <c r="C20" i="68"/>
  <c r="C190" i="68" s="1"/>
  <c r="D20" i="68"/>
  <c r="B21" i="68"/>
  <c r="C21" i="68"/>
  <c r="C191" i="68" s="1"/>
  <c r="D21" i="68"/>
  <c r="B22" i="68"/>
  <c r="C22" i="68"/>
  <c r="C107" i="68" s="1"/>
  <c r="D22" i="68"/>
  <c r="D107" i="68" s="1"/>
  <c r="I119" i="91"/>
  <c r="J119" i="91"/>
  <c r="K119" i="91"/>
  <c r="L119" i="91"/>
  <c r="M119" i="91"/>
  <c r="B119" i="91"/>
  <c r="C119" i="91"/>
  <c r="D119" i="91"/>
  <c r="E109" i="91"/>
  <c r="E98" i="66" s="1"/>
  <c r="E183" i="66" s="1"/>
  <c r="B109" i="91"/>
  <c r="C109" i="91"/>
  <c r="D109" i="91"/>
  <c r="B215" i="91"/>
  <c r="C215" i="91"/>
  <c r="D215" i="91"/>
  <c r="B205" i="91"/>
  <c r="C205" i="91"/>
  <c r="D205" i="91"/>
  <c r="D222" i="91"/>
  <c r="C222" i="91"/>
  <c r="D200" i="91"/>
  <c r="C200" i="91"/>
  <c r="B200" i="91"/>
  <c r="H193" i="91"/>
  <c r="G193" i="91"/>
  <c r="F193" i="91"/>
  <c r="E193" i="91"/>
  <c r="D126" i="91"/>
  <c r="C126" i="91"/>
  <c r="D104" i="91"/>
  <c r="C104" i="91"/>
  <c r="B104" i="91"/>
  <c r="B3" i="91"/>
  <c r="B2" i="91"/>
  <c r="B34" i="69"/>
  <c r="B204" i="69" s="1"/>
  <c r="C34" i="69"/>
  <c r="C119" i="69" s="1"/>
  <c r="D34" i="69"/>
  <c r="D119" i="69" s="1"/>
  <c r="B35" i="69"/>
  <c r="C35" i="69"/>
  <c r="C205" i="69" s="1"/>
  <c r="D35" i="69"/>
  <c r="D205" i="69" s="1"/>
  <c r="B33" i="69"/>
  <c r="C33" i="69"/>
  <c r="C203" i="69" s="1"/>
  <c r="D33" i="69"/>
  <c r="B32" i="69"/>
  <c r="C32" i="69"/>
  <c r="C202" i="69" s="1"/>
  <c r="D32" i="69"/>
  <c r="B115" i="69"/>
  <c r="C115" i="69"/>
  <c r="D115" i="69"/>
  <c r="B31" i="69"/>
  <c r="B116" i="69" s="1"/>
  <c r="C31" i="69"/>
  <c r="D31" i="69"/>
  <c r="D116" i="69" s="1"/>
  <c r="B115" i="66"/>
  <c r="C115" i="66"/>
  <c r="D115" i="66"/>
  <c r="B38" i="69"/>
  <c r="B208" i="69" s="1"/>
  <c r="C38" i="69"/>
  <c r="D38" i="69"/>
  <c r="D208" i="69" s="1"/>
  <c r="B38" i="66"/>
  <c r="C38" i="66"/>
  <c r="D38" i="66"/>
  <c r="B19" i="66"/>
  <c r="C19" i="66"/>
  <c r="C189" i="66" s="1"/>
  <c r="D19" i="66"/>
  <c r="B20" i="66"/>
  <c r="C20" i="66"/>
  <c r="C190" i="66" s="1"/>
  <c r="D20" i="66"/>
  <c r="D105" i="66" s="1"/>
  <c r="B21" i="66"/>
  <c r="P21" i="66" s="1"/>
  <c r="C21" i="66"/>
  <c r="D21" i="66"/>
  <c r="D106" i="66" s="1"/>
  <c r="B37" i="68"/>
  <c r="B207" i="68" s="1"/>
  <c r="C37" i="68"/>
  <c r="C207" i="68" s="1"/>
  <c r="D37" i="68"/>
  <c r="B37" i="66"/>
  <c r="C37" i="66"/>
  <c r="C207" i="66" s="1"/>
  <c r="D37" i="66"/>
  <c r="D207" i="66" s="1"/>
  <c r="B37" i="69"/>
  <c r="B207" i="69" s="1"/>
  <c r="C37" i="69"/>
  <c r="C207" i="69" s="1"/>
  <c r="D37" i="69"/>
  <c r="D207" i="69" s="1"/>
  <c r="B31" i="68"/>
  <c r="C31" i="68"/>
  <c r="D31" i="68"/>
  <c r="B31" i="66"/>
  <c r="C31" i="66"/>
  <c r="C201" i="66" s="1"/>
  <c r="D31" i="66"/>
  <c r="B28" i="68"/>
  <c r="B113" i="68" s="1"/>
  <c r="C28" i="68"/>
  <c r="C113" i="68" s="1"/>
  <c r="D28" i="68"/>
  <c r="B28" i="66"/>
  <c r="C28" i="66"/>
  <c r="C113" i="66" s="1"/>
  <c r="D28" i="66"/>
  <c r="D113" i="66" s="1"/>
  <c r="B28" i="69"/>
  <c r="B198" i="69" s="1"/>
  <c r="C28" i="69"/>
  <c r="C113" i="69" s="1"/>
  <c r="D28" i="69"/>
  <c r="D198" i="69" s="1"/>
  <c r="B26" i="66"/>
  <c r="C26" i="66"/>
  <c r="D26" i="66"/>
  <c r="D196" i="66" s="1"/>
  <c r="B26" i="68"/>
  <c r="B111" i="68" s="1"/>
  <c r="C26" i="68"/>
  <c r="D26" i="68"/>
  <c r="D196" i="68" s="1"/>
  <c r="B27" i="69"/>
  <c r="B197" i="69" s="1"/>
  <c r="C27" i="69"/>
  <c r="C112" i="69" s="1"/>
  <c r="D27" i="69"/>
  <c r="D112" i="69" s="1"/>
  <c r="B3" i="87"/>
  <c r="B2" i="87"/>
  <c r="A61" i="33"/>
  <c r="A59" i="33"/>
  <c r="A56" i="33"/>
  <c r="A55" i="33"/>
  <c r="B3" i="69"/>
  <c r="B3" i="68"/>
  <c r="B3" i="66"/>
  <c r="B3" i="76"/>
  <c r="B3" i="70"/>
  <c r="B3" i="33"/>
  <c r="B3" i="10"/>
  <c r="D68" i="69"/>
  <c r="D238" i="69" s="1"/>
  <c r="C68" i="69"/>
  <c r="C153" i="69" s="1"/>
  <c r="B68" i="69"/>
  <c r="B238" i="69" s="1"/>
  <c r="D65" i="69"/>
  <c r="D235" i="69" s="1"/>
  <c r="C65" i="69"/>
  <c r="B65" i="69"/>
  <c r="B150" i="69" s="1"/>
  <c r="D60" i="69"/>
  <c r="C60" i="69"/>
  <c r="C230" i="69" s="1"/>
  <c r="B60" i="69"/>
  <c r="D36" i="69"/>
  <c r="C36" i="69"/>
  <c r="C121" i="69" s="1"/>
  <c r="B36" i="69"/>
  <c r="D68" i="68"/>
  <c r="C68" i="68"/>
  <c r="C153" i="68" s="1"/>
  <c r="B68" i="68"/>
  <c r="B238" i="68" s="1"/>
  <c r="D65" i="68"/>
  <c r="D150" i="68" s="1"/>
  <c r="C65" i="68"/>
  <c r="B65" i="68"/>
  <c r="B235" i="68" s="1"/>
  <c r="D60" i="68"/>
  <c r="D230" i="68" s="1"/>
  <c r="C60" i="68"/>
  <c r="B60" i="68"/>
  <c r="D38" i="68"/>
  <c r="D208" i="68" s="1"/>
  <c r="C38" i="68"/>
  <c r="C123" i="68" s="1"/>
  <c r="B38" i="68"/>
  <c r="B123" i="68" s="1"/>
  <c r="D36" i="68"/>
  <c r="D121" i="68" s="1"/>
  <c r="C36" i="68"/>
  <c r="C206" i="68" s="1"/>
  <c r="B36" i="68"/>
  <c r="B121" i="68" s="1"/>
  <c r="D68" i="66"/>
  <c r="C68" i="66"/>
  <c r="C238" i="66" s="1"/>
  <c r="B68" i="66"/>
  <c r="P68" i="66" s="1"/>
  <c r="D65" i="66"/>
  <c r="D150" i="66" s="1"/>
  <c r="C65" i="66"/>
  <c r="C235" i="66" s="1"/>
  <c r="B65" i="66"/>
  <c r="D60" i="66"/>
  <c r="C60" i="66"/>
  <c r="C145" i="66" s="1"/>
  <c r="B60" i="66"/>
  <c r="D36" i="66"/>
  <c r="D206" i="66" s="1"/>
  <c r="C36" i="66"/>
  <c r="C121" i="66" s="1"/>
  <c r="B36" i="66"/>
  <c r="B178" i="69"/>
  <c r="C178" i="69"/>
  <c r="D178" i="69"/>
  <c r="B93" i="69"/>
  <c r="C93" i="69"/>
  <c r="D93" i="69"/>
  <c r="B8" i="69"/>
  <c r="C8" i="69"/>
  <c r="D8" i="69"/>
  <c r="B178" i="68"/>
  <c r="C178" i="68"/>
  <c r="D178" i="68"/>
  <c r="B93" i="68"/>
  <c r="C93" i="68"/>
  <c r="D93" i="68"/>
  <c r="B178" i="66"/>
  <c r="C178" i="66"/>
  <c r="D178" i="66"/>
  <c r="B93" i="66"/>
  <c r="C93" i="66"/>
  <c r="D93" i="66"/>
  <c r="B2" i="76"/>
  <c r="B66" i="68"/>
  <c r="B236" i="68" s="1"/>
  <c r="C66" i="68"/>
  <c r="D66" i="68"/>
  <c r="D151" i="68" s="1"/>
  <c r="B67" i="68"/>
  <c r="C67" i="68"/>
  <c r="C237" i="68" s="1"/>
  <c r="D67" i="68"/>
  <c r="B70" i="68"/>
  <c r="C70" i="68"/>
  <c r="C240" i="68" s="1"/>
  <c r="D70" i="68"/>
  <c r="B66" i="69"/>
  <c r="C66" i="69"/>
  <c r="C236" i="69" s="1"/>
  <c r="D66" i="69"/>
  <c r="D236" i="69" s="1"/>
  <c r="B67" i="69"/>
  <c r="C67" i="69"/>
  <c r="D67" i="69"/>
  <c r="D152" i="69" s="1"/>
  <c r="B70" i="69"/>
  <c r="B240" i="69" s="1"/>
  <c r="C70" i="69"/>
  <c r="D70" i="69"/>
  <c r="D155" i="69" s="1"/>
  <c r="B66" i="66"/>
  <c r="P66" i="66" s="1"/>
  <c r="C66" i="66"/>
  <c r="C236" i="66" s="1"/>
  <c r="D66" i="66"/>
  <c r="B67" i="66"/>
  <c r="C67" i="66"/>
  <c r="C152" i="66" s="1"/>
  <c r="D67" i="66"/>
  <c r="D152" i="66" s="1"/>
  <c r="B70" i="66"/>
  <c r="C70" i="66"/>
  <c r="D70" i="66"/>
  <c r="B27" i="68"/>
  <c r="B112" i="68" s="1"/>
  <c r="C27" i="68"/>
  <c r="D27" i="68"/>
  <c r="D112" i="68" s="1"/>
  <c r="B27" i="66"/>
  <c r="C27" i="66"/>
  <c r="C197" i="66" s="1"/>
  <c r="D27" i="66"/>
  <c r="D112" i="66" s="1"/>
  <c r="B24" i="68"/>
  <c r="B109" i="68" s="1"/>
  <c r="C24" i="68"/>
  <c r="D24" i="68"/>
  <c r="D109" i="68" s="1"/>
  <c r="B25" i="68"/>
  <c r="B195" i="68" s="1"/>
  <c r="C25" i="68"/>
  <c r="C195" i="68" s="1"/>
  <c r="D25" i="68"/>
  <c r="B24" i="66"/>
  <c r="C24" i="66"/>
  <c r="D24" i="66"/>
  <c r="D109" i="66" s="1"/>
  <c r="B25" i="66"/>
  <c r="C25" i="66"/>
  <c r="C110" i="66" s="1"/>
  <c r="D25" i="66"/>
  <c r="B42" i="71"/>
  <c r="B41" i="71"/>
  <c r="B40" i="71"/>
  <c r="D30" i="71"/>
  <c r="D39" i="71" s="1"/>
  <c r="D28" i="71"/>
  <c r="D31" i="71" s="1"/>
  <c r="D29" i="71"/>
  <c r="D38" i="71" s="1"/>
  <c r="B41" i="70"/>
  <c r="B42" i="70"/>
  <c r="B43" i="70"/>
  <c r="B253" i="70"/>
  <c r="B254" i="70"/>
  <c r="B255" i="70"/>
  <c r="B283" i="70"/>
  <c r="B291" i="70" s="1"/>
  <c r="B282" i="70"/>
  <c r="B44" i="70"/>
  <c r="B2" i="70"/>
  <c r="D200" i="69"/>
  <c r="C200" i="69"/>
  <c r="B200" i="69"/>
  <c r="D59" i="69"/>
  <c r="C59" i="69"/>
  <c r="C144" i="69" s="1"/>
  <c r="B59" i="69"/>
  <c r="B229" i="69" s="1"/>
  <c r="D43" i="69"/>
  <c r="D128" i="69" s="1"/>
  <c r="C43" i="69"/>
  <c r="C128" i="69" s="1"/>
  <c r="B43" i="69"/>
  <c r="B128" i="69" s="1"/>
  <c r="D42" i="69"/>
  <c r="D212" i="69" s="1"/>
  <c r="C42" i="69"/>
  <c r="B42" i="69"/>
  <c r="B127" i="69" s="1"/>
  <c r="D41" i="69"/>
  <c r="D211" i="69" s="1"/>
  <c r="C41" i="69"/>
  <c r="C126" i="69" s="1"/>
  <c r="B41" i="69"/>
  <c r="B126" i="69" s="1"/>
  <c r="D29" i="69"/>
  <c r="D114" i="69" s="1"/>
  <c r="C29" i="69"/>
  <c r="C199" i="69" s="1"/>
  <c r="B29" i="69"/>
  <c r="B199" i="69" s="1"/>
  <c r="D15" i="69"/>
  <c r="C15" i="69"/>
  <c r="C185" i="69" s="1"/>
  <c r="B15" i="69"/>
  <c r="B185" i="69" s="1"/>
  <c r="D14" i="69"/>
  <c r="D184" i="69" s="1"/>
  <c r="C14" i="69"/>
  <c r="C99" i="69" s="1"/>
  <c r="B14" i="69"/>
  <c r="B99" i="69" s="1"/>
  <c r="D12" i="69"/>
  <c r="D182" i="69" s="1"/>
  <c r="C12" i="69"/>
  <c r="B12" i="69"/>
  <c r="B97" i="69" s="1"/>
  <c r="D11" i="69"/>
  <c r="C11" i="69"/>
  <c r="C181" i="69" s="1"/>
  <c r="B11" i="69"/>
  <c r="B96" i="69" s="1"/>
  <c r="D10" i="69"/>
  <c r="C10" i="69"/>
  <c r="C180" i="69" s="1"/>
  <c r="B10" i="69"/>
  <c r="B180" i="69" s="1"/>
  <c r="D9" i="69"/>
  <c r="D179" i="69" s="1"/>
  <c r="C9" i="69"/>
  <c r="B9" i="69"/>
  <c r="B94" i="69" s="1"/>
  <c r="B2" i="69"/>
  <c r="D200" i="68"/>
  <c r="C200" i="68"/>
  <c r="B200" i="68"/>
  <c r="D115" i="68"/>
  <c r="C115" i="68"/>
  <c r="B115" i="68"/>
  <c r="D59" i="68"/>
  <c r="D144" i="68" s="1"/>
  <c r="C59" i="68"/>
  <c r="C229" i="68" s="1"/>
  <c r="B59" i="68"/>
  <c r="B144" i="68" s="1"/>
  <c r="D43" i="68"/>
  <c r="D128" i="68" s="1"/>
  <c r="C43" i="68"/>
  <c r="C213" i="68" s="1"/>
  <c r="B43" i="68"/>
  <c r="B213" i="68" s="1"/>
  <c r="D42" i="68"/>
  <c r="D212" i="68" s="1"/>
  <c r="C42" i="68"/>
  <c r="C212" i="68" s="1"/>
  <c r="B42" i="68"/>
  <c r="B127" i="68" s="1"/>
  <c r="D41" i="68"/>
  <c r="D126" i="68" s="1"/>
  <c r="C41" i="68"/>
  <c r="C126" i="68" s="1"/>
  <c r="B41" i="68"/>
  <c r="D35" i="68"/>
  <c r="D120" i="68" s="1"/>
  <c r="C35" i="68"/>
  <c r="C205" i="68" s="1"/>
  <c r="B35" i="68"/>
  <c r="B205" i="68" s="1"/>
  <c r="D34" i="68"/>
  <c r="D119" i="68" s="1"/>
  <c r="C34" i="68"/>
  <c r="C119" i="68" s="1"/>
  <c r="B34" i="68"/>
  <c r="B119" i="68" s="1"/>
  <c r="D33" i="68"/>
  <c r="D203" i="68" s="1"/>
  <c r="C33" i="68"/>
  <c r="B33" i="68"/>
  <c r="D32" i="68"/>
  <c r="D202" i="68" s="1"/>
  <c r="C32" i="68"/>
  <c r="C117" i="68" s="1"/>
  <c r="B32" i="68"/>
  <c r="B117" i="68" s="1"/>
  <c r="D29" i="68"/>
  <c r="C29" i="68"/>
  <c r="B29" i="68"/>
  <c r="B199" i="68" s="1"/>
  <c r="D18" i="68"/>
  <c r="C18" i="68"/>
  <c r="C188" i="68" s="1"/>
  <c r="B18" i="68"/>
  <c r="B103" i="68" s="1"/>
  <c r="D17" i="68"/>
  <c r="D102" i="68" s="1"/>
  <c r="C17" i="68"/>
  <c r="B17" i="68"/>
  <c r="B187" i="68" s="1"/>
  <c r="D16" i="68"/>
  <c r="C16" i="68"/>
  <c r="C101" i="68" s="1"/>
  <c r="B16" i="68"/>
  <c r="D15" i="68"/>
  <c r="D185" i="68" s="1"/>
  <c r="C15" i="68"/>
  <c r="C185" i="68" s="1"/>
  <c r="B15" i="68"/>
  <c r="B185" i="68" s="1"/>
  <c r="D14" i="68"/>
  <c r="C14" i="68"/>
  <c r="C184" i="68" s="1"/>
  <c r="B14" i="68"/>
  <c r="D12" i="68"/>
  <c r="D97" i="68" s="1"/>
  <c r="C12" i="68"/>
  <c r="B12" i="68"/>
  <c r="B182" i="68" s="1"/>
  <c r="D11" i="68"/>
  <c r="C11" i="68"/>
  <c r="C181" i="68" s="1"/>
  <c r="B11" i="68"/>
  <c r="B96" i="68" s="1"/>
  <c r="D10" i="68"/>
  <c r="D180" i="68" s="1"/>
  <c r="C10" i="68"/>
  <c r="C95" i="68" s="1"/>
  <c r="B10" i="68"/>
  <c r="D9" i="68"/>
  <c r="C9" i="68"/>
  <c r="B9" i="68"/>
  <c r="B179" i="68" s="1"/>
  <c r="B2" i="68"/>
  <c r="D200" i="66"/>
  <c r="C200" i="66"/>
  <c r="B200" i="66"/>
  <c r="D59" i="66"/>
  <c r="D144" i="66" s="1"/>
  <c r="C59" i="66"/>
  <c r="B59" i="66"/>
  <c r="D43" i="66"/>
  <c r="D213" i="66" s="1"/>
  <c r="C43" i="66"/>
  <c r="C128" i="66" s="1"/>
  <c r="B43" i="66"/>
  <c r="D42" i="66"/>
  <c r="D212" i="66" s="1"/>
  <c r="C42" i="66"/>
  <c r="C212" i="66" s="1"/>
  <c r="B42" i="66"/>
  <c r="D41" i="66"/>
  <c r="C41" i="66"/>
  <c r="B41" i="66"/>
  <c r="D35" i="66"/>
  <c r="D205" i="66" s="1"/>
  <c r="C35" i="66"/>
  <c r="B35" i="66"/>
  <c r="D34" i="66"/>
  <c r="C34" i="66"/>
  <c r="C119" i="66" s="1"/>
  <c r="B34" i="66"/>
  <c r="D33" i="66"/>
  <c r="D203" i="66" s="1"/>
  <c r="C33" i="66"/>
  <c r="C203" i="66" s="1"/>
  <c r="B33" i="66"/>
  <c r="D32" i="66"/>
  <c r="D202" i="66" s="1"/>
  <c r="C32" i="66"/>
  <c r="C117" i="66" s="1"/>
  <c r="B32" i="66"/>
  <c r="D29" i="66"/>
  <c r="C29" i="66"/>
  <c r="B29" i="66"/>
  <c r="D22" i="66"/>
  <c r="D192" i="66" s="1"/>
  <c r="C22" i="66"/>
  <c r="C192" i="66" s="1"/>
  <c r="B22" i="66"/>
  <c r="D18" i="66"/>
  <c r="C18" i="66"/>
  <c r="C188" i="66" s="1"/>
  <c r="B18" i="66"/>
  <c r="D17" i="66"/>
  <c r="C17" i="66"/>
  <c r="C102" i="66" s="1"/>
  <c r="B17" i="66"/>
  <c r="D16" i="66"/>
  <c r="D101" i="66" s="1"/>
  <c r="C16" i="66"/>
  <c r="B16" i="66"/>
  <c r="D15" i="66"/>
  <c r="C15" i="66"/>
  <c r="C185" i="66" s="1"/>
  <c r="B15" i="66"/>
  <c r="D14" i="66"/>
  <c r="C14" i="66"/>
  <c r="C184" i="66" s="1"/>
  <c r="B14" i="66"/>
  <c r="D12" i="66"/>
  <c r="C12" i="66"/>
  <c r="C182" i="66" s="1"/>
  <c r="B12" i="66"/>
  <c r="D11" i="66"/>
  <c r="D96" i="66" s="1"/>
  <c r="C11" i="66"/>
  <c r="B11" i="66"/>
  <c r="D10" i="66"/>
  <c r="D180" i="66" s="1"/>
  <c r="C10" i="66"/>
  <c r="C180" i="66" s="1"/>
  <c r="B10" i="66"/>
  <c r="D9" i="66"/>
  <c r="D179" i="66" s="1"/>
  <c r="C9" i="66"/>
  <c r="C179" i="66" s="1"/>
  <c r="B9" i="66"/>
  <c r="B2" i="66"/>
  <c r="B2" i="33"/>
  <c r="B2" i="10"/>
  <c r="E641" i="96"/>
  <c r="M113" i="87"/>
  <c r="E640" i="96"/>
  <c r="C236" i="91"/>
  <c r="D210" i="96"/>
  <c r="M114" i="87"/>
  <c r="N132" i="87"/>
  <c r="E497" i="96"/>
  <c r="C131" i="68"/>
  <c r="D220" i="69"/>
  <c r="C224" i="91"/>
  <c r="D137" i="87"/>
  <c r="D147" i="91"/>
  <c r="D220" i="66"/>
  <c r="C136" i="87"/>
  <c r="B190" i="68"/>
  <c r="D129" i="66"/>
  <c r="B216" i="66"/>
  <c r="B131" i="66"/>
  <c r="D223" i="68"/>
  <c r="L112" i="87"/>
  <c r="O132" i="87"/>
  <c r="M116" i="87"/>
  <c r="M102" i="87"/>
  <c r="L135" i="87"/>
  <c r="L136" i="87"/>
  <c r="B209" i="66"/>
  <c r="D219" i="66"/>
  <c r="D156" i="91"/>
  <c r="D232" i="68"/>
  <c r="M135" i="87"/>
  <c r="E490" i="96"/>
  <c r="N135" i="87"/>
  <c r="B243" i="66"/>
  <c r="B220" i="68"/>
  <c r="E395" i="96"/>
  <c r="E396" i="96"/>
  <c r="D239" i="68"/>
  <c r="D154" i="68"/>
  <c r="C239" i="69"/>
  <c r="C219" i="69"/>
  <c r="C134" i="69"/>
  <c r="C209" i="68"/>
  <c r="B145" i="87"/>
  <c r="B155" i="91"/>
  <c r="B133" i="87"/>
  <c r="B210" i="68"/>
  <c r="D210" i="68"/>
  <c r="E114" i="91"/>
  <c r="G393" i="96"/>
  <c r="O128" i="87"/>
  <c r="F209" i="68"/>
  <c r="E152" i="91"/>
  <c r="C463" i="96"/>
  <c r="M104" i="87"/>
  <c r="M133" i="87"/>
  <c r="M117" i="87"/>
  <c r="M121" i="87"/>
  <c r="B145" i="91"/>
  <c r="D242" i="69"/>
  <c r="C168" i="91"/>
  <c r="M126" i="87"/>
  <c r="B125" i="66"/>
  <c r="E496" i="96"/>
  <c r="H393" i="96"/>
  <c r="E281" i="96"/>
  <c r="M107" i="87"/>
  <c r="M140" i="87"/>
  <c r="E493" i="96"/>
  <c r="E495" i="96"/>
  <c r="E545" i="96" s="1"/>
  <c r="M101" i="87"/>
  <c r="N119" i="87"/>
  <c r="O127" i="87"/>
  <c r="F281" i="96"/>
  <c r="Q128" i="87"/>
  <c r="R128" i="87"/>
  <c r="I393" i="96"/>
  <c r="Q127" i="87"/>
  <c r="S128" i="87"/>
  <c r="J393" i="96"/>
  <c r="G392" i="96"/>
  <c r="R127" i="87"/>
  <c r="K393" i="96"/>
  <c r="S127" i="87"/>
  <c r="D196" i="69" l="1"/>
  <c r="B182" i="66"/>
  <c r="P12" i="66"/>
  <c r="B202" i="66"/>
  <c r="P32" i="66"/>
  <c r="B206" i="66"/>
  <c r="P36" i="66"/>
  <c r="P31" i="66"/>
  <c r="B208" i="66"/>
  <c r="P38" i="66"/>
  <c r="B217" i="66"/>
  <c r="P47" i="66"/>
  <c r="B94" i="66"/>
  <c r="P9" i="66"/>
  <c r="D137" i="69"/>
  <c r="B101" i="66"/>
  <c r="P16" i="66"/>
  <c r="B120" i="66"/>
  <c r="P35" i="66"/>
  <c r="P70" i="66"/>
  <c r="P37" i="66"/>
  <c r="P54" i="66"/>
  <c r="P44" i="66"/>
  <c r="B188" i="66"/>
  <c r="P18" i="66"/>
  <c r="P10" i="66"/>
  <c r="P22" i="66"/>
  <c r="B128" i="66"/>
  <c r="P43" i="66"/>
  <c r="B109" i="66"/>
  <c r="P24" i="66"/>
  <c r="P28" i="66"/>
  <c r="P20" i="66"/>
  <c r="B108" i="66"/>
  <c r="P23" i="66"/>
  <c r="P51" i="66"/>
  <c r="B210" i="66"/>
  <c r="P40" i="66"/>
  <c r="B222" i="66"/>
  <c r="P52" i="66"/>
  <c r="C241" i="91"/>
  <c r="C225" i="69"/>
  <c r="B184" i="66"/>
  <c r="P14" i="66"/>
  <c r="B118" i="66"/>
  <c r="P33" i="66"/>
  <c r="P27" i="66"/>
  <c r="B145" i="66"/>
  <c r="P60" i="66"/>
  <c r="B98" i="66"/>
  <c r="P13" i="66"/>
  <c r="B135" i="66"/>
  <c r="P50" i="66"/>
  <c r="B187" i="66"/>
  <c r="P17" i="66"/>
  <c r="B126" i="66"/>
  <c r="P41" i="66"/>
  <c r="B237" i="66"/>
  <c r="P67" i="66"/>
  <c r="B111" i="66"/>
  <c r="P26" i="66"/>
  <c r="P69" i="66"/>
  <c r="P53" i="66"/>
  <c r="B157" i="66"/>
  <c r="P72" i="66"/>
  <c r="B159" i="66"/>
  <c r="P74" i="66"/>
  <c r="B195" i="66"/>
  <c r="P25" i="66"/>
  <c r="C137" i="68"/>
  <c r="P11" i="66"/>
  <c r="P29" i="66"/>
  <c r="B144" i="66"/>
  <c r="P59" i="66"/>
  <c r="B104" i="66"/>
  <c r="P19" i="66"/>
  <c r="P62" i="66"/>
  <c r="B133" i="66"/>
  <c r="P48" i="66"/>
  <c r="B158" i="66"/>
  <c r="P73" i="66"/>
  <c r="B124" i="66"/>
  <c r="P39" i="66"/>
  <c r="B212" i="66"/>
  <c r="P42" i="66"/>
  <c r="B225" i="68"/>
  <c r="C215" i="69"/>
  <c r="P15" i="66"/>
  <c r="P34" i="66"/>
  <c r="B235" i="66"/>
  <c r="P65" i="66"/>
  <c r="P55" i="66"/>
  <c r="P45" i="66"/>
  <c r="B134" i="66"/>
  <c r="P49" i="66"/>
  <c r="C198" i="68"/>
  <c r="D123" i="69"/>
  <c r="K113" i="87"/>
  <c r="L100" i="87"/>
  <c r="K121" i="87"/>
  <c r="K119" i="87"/>
  <c r="K117" i="87"/>
  <c r="L113" i="87"/>
  <c r="L110" i="87"/>
  <c r="L74" i="87" s="1"/>
  <c r="L107" i="87"/>
  <c r="L105" i="87"/>
  <c r="L101" i="87"/>
  <c r="K120" i="87"/>
  <c r="K118" i="87"/>
  <c r="K100" i="87"/>
  <c r="L141" i="87"/>
  <c r="N127" i="87"/>
  <c r="P128" i="87"/>
  <c r="R100" i="87"/>
  <c r="M100" i="87"/>
  <c r="D289" i="96"/>
  <c r="L111" i="87"/>
  <c r="F284" i="96"/>
  <c r="M131" i="87"/>
  <c r="E284" i="96"/>
  <c r="L139" i="87"/>
  <c r="K138" i="87"/>
  <c r="K129" i="87"/>
  <c r="D291" i="96"/>
  <c r="L134" i="87"/>
  <c r="E129" i="96"/>
  <c r="M109" i="87"/>
  <c r="P127" i="87"/>
  <c r="Q100" i="87"/>
  <c r="F95" i="91"/>
  <c r="L146" i="87"/>
  <c r="L120" i="87"/>
  <c r="L118" i="87"/>
  <c r="L116" i="87"/>
  <c r="E95" i="91"/>
  <c r="E191" i="91" s="1"/>
  <c r="K146" i="87"/>
  <c r="K114" i="87"/>
  <c r="K110" i="87"/>
  <c r="K107" i="87"/>
  <c r="K105" i="87"/>
  <c r="K103" i="87"/>
  <c r="L138" i="87"/>
  <c r="L129" i="87"/>
  <c r="K133" i="87"/>
  <c r="K128" i="87"/>
  <c r="F129" i="96"/>
  <c r="N109" i="87"/>
  <c r="M103" i="87"/>
  <c r="M111" i="87"/>
  <c r="D288" i="96"/>
  <c r="L103" i="87"/>
  <c r="K116" i="87"/>
  <c r="L133" i="87"/>
  <c r="L128" i="87"/>
  <c r="K140" i="87"/>
  <c r="K127" i="87"/>
  <c r="K136" i="87"/>
  <c r="S100" i="87"/>
  <c r="L121" i="87"/>
  <c r="L119" i="87"/>
  <c r="L117" i="87"/>
  <c r="K111" i="87"/>
  <c r="K108" i="87"/>
  <c r="K106" i="87"/>
  <c r="K104" i="87"/>
  <c r="K102" i="87"/>
  <c r="L140" i="87"/>
  <c r="L127" i="87"/>
  <c r="K139" i="87"/>
  <c r="E291" i="96"/>
  <c r="M134" i="87"/>
  <c r="N141" i="87"/>
  <c r="C145" i="91"/>
  <c r="D210" i="69"/>
  <c r="B120" i="91"/>
  <c r="B127" i="87"/>
  <c r="C248" i="91"/>
  <c r="D224" i="68"/>
  <c r="D211" i="68"/>
  <c r="D157" i="66"/>
  <c r="B222" i="68"/>
  <c r="D124" i="68"/>
  <c r="B223" i="91"/>
  <c r="C214" i="66"/>
  <c r="B104" i="87"/>
  <c r="B105" i="69"/>
  <c r="B219" i="68"/>
  <c r="C217" i="68"/>
  <c r="C220" i="68"/>
  <c r="C222" i="69"/>
  <c r="C134" i="66"/>
  <c r="C125" i="66"/>
  <c r="E231" i="69"/>
  <c r="E125" i="96"/>
  <c r="E155" i="96" s="1"/>
  <c r="F125" i="96"/>
  <c r="F155" i="96" s="1"/>
  <c r="E287" i="91"/>
  <c r="E234" i="69"/>
  <c r="F233" i="69"/>
  <c r="E233" i="69"/>
  <c r="F231" i="69"/>
  <c r="B614" i="96"/>
  <c r="C165" i="91"/>
  <c r="D146" i="87"/>
  <c r="B158" i="91"/>
  <c r="D162" i="91"/>
  <c r="B156" i="91"/>
  <c r="C252" i="91"/>
  <c r="B617" i="96"/>
  <c r="B615" i="96"/>
  <c r="B213" i="69"/>
  <c r="C229" i="69"/>
  <c r="D117" i="68"/>
  <c r="C289" i="96"/>
  <c r="F286" i="91"/>
  <c r="F393" i="96"/>
  <c r="D497" i="96"/>
  <c r="D495" i="96"/>
  <c r="D545" i="96" s="1"/>
  <c r="D492" i="96"/>
  <c r="E464" i="96"/>
  <c r="E463" i="96"/>
  <c r="F396" i="96"/>
  <c r="D494" i="96"/>
  <c r="D393" i="96"/>
  <c r="D385" i="96" s="1"/>
  <c r="E465" i="96"/>
  <c r="E481" i="96" s="1"/>
  <c r="C465" i="96"/>
  <c r="C481" i="96" s="1"/>
  <c r="E460" i="96"/>
  <c r="E476" i="96" s="1"/>
  <c r="D496" i="96"/>
  <c r="D493" i="96"/>
  <c r="D465" i="96"/>
  <c r="D481" i="96" s="1"/>
  <c r="D377" i="96"/>
  <c r="C458" i="96"/>
  <c r="E456" i="96"/>
  <c r="E458" i="96"/>
  <c r="E474" i="96" s="1"/>
  <c r="G161" i="91"/>
  <c r="D489" i="96"/>
  <c r="B243" i="68"/>
  <c r="B122" i="68"/>
  <c r="D240" i="69"/>
  <c r="B123" i="66"/>
  <c r="D95" i="66"/>
  <c r="D135" i="87"/>
  <c r="C124" i="69"/>
  <c r="C138" i="68"/>
  <c r="B141" i="68"/>
  <c r="D215" i="66"/>
  <c r="D37" i="71"/>
  <c r="C118" i="66"/>
  <c r="B132" i="66"/>
  <c r="D107" i="66"/>
  <c r="B163" i="91"/>
  <c r="C139" i="66"/>
  <c r="C146" i="87"/>
  <c r="C104" i="66"/>
  <c r="D221" i="69"/>
  <c r="C106" i="91"/>
  <c r="C127" i="66"/>
  <c r="C144" i="68"/>
  <c r="D239" i="91"/>
  <c r="B188" i="68"/>
  <c r="D749" i="96"/>
  <c r="E749" i="96"/>
  <c r="D751" i="96"/>
  <c r="D750" i="96"/>
  <c r="C751" i="96"/>
  <c r="C750" i="96"/>
  <c r="C749" i="96"/>
  <c r="C527" i="96"/>
  <c r="B111" i="69"/>
  <c r="C204" i="68"/>
  <c r="D130" i="91"/>
  <c r="C122" i="69"/>
  <c r="D224" i="91"/>
  <c r="B574" i="96"/>
  <c r="D120" i="87"/>
  <c r="C490" i="96"/>
  <c r="E118" i="91"/>
  <c r="F186" i="68"/>
  <c r="E122" i="91"/>
  <c r="E111" i="69" s="1"/>
  <c r="D53" i="123"/>
  <c r="D55" i="123" s="1"/>
  <c r="D54" i="123" s="1"/>
  <c r="U53" i="123"/>
  <c r="L672" i="96"/>
  <c r="G119" i="91"/>
  <c r="G141" i="91"/>
  <c r="C35" i="123"/>
  <c r="C37" i="123" s="1"/>
  <c r="E53" i="123"/>
  <c r="E55" i="123" s="1"/>
  <c r="E54" i="123" s="1"/>
  <c r="F114" i="91"/>
  <c r="F103" i="69" s="1"/>
  <c r="D392" i="96"/>
  <c r="G124" i="91"/>
  <c r="D500" i="96"/>
  <c r="D488" i="96"/>
  <c r="D542" i="96" s="1"/>
  <c r="D341" i="96"/>
  <c r="E47" i="123"/>
  <c r="E49" i="123" s="1"/>
  <c r="E48" i="123" s="1"/>
  <c r="G380" i="96"/>
  <c r="C376" i="96"/>
  <c r="C161" i="91"/>
  <c r="D150" i="69"/>
  <c r="B202" i="68"/>
  <c r="B196" i="68"/>
  <c r="B195" i="69"/>
  <c r="D104" i="69"/>
  <c r="D113" i="69"/>
  <c r="B198" i="68"/>
  <c r="D152" i="91"/>
  <c r="B107" i="87"/>
  <c r="D191" i="66"/>
  <c r="C216" i="66"/>
  <c r="C145" i="69"/>
  <c r="B113" i="91"/>
  <c r="C111" i="69"/>
  <c r="C193" i="68"/>
  <c r="B103" i="87"/>
  <c r="C105" i="66"/>
  <c r="C192" i="69"/>
  <c r="D133" i="87"/>
  <c r="D348" i="96"/>
  <c r="D378" i="96"/>
  <c r="D523" i="96" s="1"/>
  <c r="C138" i="96"/>
  <c r="C287" i="96"/>
  <c r="B616" i="96"/>
  <c r="D119" i="87"/>
  <c r="D151" i="69"/>
  <c r="B244" i="69"/>
  <c r="C347" i="96"/>
  <c r="B128" i="87"/>
  <c r="C139" i="91"/>
  <c r="D94" i="69"/>
  <c r="B197" i="68"/>
  <c r="D209" i="69"/>
  <c r="B147" i="91"/>
  <c r="C210" i="68"/>
  <c r="D194" i="68"/>
  <c r="C134" i="68"/>
  <c r="D117" i="87"/>
  <c r="D242" i="68"/>
  <c r="D225" i="91"/>
  <c r="D131" i="91"/>
  <c r="B155" i="69"/>
  <c r="C195" i="66"/>
  <c r="C100" i="68"/>
  <c r="B212" i="91"/>
  <c r="B183" i="66"/>
  <c r="B206" i="68"/>
  <c r="B287" i="70"/>
  <c r="D34" i="71"/>
  <c r="D122" i="91"/>
  <c r="D193" i="68"/>
  <c r="D120" i="66"/>
  <c r="B128" i="91"/>
  <c r="B128" i="68"/>
  <c r="C155" i="68"/>
  <c r="D126" i="69"/>
  <c r="C180" i="68"/>
  <c r="B204" i="68"/>
  <c r="B194" i="66"/>
  <c r="B95" i="69"/>
  <c r="B153" i="68"/>
  <c r="B106" i="87"/>
  <c r="D107" i="69"/>
  <c r="D124" i="91"/>
  <c r="D235" i="66"/>
  <c r="C95" i="66"/>
  <c r="B118" i="87"/>
  <c r="D237" i="66"/>
  <c r="C120" i="68"/>
  <c r="B232" i="68"/>
  <c r="C112" i="66"/>
  <c r="D347" i="96"/>
  <c r="C226" i="96"/>
  <c r="C251" i="96" s="1"/>
  <c r="C203" i="91"/>
  <c r="B100" i="68"/>
  <c r="D459" i="96"/>
  <c r="C220" i="69"/>
  <c r="D98" i="66"/>
  <c r="D110" i="69"/>
  <c r="B193" i="68"/>
  <c r="C95" i="69"/>
  <c r="C243" i="91"/>
  <c r="D224" i="69"/>
  <c r="B165" i="91"/>
  <c r="C166" i="91"/>
  <c r="D252" i="91"/>
  <c r="D209" i="66"/>
  <c r="B131" i="69"/>
  <c r="B112" i="69"/>
  <c r="D164" i="91"/>
  <c r="C242" i="91"/>
  <c r="D216" i="96"/>
  <c r="L84" i="87"/>
  <c r="D138" i="96"/>
  <c r="K84" i="87"/>
  <c r="E106" i="91"/>
  <c r="E95" i="69" s="1"/>
  <c r="B210" i="69"/>
  <c r="E119" i="91"/>
  <c r="C193" i="66"/>
  <c r="D206" i="68"/>
  <c r="C137" i="87"/>
  <c r="C142" i="87"/>
  <c r="B618" i="96"/>
  <c r="D219" i="68"/>
  <c r="E145" i="91"/>
  <c r="D239" i="69"/>
  <c r="C220" i="66"/>
  <c r="D214" i="69"/>
  <c r="F121" i="91"/>
  <c r="F108" i="91"/>
  <c r="E120" i="91"/>
  <c r="E109" i="69" s="1"/>
  <c r="B124" i="68"/>
  <c r="B233" i="91"/>
  <c r="B184" i="69"/>
  <c r="B229" i="66"/>
  <c r="D204" i="69"/>
  <c r="C202" i="66"/>
  <c r="C97" i="66"/>
  <c r="D35" i="71"/>
  <c r="C128" i="91"/>
  <c r="D340" i="96"/>
  <c r="D464" i="96"/>
  <c r="D480" i="96" s="1"/>
  <c r="C340" i="96"/>
  <c r="E148" i="91"/>
  <c r="C288" i="96"/>
  <c r="F143" i="91"/>
  <c r="F165" i="91"/>
  <c r="F154" i="69" s="1"/>
  <c r="C459" i="96"/>
  <c r="D237" i="91"/>
  <c r="C148" i="91"/>
  <c r="D161" i="91"/>
  <c r="C212" i="96"/>
  <c r="E92" i="91"/>
  <c r="B106" i="91"/>
  <c r="C116" i="91"/>
  <c r="D114" i="87"/>
  <c r="D227" i="91"/>
  <c r="D116" i="91"/>
  <c r="F130" i="91"/>
  <c r="D131" i="87"/>
  <c r="C138" i="87"/>
  <c r="F151" i="91"/>
  <c r="C124" i="96"/>
  <c r="C461" i="96"/>
  <c r="B126" i="87"/>
  <c r="B239" i="91"/>
  <c r="C129" i="87"/>
  <c r="C118" i="91"/>
  <c r="D127" i="91"/>
  <c r="E283" i="91"/>
  <c r="C239" i="66"/>
  <c r="B230" i="66"/>
  <c r="D232" i="66"/>
  <c r="C151" i="66"/>
  <c r="B151" i="68"/>
  <c r="C150" i="66"/>
  <c r="D235" i="68"/>
  <c r="D197" i="66"/>
  <c r="F110" i="91"/>
  <c r="B95" i="68"/>
  <c r="B180" i="68"/>
  <c r="B214" i="68"/>
  <c r="B129" i="68"/>
  <c r="C139" i="69"/>
  <c r="E225" i="96"/>
  <c r="B166" i="91"/>
  <c r="B619" i="96"/>
  <c r="B641" i="96" s="1"/>
  <c r="C162" i="91"/>
  <c r="B116" i="87"/>
  <c r="B222" i="91"/>
  <c r="B141" i="66"/>
  <c r="B226" i="66"/>
  <c r="D139" i="66"/>
  <c r="D224" i="66"/>
  <c r="D218" i="66"/>
  <c r="D133" i="66"/>
  <c r="C226" i="68"/>
  <c r="C141" i="68"/>
  <c r="B221" i="68"/>
  <c r="B136" i="68"/>
  <c r="D217" i="68"/>
  <c r="D132" i="68"/>
  <c r="B215" i="68"/>
  <c r="B130" i="68"/>
  <c r="D131" i="69"/>
  <c r="D216" i="69"/>
  <c r="D242" i="91"/>
  <c r="D146" i="91"/>
  <c r="D136" i="87"/>
  <c r="D113" i="68"/>
  <c r="D198" i="68"/>
  <c r="C208" i="66"/>
  <c r="C123" i="66"/>
  <c r="B225" i="66"/>
  <c r="B140" i="66"/>
  <c r="E214" i="96"/>
  <c r="C107" i="66"/>
  <c r="D127" i="68"/>
  <c r="B144" i="69"/>
  <c r="C211" i="68"/>
  <c r="D182" i="68"/>
  <c r="B103" i="66"/>
  <c r="D168" i="91"/>
  <c r="F210" i="68"/>
  <c r="F122" i="91"/>
  <c r="B220" i="66"/>
  <c r="D241" i="91"/>
  <c r="C156" i="91"/>
  <c r="M125" i="87"/>
  <c r="B181" i="69"/>
  <c r="D127" i="69"/>
  <c r="B114" i="69"/>
  <c r="B120" i="68"/>
  <c r="D229" i="66"/>
  <c r="C100" i="66"/>
  <c r="B209" i="69"/>
  <c r="D219" i="69"/>
  <c r="D264" i="91"/>
  <c r="C210" i="69"/>
  <c r="C264" i="91"/>
  <c r="B129" i="69"/>
  <c r="C217" i="66"/>
  <c r="C138" i="66"/>
  <c r="C221" i="69"/>
  <c r="B183" i="68"/>
  <c r="B98" i="68"/>
  <c r="B123" i="87"/>
  <c r="B225" i="91"/>
  <c r="B129" i="91"/>
  <c r="B119" i="87"/>
  <c r="B114" i="87"/>
  <c r="B124" i="91"/>
  <c r="B238" i="91"/>
  <c r="B132" i="87"/>
  <c r="B142" i="91"/>
  <c r="D114" i="66"/>
  <c r="D199" i="66"/>
  <c r="C97" i="69"/>
  <c r="C182" i="69"/>
  <c r="B290" i="70"/>
  <c r="B286" i="70"/>
  <c r="C215" i="68"/>
  <c r="C130" i="68"/>
  <c r="C157" i="66"/>
  <c r="C186" i="68"/>
  <c r="E123" i="96"/>
  <c r="B114" i="68"/>
  <c r="B99" i="66"/>
  <c r="D163" i="91"/>
  <c r="D138" i="66"/>
  <c r="B137" i="66"/>
  <c r="C119" i="87"/>
  <c r="C129" i="91"/>
  <c r="L97" i="87"/>
  <c r="F107" i="91"/>
  <c r="E192" i="91"/>
  <c r="E286" i="91"/>
  <c r="D145" i="69"/>
  <c r="D230" i="69"/>
  <c r="C158" i="91"/>
  <c r="C139" i="96"/>
  <c r="B207" i="66"/>
  <c r="B122" i="66"/>
  <c r="D202" i="69"/>
  <c r="D117" i="69"/>
  <c r="B191" i="68"/>
  <c r="B106" i="68"/>
  <c r="F191" i="91"/>
  <c r="U47" i="123"/>
  <c r="U49" i="123" s="1"/>
  <c r="U48" i="123" s="1"/>
  <c r="T53" i="123"/>
  <c r="T47" i="123"/>
  <c r="E41" i="123"/>
  <c r="E614" i="96"/>
  <c r="E616" i="96"/>
  <c r="V41" i="123"/>
  <c r="C36" i="123"/>
  <c r="D41" i="123"/>
  <c r="D43" i="123" s="1"/>
  <c r="D42" i="123" s="1"/>
  <c r="D47" i="123"/>
  <c r="D49" i="123" s="1"/>
  <c r="D48" i="123" s="1"/>
  <c r="E217" i="96"/>
  <c r="V35" i="123"/>
  <c r="U41" i="123"/>
  <c r="T41" i="123"/>
  <c r="D35" i="123"/>
  <c r="E144" i="91"/>
  <c r="C41" i="123"/>
  <c r="E147" i="91"/>
  <c r="C47" i="123"/>
  <c r="C49" i="123" s="1"/>
  <c r="C48" i="123" s="1"/>
  <c r="C255" i="70"/>
  <c r="Y41" i="123"/>
  <c r="V47" i="123"/>
  <c r="G166" i="91"/>
  <c r="V53" i="123"/>
  <c r="D217" i="96"/>
  <c r="U35" i="123"/>
  <c r="T35" i="123"/>
  <c r="C53" i="123"/>
  <c r="C55" i="123" s="1"/>
  <c r="C54" i="123" s="1"/>
  <c r="U55" i="123"/>
  <c r="U54" i="123" s="1"/>
  <c r="D97" i="69"/>
  <c r="B97" i="66"/>
  <c r="D128" i="66"/>
  <c r="F195" i="68"/>
  <c r="F181" i="68"/>
  <c r="B94" i="68"/>
  <c r="C99" i="66"/>
  <c r="C94" i="66"/>
  <c r="D283" i="96"/>
  <c r="F117" i="91"/>
  <c r="F115" i="91"/>
  <c r="C283" i="96"/>
  <c r="F282" i="91"/>
  <c r="E93" i="91"/>
  <c r="C210" i="96"/>
  <c r="G189" i="91"/>
  <c r="F90" i="91"/>
  <c r="F93" i="91"/>
  <c r="B211" i="69"/>
  <c r="D213" i="68"/>
  <c r="D194" i="66"/>
  <c r="B213" i="66"/>
  <c r="D197" i="68"/>
  <c r="B181" i="68"/>
  <c r="C238" i="68"/>
  <c r="C106" i="68"/>
  <c r="C206" i="66"/>
  <c r="C184" i="69"/>
  <c r="B150" i="68"/>
  <c r="D190" i="66"/>
  <c r="C120" i="69"/>
  <c r="C110" i="69"/>
  <c r="C102" i="69"/>
  <c r="E618" i="96"/>
  <c r="E629" i="96" s="1"/>
  <c r="F113" i="91"/>
  <c r="H119" i="91"/>
  <c r="B244" i="66"/>
  <c r="D237" i="69"/>
  <c r="C204" i="69"/>
  <c r="D236" i="68"/>
  <c r="C206" i="69"/>
  <c r="D127" i="66"/>
  <c r="D122" i="66"/>
  <c r="D120" i="69"/>
  <c r="D205" i="68"/>
  <c r="D118" i="87"/>
  <c r="C151" i="69"/>
  <c r="B186" i="66"/>
  <c r="C209" i="91"/>
  <c r="D145" i="68"/>
  <c r="C213" i="69"/>
  <c r="B188" i="69"/>
  <c r="D36" i="71"/>
  <c r="D120" i="91"/>
  <c r="B153" i="69"/>
  <c r="D100" i="66"/>
  <c r="D185" i="66"/>
  <c r="D181" i="68"/>
  <c r="D96" i="68"/>
  <c r="B99" i="68"/>
  <c r="B184" i="68"/>
  <c r="D238" i="66"/>
  <c r="D153" i="66"/>
  <c r="C145" i="68"/>
  <c r="C230" i="68"/>
  <c r="B206" i="69"/>
  <c r="B121" i="69"/>
  <c r="D99" i="66"/>
  <c r="D184" i="66"/>
  <c r="B199" i="66"/>
  <c r="B114" i="66"/>
  <c r="C94" i="68"/>
  <c r="C179" i="68"/>
  <c r="B203" i="68"/>
  <c r="B118" i="68"/>
  <c r="D144" i="69"/>
  <c r="D229" i="69"/>
  <c r="D195" i="68"/>
  <c r="D110" i="68"/>
  <c r="B240" i="68"/>
  <c r="B155" i="68"/>
  <c r="C196" i="66"/>
  <c r="C111" i="66"/>
  <c r="D226" i="66"/>
  <c r="D141" i="66"/>
  <c r="B222" i="69"/>
  <c r="B137" i="69"/>
  <c r="K77" i="87"/>
  <c r="C394" i="96"/>
  <c r="C541" i="96" s="1"/>
  <c r="C99" i="68"/>
  <c r="B227" i="91"/>
  <c r="B131" i="91"/>
  <c r="B121" i="66"/>
  <c r="C187" i="66"/>
  <c r="C230" i="66"/>
  <c r="H142" i="91"/>
  <c r="C208" i="68"/>
  <c r="D101" i="69"/>
  <c r="D98" i="68"/>
  <c r="C115" i="91"/>
  <c r="C237" i="66"/>
  <c r="C116" i="66"/>
  <c r="C109" i="69"/>
  <c r="D33" i="71"/>
  <c r="E94" i="91"/>
  <c r="C164" i="91"/>
  <c r="D98" i="69"/>
  <c r="C198" i="69"/>
  <c r="B122" i="69"/>
  <c r="D202" i="91"/>
  <c r="C192" i="68"/>
  <c r="D195" i="66"/>
  <c r="D110" i="66"/>
  <c r="C235" i="68"/>
  <c r="C150" i="68"/>
  <c r="D238" i="68"/>
  <c r="D153" i="68"/>
  <c r="C235" i="69"/>
  <c r="C150" i="69"/>
  <c r="B208" i="91"/>
  <c r="B112" i="91"/>
  <c r="B147" i="66"/>
  <c r="B232" i="66"/>
  <c r="C216" i="91"/>
  <c r="B223" i="66"/>
  <c r="B138" i="66"/>
  <c r="D221" i="66"/>
  <c r="D136" i="66"/>
  <c r="C218" i="66"/>
  <c r="C133" i="66"/>
  <c r="D214" i="68"/>
  <c r="D129" i="68"/>
  <c r="C226" i="69"/>
  <c r="C141" i="69"/>
  <c r="B221" i="69"/>
  <c r="B136" i="69"/>
  <c r="D132" i="69"/>
  <c r="D217" i="69"/>
  <c r="B215" i="69"/>
  <c r="B130" i="69"/>
  <c r="C224" i="68"/>
  <c r="C139" i="68"/>
  <c r="B223" i="68"/>
  <c r="B138" i="68"/>
  <c r="C132" i="69"/>
  <c r="C217" i="69"/>
  <c r="C242" i="68"/>
  <c r="C157" i="68"/>
  <c r="C209" i="66"/>
  <c r="C124" i="66"/>
  <c r="D255" i="70"/>
  <c r="C121" i="96"/>
  <c r="K37" i="87" s="1"/>
  <c r="C142" i="96"/>
  <c r="B111" i="91"/>
  <c r="B207" i="91"/>
  <c r="C204" i="66"/>
  <c r="D32" i="71"/>
  <c r="D99" i="69"/>
  <c r="B229" i="68"/>
  <c r="D187" i="68"/>
  <c r="C96" i="68"/>
  <c r="B203" i="66"/>
  <c r="D186" i="66"/>
  <c r="B179" i="66"/>
  <c r="C120" i="91"/>
  <c r="D225" i="68"/>
  <c r="B216" i="68"/>
  <c r="D216" i="66"/>
  <c r="D165" i="91"/>
  <c r="D138" i="69"/>
  <c r="B219" i="91"/>
  <c r="B102" i="87"/>
  <c r="L86" i="87"/>
  <c r="B113" i="66"/>
  <c r="B198" i="66"/>
  <c r="D207" i="68"/>
  <c r="D122" i="68"/>
  <c r="B191" i="69"/>
  <c r="B106" i="69"/>
  <c r="C188" i="69"/>
  <c r="C103" i="69"/>
  <c r="D194" i="69"/>
  <c r="D109" i="69"/>
  <c r="D132" i="91"/>
  <c r="C113" i="87"/>
  <c r="C123" i="91"/>
  <c r="C219" i="91"/>
  <c r="D210" i="91"/>
  <c r="D114" i="91"/>
  <c r="D208" i="91"/>
  <c r="D112" i="91"/>
  <c r="D203" i="91"/>
  <c r="D107" i="91"/>
  <c r="B127" i="66"/>
  <c r="B252" i="91"/>
  <c r="B573" i="96" s="1"/>
  <c r="C211" i="69"/>
  <c r="C202" i="68"/>
  <c r="C213" i="66"/>
  <c r="D181" i="66"/>
  <c r="B201" i="91"/>
  <c r="B110" i="68"/>
  <c r="C130" i="66"/>
  <c r="D133" i="68"/>
  <c r="B185" i="66"/>
  <c r="B100" i="66"/>
  <c r="B238" i="66"/>
  <c r="B153" i="66"/>
  <c r="D121" i="69"/>
  <c r="D206" i="69"/>
  <c r="B201" i="68"/>
  <c r="B116" i="68"/>
  <c r="B106" i="66"/>
  <c r="B191" i="66"/>
  <c r="D104" i="66"/>
  <c r="D189" i="66"/>
  <c r="C189" i="68"/>
  <c r="C104" i="68"/>
  <c r="L85" i="87"/>
  <c r="F116" i="91"/>
  <c r="F105" i="66" s="1"/>
  <c r="E123" i="91"/>
  <c r="E112" i="66" s="1"/>
  <c r="E116" i="91"/>
  <c r="B219" i="69"/>
  <c r="C157" i="69"/>
  <c r="B219" i="66"/>
  <c r="B137" i="87"/>
  <c r="B193" i="66"/>
  <c r="D192" i="68"/>
  <c r="C238" i="69"/>
  <c r="C198" i="66"/>
  <c r="C225" i="91"/>
  <c r="D115" i="91"/>
  <c r="C197" i="68"/>
  <c r="C112" i="68"/>
  <c r="B155" i="66"/>
  <c r="B240" i="66"/>
  <c r="C155" i="69"/>
  <c r="C240" i="69"/>
  <c r="B237" i="69"/>
  <c r="B152" i="69"/>
  <c r="D155" i="68"/>
  <c r="D240" i="68"/>
  <c r="B145" i="68"/>
  <c r="B230" i="68"/>
  <c r="E281" i="91"/>
  <c r="K110" i="91"/>
  <c r="L110" i="91"/>
  <c r="B115" i="91"/>
  <c r="C110" i="91"/>
  <c r="B201" i="69"/>
  <c r="B121" i="87"/>
  <c r="C108" i="69"/>
  <c r="B218" i="66"/>
  <c r="B147" i="69"/>
  <c r="C232" i="68"/>
  <c r="D193" i="69"/>
  <c r="B108" i="91"/>
  <c r="D141" i="68"/>
  <c r="B139" i="68"/>
  <c r="F149" i="91"/>
  <c r="D153" i="69"/>
  <c r="C196" i="68"/>
  <c r="C111" i="68"/>
  <c r="D203" i="69"/>
  <c r="D118" i="69"/>
  <c r="D191" i="68"/>
  <c r="D106" i="68"/>
  <c r="D201" i="68"/>
  <c r="D116" i="68"/>
  <c r="B120" i="69"/>
  <c r="B205" i="69"/>
  <c r="C191" i="69"/>
  <c r="C106" i="69"/>
  <c r="B186" i="69"/>
  <c r="B101" i="69"/>
  <c r="D154" i="66"/>
  <c r="D239" i="66"/>
  <c r="C154" i="68"/>
  <c r="C239" i="68"/>
  <c r="D158" i="91"/>
  <c r="B224" i="66"/>
  <c r="B139" i="66"/>
  <c r="B129" i="66"/>
  <c r="B214" i="66"/>
  <c r="D136" i="68"/>
  <c r="D221" i="68"/>
  <c r="C214" i="68"/>
  <c r="C129" i="68"/>
  <c r="B226" i="69"/>
  <c r="B141" i="69"/>
  <c r="D133" i="69"/>
  <c r="D218" i="69"/>
  <c r="F283" i="91"/>
  <c r="L77" i="87"/>
  <c r="E130" i="91"/>
  <c r="E110" i="91"/>
  <c r="K97" i="87"/>
  <c r="B142" i="87"/>
  <c r="B248" i="91"/>
  <c r="D462" i="96"/>
  <c r="D478" i="96" s="1"/>
  <c r="D130" i="87"/>
  <c r="D236" i="91"/>
  <c r="F144" i="91"/>
  <c r="C96" i="66"/>
  <c r="C181" i="66"/>
  <c r="B204" i="66"/>
  <c r="B119" i="66"/>
  <c r="D94" i="68"/>
  <c r="D179" i="68"/>
  <c r="C227" i="91"/>
  <c r="C131" i="91"/>
  <c r="C117" i="87"/>
  <c r="C127" i="91"/>
  <c r="C223" i="91"/>
  <c r="D121" i="91"/>
  <c r="D217" i="91"/>
  <c r="D113" i="91"/>
  <c r="D209" i="91"/>
  <c r="B97" i="87"/>
  <c r="B107" i="91"/>
  <c r="B108" i="87"/>
  <c r="B118" i="91"/>
  <c r="B206" i="91"/>
  <c r="B110" i="91"/>
  <c r="B130" i="91"/>
  <c r="B226" i="91"/>
  <c r="B115" i="87"/>
  <c r="B221" i="91"/>
  <c r="C222" i="66"/>
  <c r="C137" i="66"/>
  <c r="B221" i="66"/>
  <c r="B136" i="66"/>
  <c r="D217" i="66"/>
  <c r="D132" i="66"/>
  <c r="C221" i="68"/>
  <c r="C136" i="68"/>
  <c r="B218" i="68"/>
  <c r="B133" i="68"/>
  <c r="D216" i="68"/>
  <c r="D131" i="68"/>
  <c r="C218" i="69"/>
  <c r="C133" i="69"/>
  <c r="B217" i="69"/>
  <c r="B132" i="69"/>
  <c r="C129" i="69"/>
  <c r="C214" i="69"/>
  <c r="F112" i="91"/>
  <c r="L95" i="87"/>
  <c r="L72" i="87" s="1"/>
  <c r="F105" i="91"/>
  <c r="F94" i="66" s="1"/>
  <c r="K85" i="87"/>
  <c r="E121" i="91"/>
  <c r="C149" i="91"/>
  <c r="C139" i="87"/>
  <c r="B244" i="91"/>
  <c r="B138" i="87"/>
  <c r="C348" i="96"/>
  <c r="C140" i="91"/>
  <c r="C130" i="87"/>
  <c r="E221" i="68"/>
  <c r="E151" i="91"/>
  <c r="H377" i="96"/>
  <c r="H385" i="96" s="1"/>
  <c r="B119" i="69"/>
  <c r="C122" i="66"/>
  <c r="C105" i="69"/>
  <c r="D229" i="68"/>
  <c r="D95" i="68"/>
  <c r="C105" i="68"/>
  <c r="B102" i="68"/>
  <c r="B104" i="69"/>
  <c r="C194" i="66"/>
  <c r="C109" i="66"/>
  <c r="C124" i="91"/>
  <c r="C220" i="91"/>
  <c r="D213" i="91"/>
  <c r="D117" i="91"/>
  <c r="D150" i="91"/>
  <c r="D246" i="91"/>
  <c r="D135" i="68"/>
  <c r="D220" i="68"/>
  <c r="M110" i="91"/>
  <c r="B235" i="69"/>
  <c r="B97" i="68"/>
  <c r="C103" i="68"/>
  <c r="B113" i="69"/>
  <c r="C98" i="66"/>
  <c r="D111" i="68"/>
  <c r="B152" i="66"/>
  <c r="D215" i="68"/>
  <c r="B205" i="66"/>
  <c r="B179" i="69"/>
  <c r="D118" i="66"/>
  <c r="B212" i="68"/>
  <c r="D140" i="66"/>
  <c r="B196" i="66"/>
  <c r="C210" i="91"/>
  <c r="C142" i="91"/>
  <c r="C132" i="87"/>
  <c r="F152" i="91"/>
  <c r="B236" i="91"/>
  <c r="B140" i="91"/>
  <c r="B181" i="66"/>
  <c r="B96" i="66"/>
  <c r="D188" i="66"/>
  <c r="D103" i="66"/>
  <c r="C211" i="66"/>
  <c r="C126" i="66"/>
  <c r="D199" i="68"/>
  <c r="D114" i="68"/>
  <c r="D181" i="69"/>
  <c r="D96" i="69"/>
  <c r="C194" i="68"/>
  <c r="C109" i="68"/>
  <c r="B112" i="66"/>
  <c r="B197" i="66"/>
  <c r="D155" i="66"/>
  <c r="D240" i="66"/>
  <c r="B236" i="66"/>
  <c r="B151" i="66"/>
  <c r="D190" i="68"/>
  <c r="D105" i="68"/>
  <c r="D147" i="69"/>
  <c r="D232" i="69"/>
  <c r="B140" i="69"/>
  <c r="B225" i="69"/>
  <c r="E143" i="91"/>
  <c r="C186" i="66"/>
  <c r="C101" i="66"/>
  <c r="C94" i="69"/>
  <c r="C179" i="69"/>
  <c r="B201" i="66"/>
  <c r="B116" i="66"/>
  <c r="C116" i="69"/>
  <c r="C201" i="69"/>
  <c r="D191" i="69"/>
  <c r="D106" i="69"/>
  <c r="C112" i="91"/>
  <c r="C208" i="91"/>
  <c r="C201" i="91"/>
  <c r="C105" i="91"/>
  <c r="B162" i="91"/>
  <c r="C122" i="91"/>
  <c r="C140" i="66"/>
  <c r="C225" i="66"/>
  <c r="C218" i="68"/>
  <c r="C133" i="68"/>
  <c r="C118" i="69"/>
  <c r="N130" i="87"/>
  <c r="B202" i="69"/>
  <c r="B117" i="69"/>
  <c r="F155" i="91"/>
  <c r="D137" i="96"/>
  <c r="F123" i="66"/>
  <c r="C183" i="69"/>
  <c r="C98" i="69"/>
  <c r="C163" i="91"/>
  <c r="C132" i="91"/>
  <c r="D222" i="66"/>
  <c r="D137" i="66"/>
  <c r="C221" i="66"/>
  <c r="C136" i="66"/>
  <c r="C223" i="69"/>
  <c r="C138" i="69"/>
  <c r="F129" i="91"/>
  <c r="D236" i="66"/>
  <c r="D151" i="66"/>
  <c r="B145" i="69"/>
  <c r="B230" i="69"/>
  <c r="D188" i="69"/>
  <c r="D103" i="69"/>
  <c r="C183" i="68"/>
  <c r="C98" i="68"/>
  <c r="B183" i="69"/>
  <c r="B98" i="69"/>
  <c r="C130" i="91"/>
  <c r="C226" i="91"/>
  <c r="C125" i="91"/>
  <c r="C115" i="87"/>
  <c r="D118" i="91"/>
  <c r="D214" i="91"/>
  <c r="D110" i="91"/>
  <c r="D206" i="91"/>
  <c r="D105" i="91"/>
  <c r="D201" i="91"/>
  <c r="B122" i="91"/>
  <c r="B112" i="87"/>
  <c r="B154" i="68"/>
  <c r="B239" i="68"/>
  <c r="C141" i="66"/>
  <c r="C226" i="66"/>
  <c r="B215" i="66"/>
  <c r="B130" i="66"/>
  <c r="C225" i="68"/>
  <c r="C140" i="68"/>
  <c r="D222" i="68"/>
  <c r="D137" i="68"/>
  <c r="D215" i="69"/>
  <c r="D130" i="69"/>
  <c r="B149" i="91"/>
  <c r="B245" i="91"/>
  <c r="B141" i="91"/>
  <c r="B131" i="87"/>
  <c r="B237" i="91"/>
  <c r="D234" i="91"/>
  <c r="D138" i="91"/>
  <c r="C233" i="91"/>
  <c r="C127" i="87"/>
  <c r="F138" i="91"/>
  <c r="F140" i="91"/>
  <c r="D240" i="91"/>
  <c r="D144" i="91"/>
  <c r="D134" i="87"/>
  <c r="D141" i="87"/>
  <c r="D247" i="91"/>
  <c r="D108" i="66"/>
  <c r="C152" i="68"/>
  <c r="C207" i="91"/>
  <c r="B132" i="68"/>
  <c r="D119" i="66"/>
  <c r="D204" i="66"/>
  <c r="D101" i="68"/>
  <c r="D186" i="68"/>
  <c r="C199" i="68"/>
  <c r="C114" i="68"/>
  <c r="B152" i="68"/>
  <c r="B237" i="68"/>
  <c r="D208" i="66"/>
  <c r="D123" i="66"/>
  <c r="D104" i="68"/>
  <c r="D189" i="68"/>
  <c r="B187" i="69"/>
  <c r="B102" i="69"/>
  <c r="G377" i="96"/>
  <c r="G385" i="96" s="1"/>
  <c r="C491" i="96"/>
  <c r="K88" i="87"/>
  <c r="F92" i="91"/>
  <c r="B180" i="66"/>
  <c r="B95" i="66"/>
  <c r="D182" i="66"/>
  <c r="D97" i="66"/>
  <c r="D187" i="66"/>
  <c r="D102" i="66"/>
  <c r="B107" i="66"/>
  <c r="B192" i="66"/>
  <c r="C114" i="66"/>
  <c r="C199" i="66"/>
  <c r="C120" i="66"/>
  <c r="C205" i="66"/>
  <c r="D211" i="66"/>
  <c r="D126" i="66"/>
  <c r="C229" i="66"/>
  <c r="C144" i="66"/>
  <c r="C182" i="68"/>
  <c r="C97" i="68"/>
  <c r="D184" i="68"/>
  <c r="D99" i="68"/>
  <c r="C102" i="68"/>
  <c r="C187" i="68"/>
  <c r="D188" i="68"/>
  <c r="D103" i="68"/>
  <c r="C118" i="68"/>
  <c r="C203" i="68"/>
  <c r="B211" i="68"/>
  <c r="B126" i="68"/>
  <c r="D180" i="69"/>
  <c r="D95" i="69"/>
  <c r="D100" i="69"/>
  <c r="D185" i="69"/>
  <c r="C212" i="69"/>
  <c r="C127" i="69"/>
  <c r="C240" i="66"/>
  <c r="C155" i="66"/>
  <c r="C237" i="69"/>
  <c r="C152" i="69"/>
  <c r="B151" i="69"/>
  <c r="B236" i="69"/>
  <c r="D237" i="68"/>
  <c r="D152" i="68"/>
  <c r="C151" i="68"/>
  <c r="C236" i="68"/>
  <c r="D230" i="66"/>
  <c r="D145" i="66"/>
  <c r="I138" i="91"/>
  <c r="D139" i="96"/>
  <c r="E107" i="91"/>
  <c r="E96" i="69" s="1"/>
  <c r="E146" i="91"/>
  <c r="D201" i="66"/>
  <c r="D116" i="66"/>
  <c r="C201" i="68"/>
  <c r="C116" i="68"/>
  <c r="C106" i="66"/>
  <c r="C191" i="66"/>
  <c r="B105" i="66"/>
  <c r="B190" i="66"/>
  <c r="B203" i="69"/>
  <c r="B118" i="69"/>
  <c r="E573" i="96"/>
  <c r="E216" i="96"/>
  <c r="H156" i="91"/>
  <c r="F131" i="91"/>
  <c r="F127" i="91"/>
  <c r="F284" i="91"/>
  <c r="D140" i="96"/>
  <c r="F125" i="91"/>
  <c r="D213" i="96"/>
  <c r="F123" i="91"/>
  <c r="L75" i="87"/>
  <c r="D212" i="96"/>
  <c r="F120" i="91"/>
  <c r="D120" i="96"/>
  <c r="F182" i="68"/>
  <c r="L98" i="87"/>
  <c r="D221" i="96"/>
  <c r="F106" i="91"/>
  <c r="F95" i="69" s="1"/>
  <c r="D119" i="96"/>
  <c r="L96" i="87"/>
  <c r="L83" i="87" s="1"/>
  <c r="E139" i="91"/>
  <c r="E128" i="69" s="1"/>
  <c r="E122" i="69"/>
  <c r="E128" i="91"/>
  <c r="E126" i="91"/>
  <c r="E124" i="91"/>
  <c r="E113" i="66" s="1"/>
  <c r="C223" i="96"/>
  <c r="E91" i="91"/>
  <c r="K74" i="87"/>
  <c r="E115" i="91"/>
  <c r="C222" i="96"/>
  <c r="E105" i="91"/>
  <c r="K95" i="87"/>
  <c r="K72" i="87" s="1"/>
  <c r="C137" i="96"/>
  <c r="B140" i="87"/>
  <c r="B150" i="91"/>
  <c r="D138" i="87"/>
  <c r="D244" i="91"/>
  <c r="D148" i="91"/>
  <c r="C133" i="87"/>
  <c r="C239" i="91"/>
  <c r="D235" i="91"/>
  <c r="D129" i="87"/>
  <c r="C138" i="91"/>
  <c r="C128" i="87"/>
  <c r="C234" i="91"/>
  <c r="D463" i="96"/>
  <c r="F150" i="91"/>
  <c r="F139" i="69" s="1"/>
  <c r="F142" i="91"/>
  <c r="D337" i="96"/>
  <c r="F137" i="91"/>
  <c r="D215" i="96"/>
  <c r="D376" i="96"/>
  <c r="D381" i="96" s="1"/>
  <c r="E149" i="91"/>
  <c r="C462" i="96"/>
  <c r="E141" i="91"/>
  <c r="E140" i="91"/>
  <c r="C134" i="87"/>
  <c r="C144" i="91"/>
  <c r="C240" i="91"/>
  <c r="C141" i="87"/>
  <c r="C247" i="91"/>
  <c r="C339" i="96"/>
  <c r="B135" i="69"/>
  <c r="B220" i="69"/>
  <c r="F119" i="91"/>
  <c r="B157" i="69"/>
  <c r="B242" i="69"/>
  <c r="D125" i="66"/>
  <c r="D210" i="66"/>
  <c r="B154" i="66"/>
  <c r="B239" i="66"/>
  <c r="C147" i="66"/>
  <c r="C232" i="66"/>
  <c r="B218" i="69"/>
  <c r="B133" i="69"/>
  <c r="B123" i="69"/>
  <c r="D201" i="69"/>
  <c r="B107" i="68"/>
  <c r="B192" i="68"/>
  <c r="D108" i="91"/>
  <c r="D204" i="91"/>
  <c r="C122" i="68"/>
  <c r="D113" i="87"/>
  <c r="D123" i="91"/>
  <c r="C117" i="91"/>
  <c r="C213" i="91"/>
  <c r="F132" i="91"/>
  <c r="F128" i="91"/>
  <c r="F126" i="91"/>
  <c r="D224" i="96"/>
  <c r="E182" i="68"/>
  <c r="K96" i="87"/>
  <c r="K83" i="87" s="1"/>
  <c r="C140" i="87"/>
  <c r="C150" i="91"/>
  <c r="D456" i="96"/>
  <c r="E150" i="91"/>
  <c r="E142" i="91"/>
  <c r="E137" i="91"/>
  <c r="C337" i="96"/>
  <c r="G151" i="91"/>
  <c r="E480" i="96"/>
  <c r="E125" i="91"/>
  <c r="G117" i="91"/>
  <c r="G131" i="91"/>
  <c r="G111" i="91"/>
  <c r="G114" i="91"/>
  <c r="G106" i="91"/>
  <c r="G145" i="91"/>
  <c r="G121" i="91"/>
  <c r="G107" i="91"/>
  <c r="G123" i="91"/>
  <c r="B101" i="68"/>
  <c r="B186" i="68"/>
  <c r="C208" i="69"/>
  <c r="C123" i="69"/>
  <c r="C497" i="96"/>
  <c r="G142" i="91"/>
  <c r="G144" i="91"/>
  <c r="G147" i="91"/>
  <c r="G113" i="91"/>
  <c r="G105" i="91"/>
  <c r="F458" i="96"/>
  <c r="G112" i="91"/>
  <c r="G110" i="91"/>
  <c r="C121" i="68"/>
  <c r="P47" i="91"/>
  <c r="C341" i="96"/>
  <c r="C468" i="96"/>
  <c r="C484" i="96" s="1"/>
  <c r="P48" i="91"/>
  <c r="P51" i="91"/>
  <c r="P55" i="91"/>
  <c r="G126" i="91"/>
  <c r="G158" i="91"/>
  <c r="C213" i="96"/>
  <c r="H376" i="96"/>
  <c r="G150" i="91"/>
  <c r="G127" i="91"/>
  <c r="G143" i="91"/>
  <c r="C127" i="68"/>
  <c r="B194" i="68"/>
  <c r="C489" i="96"/>
  <c r="G165" i="91"/>
  <c r="E155" i="91"/>
  <c r="P50" i="91"/>
  <c r="B146" i="91"/>
  <c r="C496" i="96"/>
  <c r="G156" i="91"/>
  <c r="G163" i="91"/>
  <c r="C495" i="96"/>
  <c r="C479" i="96" s="1"/>
  <c r="G152" i="91"/>
  <c r="G140" i="91"/>
  <c r="G132" i="91"/>
  <c r="C492" i="96"/>
  <c r="G164" i="91"/>
  <c r="G162" i="91"/>
  <c r="C494" i="96"/>
  <c r="C393" i="96"/>
  <c r="G138" i="91"/>
  <c r="C147" i="96"/>
  <c r="G108" i="91"/>
  <c r="P35" i="91"/>
  <c r="B95" i="87"/>
  <c r="P9" i="91"/>
  <c r="P20" i="91"/>
  <c r="P16" i="91"/>
  <c r="P25" i="91"/>
  <c r="B122" i="87"/>
  <c r="P32" i="91"/>
  <c r="B113" i="87"/>
  <c r="P27" i="91"/>
  <c r="B216" i="91"/>
  <c r="P24" i="91"/>
  <c r="B126" i="91"/>
  <c r="P30" i="91"/>
  <c r="B148" i="91"/>
  <c r="P52" i="91"/>
  <c r="P43" i="91"/>
  <c r="D349" i="96"/>
  <c r="P72" i="91"/>
  <c r="B98" i="87"/>
  <c r="P12" i="91"/>
  <c r="B105" i="87"/>
  <c r="P19" i="91"/>
  <c r="P15" i="91"/>
  <c r="B146" i="87"/>
  <c r="P60" i="91"/>
  <c r="B127" i="91"/>
  <c r="P31" i="91"/>
  <c r="B139" i="87"/>
  <c r="P53" i="91"/>
  <c r="P45" i="91"/>
  <c r="P44" i="91"/>
  <c r="E98" i="69"/>
  <c r="E183" i="69" s="1"/>
  <c r="P11" i="91"/>
  <c r="B214" i="91"/>
  <c r="P22" i="91"/>
  <c r="B114" i="91"/>
  <c r="P18" i="91"/>
  <c r="B100" i="87"/>
  <c r="P14" i="91"/>
  <c r="B120" i="87"/>
  <c r="P34" i="91"/>
  <c r="P29" i="91"/>
  <c r="B164" i="91"/>
  <c r="P59" i="91"/>
  <c r="B246" i="91"/>
  <c r="P54" i="91"/>
  <c r="P46" i="91"/>
  <c r="P41" i="91"/>
  <c r="B241" i="91"/>
  <c r="P49" i="91"/>
  <c r="B265" i="91"/>
  <c r="P73" i="91"/>
  <c r="B202" i="91"/>
  <c r="P10" i="91"/>
  <c r="B117" i="91"/>
  <c r="P21" i="91"/>
  <c r="P17" i="91"/>
  <c r="P26" i="91"/>
  <c r="P33" i="91"/>
  <c r="B220" i="91"/>
  <c r="P28" i="91"/>
  <c r="B138" i="91"/>
  <c r="P42" i="91"/>
  <c r="C349" i="96"/>
  <c r="B266" i="91"/>
  <c r="P74" i="91"/>
  <c r="B125" i="87"/>
  <c r="D145" i="87"/>
  <c r="D155" i="91"/>
  <c r="D251" i="91"/>
  <c r="D141" i="69"/>
  <c r="D248" i="91"/>
  <c r="P56" i="91"/>
  <c r="B170" i="91"/>
  <c r="B158" i="69"/>
  <c r="B242" i="66"/>
  <c r="B264" i="91"/>
  <c r="B157" i="68"/>
  <c r="B168" i="91"/>
  <c r="K376" i="96"/>
  <c r="K377" i="96"/>
  <c r="K385" i="96" s="1"/>
  <c r="J137" i="91"/>
  <c r="I137" i="91"/>
  <c r="E479" i="96"/>
  <c r="F132" i="69"/>
  <c r="F132" i="66"/>
  <c r="F219" i="69"/>
  <c r="F110" i="69"/>
  <c r="F110" i="66"/>
  <c r="E99" i="69"/>
  <c r="E99" i="66"/>
  <c r="I376" i="96"/>
  <c r="F140" i="66"/>
  <c r="E109" i="66"/>
  <c r="E134" i="69"/>
  <c r="E134" i="66"/>
  <c r="E211" i="96"/>
  <c r="F119" i="69"/>
  <c r="F119" i="66"/>
  <c r="J376" i="96"/>
  <c r="F154" i="66"/>
  <c r="E141" i="69"/>
  <c r="E141" i="66"/>
  <c r="E103" i="69"/>
  <c r="E103" i="66"/>
  <c r="F97" i="69"/>
  <c r="F97" i="66"/>
  <c r="F91" i="91"/>
  <c r="E287" i="96"/>
  <c r="E137" i="69"/>
  <c r="E137" i="66"/>
  <c r="E133" i="69"/>
  <c r="F133" i="69"/>
  <c r="F138" i="69"/>
  <c r="F138" i="66"/>
  <c r="F207" i="69"/>
  <c r="E107" i="69"/>
  <c r="E107" i="66"/>
  <c r="F236" i="69"/>
  <c r="F192" i="69"/>
  <c r="D211" i="96"/>
  <c r="D287" i="96"/>
  <c r="E236" i="69"/>
  <c r="E192" i="69"/>
  <c r="F379" i="96"/>
  <c r="E379" i="96"/>
  <c r="E387" i="96" s="1"/>
  <c r="F223" i="69"/>
  <c r="F141" i="91"/>
  <c r="E213" i="69"/>
  <c r="E214" i="69"/>
  <c r="E218" i="69"/>
  <c r="E225" i="69"/>
  <c r="E219" i="69"/>
  <c r="F210" i="69"/>
  <c r="F209" i="69"/>
  <c r="E108" i="69"/>
  <c r="E193" i="69" s="1"/>
  <c r="E108" i="66"/>
  <c r="E193" i="66" s="1"/>
  <c r="F238" i="69"/>
  <c r="E240" i="69"/>
  <c r="E238" i="69"/>
  <c r="E208" i="69"/>
  <c r="E108" i="91"/>
  <c r="E182" i="69"/>
  <c r="F213" i="69"/>
  <c r="E226" i="69"/>
  <c r="E212" i="69"/>
  <c r="E210" i="69"/>
  <c r="E209" i="69"/>
  <c r="F614" i="96"/>
  <c r="F232" i="69"/>
  <c r="F191" i="69"/>
  <c r="F189" i="69"/>
  <c r="F182" i="69"/>
  <c r="E232" i="69"/>
  <c r="E207" i="69"/>
  <c r="E191" i="69"/>
  <c r="E189" i="69"/>
  <c r="F212" i="69"/>
  <c r="E224" i="69"/>
  <c r="E216" i="69"/>
  <c r="F237" i="69"/>
  <c r="E237" i="69"/>
  <c r="F224" i="69"/>
  <c r="F216" i="69"/>
  <c r="E223" i="69"/>
  <c r="F214" i="69"/>
  <c r="F218" i="69"/>
  <c r="P126" i="87"/>
  <c r="N126" i="87"/>
  <c r="O126" i="87"/>
  <c r="F207" i="68"/>
  <c r="E208" i="68"/>
  <c r="F192" i="68"/>
  <c r="E181" i="68"/>
  <c r="E210" i="68"/>
  <c r="E209" i="68"/>
  <c r="F236" i="68"/>
  <c r="B244" i="68"/>
  <c r="C114" i="69"/>
  <c r="C96" i="69"/>
  <c r="C101" i="69"/>
  <c r="D199" i="69"/>
  <c r="D225" i="69"/>
  <c r="D102" i="69"/>
  <c r="C104" i="69"/>
  <c r="D105" i="69"/>
  <c r="B138" i="69"/>
  <c r="B107" i="69"/>
  <c r="D122" i="69"/>
  <c r="B100" i="69"/>
  <c r="C100" i="69"/>
  <c r="C197" i="69"/>
  <c r="B212" i="69"/>
  <c r="C131" i="69"/>
  <c r="B109" i="69"/>
  <c r="C232" i="69"/>
  <c r="B154" i="69"/>
  <c r="B102" i="66"/>
  <c r="C103" i="66"/>
  <c r="B189" i="66"/>
  <c r="D125" i="91"/>
  <c r="D219" i="91"/>
  <c r="D221" i="91"/>
  <c r="C204" i="91"/>
  <c r="E117" i="91"/>
  <c r="H137" i="91"/>
  <c r="C217" i="91"/>
  <c r="C121" i="91"/>
  <c r="F573" i="96"/>
  <c r="F216" i="96"/>
  <c r="D122" i="96"/>
  <c r="F124" i="91"/>
  <c r="F118" i="91"/>
  <c r="D222" i="96"/>
  <c r="E131" i="91"/>
  <c r="E129" i="91"/>
  <c r="C224" i="96"/>
  <c r="E127" i="91"/>
  <c r="C122" i="96"/>
  <c r="K86" i="87"/>
  <c r="C140" i="96"/>
  <c r="K75" i="87"/>
  <c r="E284" i="91"/>
  <c r="E113" i="91"/>
  <c r="C221" i="96"/>
  <c r="C119" i="96"/>
  <c r="D641" i="96"/>
  <c r="D132" i="87"/>
  <c r="D142" i="91"/>
  <c r="C131" i="87"/>
  <c r="C237" i="91"/>
  <c r="C141" i="91"/>
  <c r="B129" i="87"/>
  <c r="B139" i="91"/>
  <c r="B235" i="91"/>
  <c r="D137" i="91"/>
  <c r="D233" i="91"/>
  <c r="D468" i="96"/>
  <c r="D484" i="96" s="1"/>
  <c r="F148" i="91"/>
  <c r="F139" i="91"/>
  <c r="C338" i="96"/>
  <c r="C215" i="96"/>
  <c r="E138" i="91"/>
  <c r="C377" i="96"/>
  <c r="B134" i="87"/>
  <c r="B240" i="91"/>
  <c r="B141" i="87"/>
  <c r="B151" i="91"/>
  <c r="B242" i="91"/>
  <c r="B136" i="87"/>
  <c r="B111" i="87"/>
  <c r="B217" i="91"/>
  <c r="B121" i="91"/>
  <c r="D458" i="96"/>
  <c r="D111" i="91"/>
  <c r="B152" i="91"/>
  <c r="D245" i="91"/>
  <c r="D338" i="96"/>
  <c r="C155" i="91"/>
  <c r="D139" i="87"/>
  <c r="C145" i="87"/>
  <c r="M138" i="91"/>
  <c r="F392" i="96"/>
  <c r="F376" i="96"/>
  <c r="F111" i="91"/>
  <c r="F146" i="91"/>
  <c r="D121" i="96"/>
  <c r="D491" i="96"/>
  <c r="B208" i="68"/>
  <c r="B247" i="91"/>
  <c r="B169" i="91"/>
  <c r="C110" i="68"/>
  <c r="B117" i="66"/>
  <c r="D213" i="69"/>
  <c r="C114" i="87"/>
  <c r="D118" i="68"/>
  <c r="B104" i="68"/>
  <c r="D121" i="66"/>
  <c r="C117" i="69"/>
  <c r="D197" i="69"/>
  <c r="D198" i="66"/>
  <c r="B224" i="69"/>
  <c r="D166" i="91"/>
  <c r="D111" i="66"/>
  <c r="B182" i="69"/>
  <c r="B193" i="69"/>
  <c r="B211" i="66"/>
  <c r="D204" i="68"/>
  <c r="D100" i="68"/>
  <c r="D123" i="68"/>
  <c r="B110" i="66"/>
  <c r="D94" i="66"/>
  <c r="C153" i="66"/>
  <c r="C128" i="68"/>
  <c r="B150" i="66"/>
  <c r="D117" i="66"/>
  <c r="B161" i="91"/>
  <c r="B132" i="91"/>
  <c r="G376" i="96"/>
  <c r="J377" i="96"/>
  <c r="J385" i="96" s="1"/>
  <c r="D124" i="96"/>
  <c r="L138" i="91"/>
  <c r="L137" i="91"/>
  <c r="K137" i="91"/>
  <c r="D640" i="96"/>
  <c r="D339" i="96"/>
  <c r="F94" i="91"/>
  <c r="K138" i="91"/>
  <c r="D394" i="96"/>
  <c r="F490" i="96"/>
  <c r="H145" i="91"/>
  <c r="L88" i="87"/>
  <c r="D142" i="96"/>
  <c r="D490" i="96"/>
  <c r="H616" i="96"/>
  <c r="C500" i="96"/>
  <c r="C493" i="96"/>
  <c r="C392" i="96"/>
  <c r="C281" i="96"/>
  <c r="E201" i="68"/>
  <c r="M137" i="91"/>
  <c r="I377" i="96"/>
  <c r="I385" i="96" s="1"/>
  <c r="D618" i="96"/>
  <c r="C488" i="96"/>
  <c r="C378" i="96"/>
  <c r="C523" i="96" s="1"/>
  <c r="F464" i="96"/>
  <c r="E194" i="68"/>
  <c r="D147" i="96"/>
  <c r="L126" i="87"/>
  <c r="L125" i="87"/>
  <c r="J138" i="91"/>
  <c r="F380" i="96"/>
  <c r="D281" i="96"/>
  <c r="K98" i="87"/>
  <c r="D461" i="96"/>
  <c r="C456" i="96"/>
  <c r="F147" i="91"/>
  <c r="K126" i="87"/>
  <c r="K125" i="87"/>
  <c r="D619" i="96"/>
  <c r="H129" i="91"/>
  <c r="F145" i="91"/>
  <c r="D223" i="96"/>
  <c r="E132" i="91"/>
  <c r="F201" i="68"/>
  <c r="F147" i="96"/>
  <c r="E221" i="96"/>
  <c r="E639" i="96"/>
  <c r="E119" i="96"/>
  <c r="E617" i="96"/>
  <c r="M97" i="87"/>
  <c r="E574" i="96"/>
  <c r="E147" i="96"/>
  <c r="E394" i="96"/>
  <c r="E541" i="96" s="1"/>
  <c r="M89" i="87"/>
  <c r="E636" i="96"/>
  <c r="E619" i="96"/>
  <c r="E630" i="96" s="1"/>
  <c r="E380" i="96"/>
  <c r="M84" i="87"/>
  <c r="E338" i="96"/>
  <c r="E392" i="96"/>
  <c r="L73" i="87"/>
  <c r="D282" i="96"/>
  <c r="F89" i="91"/>
  <c r="E377" i="96"/>
  <c r="E385" i="96" s="1"/>
  <c r="F210" i="96"/>
  <c r="H151" i="91"/>
  <c r="F496" i="96"/>
  <c r="N131" i="87"/>
  <c r="E141" i="96"/>
  <c r="E488" i="96"/>
  <c r="E542" i="96" s="1"/>
  <c r="M90" i="87"/>
  <c r="E638" i="96"/>
  <c r="E586" i="96"/>
  <c r="E615" i="96"/>
  <c r="E585" i="96"/>
  <c r="E489" i="96"/>
  <c r="E543" i="96" s="1"/>
  <c r="M138" i="87"/>
  <c r="M115" i="87"/>
  <c r="M129" i="87"/>
  <c r="M120" i="87"/>
  <c r="E112" i="91"/>
  <c r="D226" i="96"/>
  <c r="D251" i="96" s="1"/>
  <c r="F94" i="69" l="1"/>
  <c r="F103" i="66"/>
  <c r="K40" i="87"/>
  <c r="C474" i="96"/>
  <c r="E111" i="66"/>
  <c r="E95" i="66"/>
  <c r="D297" i="96"/>
  <c r="M110" i="87"/>
  <c r="M74" i="87" s="1"/>
  <c r="E206" i="68"/>
  <c r="D748" i="96"/>
  <c r="D296" i="96"/>
  <c r="D295" i="96"/>
  <c r="D300" i="96"/>
  <c r="D298" i="96"/>
  <c r="N146" i="87"/>
  <c r="D299" i="96"/>
  <c r="E282" i="96"/>
  <c r="C526" i="96"/>
  <c r="D350" i="96"/>
  <c r="C162" i="96"/>
  <c r="C250" i="96"/>
  <c r="C252" i="96" s="1"/>
  <c r="D234" i="96"/>
  <c r="D244" i="96"/>
  <c r="D477" i="96"/>
  <c r="D236" i="96"/>
  <c r="D240" i="96"/>
  <c r="D242" i="96"/>
  <c r="D154" i="96"/>
  <c r="D245" i="96"/>
  <c r="L36" i="87"/>
  <c r="D239" i="96"/>
  <c r="D233" i="96"/>
  <c r="C245" i="96"/>
  <c r="D250" i="96"/>
  <c r="D238" i="96"/>
  <c r="D235" i="96"/>
  <c r="D237" i="96"/>
  <c r="D241" i="96"/>
  <c r="D543" i="96"/>
  <c r="F95" i="66"/>
  <c r="F180" i="66" s="1"/>
  <c r="F234" i="68"/>
  <c r="D643" i="96"/>
  <c r="D621" i="96"/>
  <c r="F143" i="96"/>
  <c r="F159" i="96" s="1"/>
  <c r="E621" i="96"/>
  <c r="F234" i="69"/>
  <c r="E235" i="69"/>
  <c r="F235" i="69"/>
  <c r="E192" i="68"/>
  <c r="F179" i="68"/>
  <c r="E210" i="66"/>
  <c r="F209" i="66"/>
  <c r="E209" i="66"/>
  <c r="F210" i="66"/>
  <c r="F218" i="66"/>
  <c r="E215" i="66"/>
  <c r="F211" i="69"/>
  <c r="E202" i="69"/>
  <c r="E206" i="69"/>
  <c r="F203" i="69"/>
  <c r="F217" i="66"/>
  <c r="E239" i="66"/>
  <c r="F232" i="66"/>
  <c r="F221" i="69"/>
  <c r="E217" i="69"/>
  <c r="F213" i="66"/>
  <c r="E240" i="66"/>
  <c r="F200" i="69"/>
  <c r="E218" i="66"/>
  <c r="F215" i="66"/>
  <c r="F198" i="66"/>
  <c r="E232" i="68"/>
  <c r="H140" i="91"/>
  <c r="E461" i="96"/>
  <c r="E477" i="96" s="1"/>
  <c r="F216" i="66"/>
  <c r="E200" i="66"/>
  <c r="F237" i="66"/>
  <c r="E220" i="66"/>
  <c r="E211" i="69"/>
  <c r="F217" i="69"/>
  <c r="E196" i="66"/>
  <c r="E232" i="66"/>
  <c r="E239" i="69"/>
  <c r="E226" i="66"/>
  <c r="F229" i="69"/>
  <c r="E203" i="69"/>
  <c r="F202" i="66"/>
  <c r="E219" i="66"/>
  <c r="E222" i="69"/>
  <c r="E186" i="66"/>
  <c r="E230" i="66"/>
  <c r="F186" i="66"/>
  <c r="E126" i="69"/>
  <c r="F117" i="69"/>
  <c r="E196" i="68"/>
  <c r="F114" i="69"/>
  <c r="F199" i="69" s="1"/>
  <c r="F116" i="69"/>
  <c r="F120" i="69"/>
  <c r="F205" i="69" s="1"/>
  <c r="E135" i="69"/>
  <c r="F127" i="66"/>
  <c r="F212" i="66" s="1"/>
  <c r="F144" i="69"/>
  <c r="E105" i="66"/>
  <c r="F237" i="68"/>
  <c r="F230" i="68"/>
  <c r="F225" i="66"/>
  <c r="F214" i="66"/>
  <c r="E200" i="69"/>
  <c r="F201" i="69"/>
  <c r="E221" i="66"/>
  <c r="E216" i="66"/>
  <c r="F226" i="66"/>
  <c r="E198" i="66"/>
  <c r="F185" i="66"/>
  <c r="F194" i="66"/>
  <c r="F202" i="69"/>
  <c r="F206" i="69"/>
  <c r="E214" i="66"/>
  <c r="E213" i="66"/>
  <c r="F230" i="69"/>
  <c r="D171" i="70" s="1"/>
  <c r="F219" i="66"/>
  <c r="B671" i="96"/>
  <c r="B691" i="96" s="1"/>
  <c r="E139" i="66"/>
  <c r="E224" i="66" s="1"/>
  <c r="F115" i="66"/>
  <c r="E138" i="66"/>
  <c r="E223" i="66" s="1"/>
  <c r="E104" i="69"/>
  <c r="E113" i="69"/>
  <c r="E128" i="66"/>
  <c r="E222" i="68"/>
  <c r="E202" i="66"/>
  <c r="E237" i="66"/>
  <c r="F235" i="66"/>
  <c r="E221" i="69"/>
  <c r="E207" i="66"/>
  <c r="F221" i="66"/>
  <c r="E217" i="66"/>
  <c r="E201" i="69"/>
  <c r="F200" i="66"/>
  <c r="F204" i="66"/>
  <c r="E225" i="66"/>
  <c r="E229" i="69"/>
  <c r="E236" i="66"/>
  <c r="F236" i="66"/>
  <c r="F207" i="66"/>
  <c r="E236" i="68"/>
  <c r="B672" i="96"/>
  <c r="B670" i="96"/>
  <c r="B690" i="96" s="1"/>
  <c r="E131" i="69"/>
  <c r="F585" i="96"/>
  <c r="F579" i="96" s="1"/>
  <c r="E212" i="68"/>
  <c r="E131" i="66"/>
  <c r="E135" i="66"/>
  <c r="C524" i="96"/>
  <c r="C469" i="96"/>
  <c r="D472" i="96"/>
  <c r="D469" i="96"/>
  <c r="E130" i="66"/>
  <c r="E129" i="66"/>
  <c r="E188" i="68"/>
  <c r="E239" i="68"/>
  <c r="E105" i="69"/>
  <c r="E190" i="69" s="1"/>
  <c r="F120" i="66"/>
  <c r="F205" i="66" s="1"/>
  <c r="E129" i="69"/>
  <c r="E130" i="69"/>
  <c r="E117" i="66"/>
  <c r="F116" i="66"/>
  <c r="F115" i="69"/>
  <c r="B461" i="96"/>
  <c r="B477" i="96" s="1"/>
  <c r="F114" i="66"/>
  <c r="F199" i="66" s="1"/>
  <c r="E104" i="66"/>
  <c r="F188" i="91"/>
  <c r="E191" i="68"/>
  <c r="E219" i="68"/>
  <c r="F749" i="96"/>
  <c r="D252" i="96"/>
  <c r="D253" i="96" s="1"/>
  <c r="C752" i="96"/>
  <c r="F474" i="96"/>
  <c r="D752" i="96"/>
  <c r="E524" i="96"/>
  <c r="E472" i="96"/>
  <c r="F480" i="96"/>
  <c r="C501" i="96"/>
  <c r="N78" i="87"/>
  <c r="F144" i="66"/>
  <c r="D527" i="96"/>
  <c r="D536" i="96" s="1"/>
  <c r="D479" i="96"/>
  <c r="C475" i="96"/>
  <c r="D475" i="96"/>
  <c r="C756" i="96"/>
  <c r="C478" i="96"/>
  <c r="D526" i="96"/>
  <c r="D474" i="96"/>
  <c r="E525" i="96"/>
  <c r="E534" i="96" s="1"/>
  <c r="E473" i="96"/>
  <c r="C477" i="96"/>
  <c r="C542" i="96"/>
  <c r="D203" i="70"/>
  <c r="E195" i="68"/>
  <c r="F196" i="68"/>
  <c r="D547" i="96"/>
  <c r="F180" i="68"/>
  <c r="K392" i="96"/>
  <c r="E140" i="69"/>
  <c r="E119" i="66"/>
  <c r="E189" i="91"/>
  <c r="Z41" i="123"/>
  <c r="Z43" i="123" s="1"/>
  <c r="Z42" i="123" s="1"/>
  <c r="F199" i="68"/>
  <c r="I392" i="96"/>
  <c r="J392" i="96"/>
  <c r="F217" i="68"/>
  <c r="E186" i="68"/>
  <c r="F636" i="96"/>
  <c r="F625" i="96" s="1"/>
  <c r="E132" i="66"/>
  <c r="D529" i="96"/>
  <c r="F187" i="91"/>
  <c r="E187" i="91"/>
  <c r="F189" i="91"/>
  <c r="B458" i="96"/>
  <c r="B490" i="96" s="1"/>
  <c r="E122" i="66"/>
  <c r="E132" i="69"/>
  <c r="F129" i="66"/>
  <c r="E119" i="69"/>
  <c r="E204" i="69" s="1"/>
  <c r="E140" i="66"/>
  <c r="F99" i="66"/>
  <c r="F111" i="66"/>
  <c r="F166" i="91"/>
  <c r="F208" i="68"/>
  <c r="F133" i="66"/>
  <c r="F99" i="69"/>
  <c r="F184" i="69" s="1"/>
  <c r="E533" i="96"/>
  <c r="E188" i="91"/>
  <c r="F140" i="69"/>
  <c r="F225" i="69" s="1"/>
  <c r="F281" i="91"/>
  <c r="E189" i="68"/>
  <c r="E197" i="68"/>
  <c r="E117" i="69"/>
  <c r="E190" i="91"/>
  <c r="E211" i="68"/>
  <c r="E223" i="68"/>
  <c r="F141" i="69"/>
  <c r="E94" i="69"/>
  <c r="E179" i="69" s="1"/>
  <c r="F123" i="69"/>
  <c r="F121" i="69"/>
  <c r="E133" i="66"/>
  <c r="F117" i="66"/>
  <c r="F131" i="69"/>
  <c r="E218" i="68"/>
  <c r="E226" i="68"/>
  <c r="B465" i="96"/>
  <c r="B481" i="96" s="1"/>
  <c r="E139" i="69"/>
  <c r="E112" i="69"/>
  <c r="F108" i="66"/>
  <c r="F193" i="66" s="1"/>
  <c r="E115" i="66"/>
  <c r="F129" i="69"/>
  <c r="F101" i="66"/>
  <c r="F104" i="66"/>
  <c r="F189" i="66" s="1"/>
  <c r="E627" i="96"/>
  <c r="F141" i="66"/>
  <c r="E94" i="66"/>
  <c r="F188" i="66"/>
  <c r="F108" i="69"/>
  <c r="F193" i="69" s="1"/>
  <c r="F121" i="66"/>
  <c r="E115" i="69"/>
  <c r="F131" i="66"/>
  <c r="F104" i="69"/>
  <c r="D256" i="70"/>
  <c r="D544" i="96"/>
  <c r="E188" i="69"/>
  <c r="F211" i="68"/>
  <c r="C532" i="96"/>
  <c r="E180" i="66"/>
  <c r="E110" i="66"/>
  <c r="F96" i="66"/>
  <c r="F181" i="66" s="1"/>
  <c r="F106" i="66"/>
  <c r="F191" i="66" s="1"/>
  <c r="F105" i="69"/>
  <c r="F190" i="69" s="1"/>
  <c r="F101" i="69"/>
  <c r="F186" i="69" s="1"/>
  <c r="E138" i="69"/>
  <c r="F111" i="69"/>
  <c r="C529" i="96"/>
  <c r="C547" i="96"/>
  <c r="C203" i="70"/>
  <c r="E110" i="69"/>
  <c r="E114" i="66"/>
  <c r="E199" i="66" s="1"/>
  <c r="F118" i="69"/>
  <c r="F102" i="66"/>
  <c r="F187" i="66" s="1"/>
  <c r="F96" i="69"/>
  <c r="F181" i="69" s="1"/>
  <c r="F106" i="69"/>
  <c r="E136" i="66"/>
  <c r="F112" i="66"/>
  <c r="F197" i="66" s="1"/>
  <c r="E179" i="68"/>
  <c r="F194" i="68"/>
  <c r="E114" i="69"/>
  <c r="E199" i="69" s="1"/>
  <c r="F102" i="69"/>
  <c r="F187" i="69" s="1"/>
  <c r="E136" i="69"/>
  <c r="F112" i="69"/>
  <c r="F197" i="69" s="1"/>
  <c r="E237" i="68"/>
  <c r="F186" i="91"/>
  <c r="F192" i="91"/>
  <c r="E235" i="68"/>
  <c r="D397" i="96"/>
  <c r="D389" i="96" s="1"/>
  <c r="D541" i="96"/>
  <c r="D532" i="96" s="1"/>
  <c r="C545" i="96"/>
  <c r="C536" i="96" s="1"/>
  <c r="C544" i="96"/>
  <c r="C535" i="96" s="1"/>
  <c r="C543" i="96"/>
  <c r="E388" i="96"/>
  <c r="C758" i="96"/>
  <c r="C757" i="96" s="1"/>
  <c r="E527" i="96"/>
  <c r="E536" i="96" s="1"/>
  <c r="L37" i="87"/>
  <c r="D524" i="96"/>
  <c r="C342" i="96"/>
  <c r="G139" i="91"/>
  <c r="E35" i="123"/>
  <c r="E587" i="96"/>
  <c r="E208" i="66"/>
  <c r="B629" i="96"/>
  <c r="E575" i="96"/>
  <c r="F235" i="68"/>
  <c r="F221" i="68"/>
  <c r="E43" i="123"/>
  <c r="E42" i="123" s="1"/>
  <c r="T49" i="123"/>
  <c r="T48" i="123" s="1"/>
  <c r="B627" i="96"/>
  <c r="H392" i="96"/>
  <c r="T37" i="123"/>
  <c r="T36" i="123" s="1"/>
  <c r="Y43" i="123"/>
  <c r="Y42" i="123" s="1"/>
  <c r="D37" i="123"/>
  <c r="D31" i="123" s="1"/>
  <c r="T43" i="123"/>
  <c r="T42" i="123" s="1"/>
  <c r="U43" i="123"/>
  <c r="U42" i="123" s="1"/>
  <c r="E160" i="70"/>
  <c r="E676" i="96"/>
  <c r="E686" i="96" s="1"/>
  <c r="D676" i="96"/>
  <c r="D686" i="96" s="1"/>
  <c r="V49" i="123"/>
  <c r="V48" i="123" s="1"/>
  <c r="T55" i="123"/>
  <c r="T54" i="123" s="1"/>
  <c r="U37" i="123"/>
  <c r="V55" i="123"/>
  <c r="V54" i="123" s="1"/>
  <c r="C43" i="123"/>
  <c r="C31" i="123" s="1"/>
  <c r="V37" i="123"/>
  <c r="V36" i="123" s="1"/>
  <c r="V43" i="123"/>
  <c r="V42" i="123" s="1"/>
  <c r="E240" i="68"/>
  <c r="E628" i="96"/>
  <c r="E625" i="96"/>
  <c r="B630" i="96"/>
  <c r="C385" i="96"/>
  <c r="C397" i="96"/>
  <c r="K35" i="87"/>
  <c r="E216" i="68"/>
  <c r="D756" i="96"/>
  <c r="C350" i="96"/>
  <c r="I384" i="96"/>
  <c r="G384" i="96"/>
  <c r="D758" i="96"/>
  <c r="D757" i="96" s="1"/>
  <c r="K384" i="96"/>
  <c r="H384" i="96"/>
  <c r="D162" i="96"/>
  <c r="J384" i="96"/>
  <c r="C755" i="96"/>
  <c r="D384" i="96"/>
  <c r="D755" i="96"/>
  <c r="F184" i="68"/>
  <c r="B464" i="96"/>
  <c r="B480" i="96" s="1"/>
  <c r="F240" i="68"/>
  <c r="F222" i="69"/>
  <c r="F240" i="69"/>
  <c r="B640" i="96"/>
  <c r="E179" i="66"/>
  <c r="E184" i="66"/>
  <c r="E235" i="66"/>
  <c r="E194" i="66"/>
  <c r="F206" i="66"/>
  <c r="F179" i="66"/>
  <c r="E206" i="66"/>
  <c r="F184" i="66"/>
  <c r="F239" i="66"/>
  <c r="F239" i="69"/>
  <c r="B468" i="96"/>
  <c r="B484" i="96" s="1"/>
  <c r="F229" i="66"/>
  <c r="E188" i="66"/>
  <c r="F127" i="69"/>
  <c r="B457" i="96"/>
  <c r="L38" i="87"/>
  <c r="E144" i="66"/>
  <c r="F126" i="66"/>
  <c r="F211" i="66" s="1"/>
  <c r="F109" i="66"/>
  <c r="F222" i="68"/>
  <c r="C148" i="96"/>
  <c r="E96" i="66"/>
  <c r="E181" i="66" s="1"/>
  <c r="E144" i="69"/>
  <c r="F139" i="66"/>
  <c r="F224" i="66" s="1"/>
  <c r="E126" i="66"/>
  <c r="E211" i="66" s="1"/>
  <c r="F118" i="66"/>
  <c r="F203" i="66" s="1"/>
  <c r="F126" i="69"/>
  <c r="F109" i="69"/>
  <c r="F194" i="69" s="1"/>
  <c r="F229" i="68"/>
  <c r="F218" i="68"/>
  <c r="F223" i="68"/>
  <c r="E225" i="68"/>
  <c r="E184" i="68"/>
  <c r="L35" i="87"/>
  <c r="F179" i="69"/>
  <c r="F226" i="68"/>
  <c r="C158" i="96"/>
  <c r="F190" i="66"/>
  <c r="F214" i="68"/>
  <c r="D204" i="70"/>
  <c r="F204" i="69"/>
  <c r="F212" i="68"/>
  <c r="E238" i="68"/>
  <c r="E214" i="68"/>
  <c r="F216" i="68"/>
  <c r="E187" i="68"/>
  <c r="E207" i="68"/>
  <c r="D161" i="70"/>
  <c r="F232" i="68"/>
  <c r="C253" i="96"/>
  <c r="C204" i="70"/>
  <c r="E180" i="69"/>
  <c r="C162" i="70"/>
  <c r="F200" i="68"/>
  <c r="F238" i="68"/>
  <c r="F187" i="68"/>
  <c r="F191" i="68"/>
  <c r="D160" i="70"/>
  <c r="F230" i="66"/>
  <c r="E181" i="69"/>
  <c r="F201" i="66"/>
  <c r="E189" i="66"/>
  <c r="F182" i="66"/>
  <c r="F206" i="68"/>
  <c r="F189" i="68"/>
  <c r="E180" i="68"/>
  <c r="E194" i="69"/>
  <c r="E230" i="68"/>
  <c r="C161" i="70"/>
  <c r="E229" i="68"/>
  <c r="G148" i="91"/>
  <c r="G130" i="91"/>
  <c r="E162" i="70"/>
  <c r="E184" i="69"/>
  <c r="C202" i="70"/>
  <c r="B456" i="96"/>
  <c r="D130" i="96"/>
  <c r="G125" i="91"/>
  <c r="G120" i="91"/>
  <c r="E230" i="69"/>
  <c r="C171" i="70" s="1"/>
  <c r="F188" i="69"/>
  <c r="E161" i="70"/>
  <c r="B459" i="96"/>
  <c r="B460" i="96"/>
  <c r="E580" i="96"/>
  <c r="F185" i="68"/>
  <c r="D148" i="96"/>
  <c r="L44" i="87" s="1"/>
  <c r="D162" i="70"/>
  <c r="F180" i="69"/>
  <c r="F223" i="66"/>
  <c r="C472" i="96"/>
  <c r="E204" i="66"/>
  <c r="D202" i="70"/>
  <c r="E192" i="66"/>
  <c r="E202" i="70"/>
  <c r="I616" i="96"/>
  <c r="B463" i="96"/>
  <c r="B462" i="96"/>
  <c r="F213" i="68"/>
  <c r="C160" i="70"/>
  <c r="G614" i="96"/>
  <c r="D303" i="96"/>
  <c r="E127" i="69"/>
  <c r="E127" i="66"/>
  <c r="E212" i="66" s="1"/>
  <c r="F137" i="69"/>
  <c r="F137" i="66"/>
  <c r="F222" i="66" s="1"/>
  <c r="E116" i="69"/>
  <c r="E116" i="66"/>
  <c r="E201" i="66" s="1"/>
  <c r="F208" i="66"/>
  <c r="E97" i="69"/>
  <c r="E97" i="66"/>
  <c r="E182" i="66" s="1"/>
  <c r="E238" i="66"/>
  <c r="F238" i="66"/>
  <c r="E101" i="69"/>
  <c r="E186" i="69" s="1"/>
  <c r="E101" i="66"/>
  <c r="F122" i="69"/>
  <c r="F122" i="66"/>
  <c r="E102" i="69"/>
  <c r="E187" i="69" s="1"/>
  <c r="E102" i="66"/>
  <c r="E187" i="66" s="1"/>
  <c r="E120" i="69"/>
  <c r="E205" i="69" s="1"/>
  <c r="E120" i="66"/>
  <c r="E205" i="66" s="1"/>
  <c r="E123" i="69"/>
  <c r="E123" i="66"/>
  <c r="E222" i="66"/>
  <c r="E190" i="66"/>
  <c r="F135" i="69"/>
  <c r="F135" i="66"/>
  <c r="F100" i="69"/>
  <c r="F185" i="69" s="1"/>
  <c r="F100" i="66"/>
  <c r="F128" i="69"/>
  <c r="F128" i="66"/>
  <c r="E118" i="69"/>
  <c r="E118" i="66"/>
  <c r="E203" i="66" s="1"/>
  <c r="F107" i="69"/>
  <c r="F107" i="66"/>
  <c r="F192" i="66" s="1"/>
  <c r="F113" i="69"/>
  <c r="F113" i="66"/>
  <c r="E106" i="69"/>
  <c r="E106" i="66"/>
  <c r="E191" i="66" s="1"/>
  <c r="E197" i="66"/>
  <c r="E121" i="69"/>
  <c r="E121" i="66"/>
  <c r="F134" i="69"/>
  <c r="F134" i="66"/>
  <c r="F136" i="69"/>
  <c r="F136" i="66"/>
  <c r="E229" i="66"/>
  <c r="F130" i="66"/>
  <c r="F130" i="69"/>
  <c r="E197" i="69"/>
  <c r="F211" i="96"/>
  <c r="E215" i="68"/>
  <c r="C118" i="70"/>
  <c r="F208" i="69"/>
  <c r="E203" i="70"/>
  <c r="C213" i="70"/>
  <c r="E171" i="70"/>
  <c r="D342" i="96"/>
  <c r="K38" i="87"/>
  <c r="D307" i="96"/>
  <c r="D308" i="96" s="1"/>
  <c r="D501" i="96"/>
  <c r="D502" i="96" s="1"/>
  <c r="G191" i="91"/>
  <c r="F190" i="91"/>
  <c r="F384" i="96"/>
  <c r="B637" i="96"/>
  <c r="B626" i="96"/>
  <c r="E397" i="96"/>
  <c r="D304" i="96"/>
  <c r="D386" i="96"/>
  <c r="D132" i="96"/>
  <c r="D158" i="96"/>
  <c r="L40" i="87"/>
  <c r="C381" i="96"/>
  <c r="C386" i="96"/>
  <c r="C384" i="96"/>
  <c r="H141" i="91"/>
  <c r="F395" i="96"/>
  <c r="F387" i="96" s="1"/>
  <c r="M41" i="87"/>
  <c r="E637" i="96"/>
  <c r="E643" i="96" s="1"/>
  <c r="G192" i="91"/>
  <c r="E579" i="96"/>
  <c r="N128" i="87"/>
  <c r="M106" i="87"/>
  <c r="M85" i="87"/>
  <c r="E748" i="96"/>
  <c r="E213" i="96"/>
  <c r="M139" i="87"/>
  <c r="E378" i="96"/>
  <c r="E212" i="96"/>
  <c r="D246" i="96"/>
  <c r="D247" i="96"/>
  <c r="H31" i="76"/>
  <c r="B493" i="96" l="1"/>
  <c r="C533" i="96"/>
  <c r="L229" i="96"/>
  <c r="K127" i="96"/>
  <c r="K218" i="96"/>
  <c r="K285" i="96"/>
  <c r="B681" i="96"/>
  <c r="D351" i="96"/>
  <c r="D538" i="96"/>
  <c r="F203" i="68"/>
  <c r="B680" i="96"/>
  <c r="C528" i="96"/>
  <c r="B692" i="96"/>
  <c r="B682" i="96"/>
  <c r="F226" i="69"/>
  <c r="F239" i="68"/>
  <c r="C211" i="70"/>
  <c r="E169" i="70"/>
  <c r="F190" i="68"/>
  <c r="E205" i="68"/>
  <c r="E217" i="68"/>
  <c r="C485" i="96"/>
  <c r="F155" i="69"/>
  <c r="F185" i="91"/>
  <c r="E462" i="96"/>
  <c r="F204" i="68"/>
  <c r="D535" i="96"/>
  <c r="F225" i="68"/>
  <c r="E199" i="68"/>
  <c r="F197" i="68"/>
  <c r="D213" i="70"/>
  <c r="D212" i="70"/>
  <c r="E224" i="68"/>
  <c r="C205" i="70"/>
  <c r="D485" i="96"/>
  <c r="D169" i="70"/>
  <c r="F155" i="66"/>
  <c r="E190" i="68"/>
  <c r="E203" i="68"/>
  <c r="E202" i="68"/>
  <c r="F224" i="68"/>
  <c r="D632" i="96"/>
  <c r="D150" i="96"/>
  <c r="B497" i="96"/>
  <c r="E213" i="68"/>
  <c r="F219" i="68"/>
  <c r="F202" i="68"/>
  <c r="F205" i="68"/>
  <c r="F188" i="68"/>
  <c r="B474" i="96"/>
  <c r="J4" i="71"/>
  <c r="H380" i="96"/>
  <c r="C212" i="70"/>
  <c r="D170" i="70"/>
  <c r="E204" i="68"/>
  <c r="E200" i="68"/>
  <c r="E163" i="70"/>
  <c r="F240" i="66" l="1"/>
  <c r="U31" i="123" l="1"/>
  <c r="E211" i="70"/>
  <c r="T30" i="123"/>
  <c r="C538" i="96"/>
  <c r="D528" i="96"/>
  <c r="D533" i="96"/>
  <c r="F388" i="96"/>
  <c r="C470" i="96"/>
  <c r="D470" i="96"/>
  <c r="E386" i="96"/>
  <c r="E523" i="96"/>
  <c r="E532" i="96" s="1"/>
  <c r="B473" i="96"/>
  <c r="B638" i="96"/>
  <c r="B500" i="96"/>
  <c r="C389" i="96"/>
  <c r="V30" i="123"/>
  <c r="D211" i="70"/>
  <c r="D214" i="70" s="1"/>
  <c r="C169" i="70"/>
  <c r="G690" i="96"/>
  <c r="G696" i="96" s="1"/>
  <c r="D36" i="123"/>
  <c r="D30" i="123" s="1"/>
  <c r="B586" i="96"/>
  <c r="B580" i="96"/>
  <c r="B585" i="96"/>
  <c r="B579" i="96"/>
  <c r="B496" i="96"/>
  <c r="K670" i="96"/>
  <c r="V31" i="123"/>
  <c r="T31" i="123"/>
  <c r="AA41" i="123"/>
  <c r="AA43" i="123" s="1"/>
  <c r="AA42" i="123" s="1"/>
  <c r="L671" i="96"/>
  <c r="G636" i="96"/>
  <c r="C42" i="123"/>
  <c r="C30" i="123" s="1"/>
  <c r="U36" i="123"/>
  <c r="U30" i="123" s="1"/>
  <c r="B628" i="96"/>
  <c r="B639" i="96"/>
  <c r="B625" i="96"/>
  <c r="B636" i="96"/>
  <c r="E37" i="123"/>
  <c r="E31" i="123" s="1"/>
  <c r="C546" i="96"/>
  <c r="C537" i="96" s="1"/>
  <c r="C502" i="96"/>
  <c r="H636" i="96"/>
  <c r="D205" i="70"/>
  <c r="B489" i="96"/>
  <c r="D149" i="96"/>
  <c r="E212" i="70"/>
  <c r="C214" i="70"/>
  <c r="D163" i="70"/>
  <c r="C163" i="70"/>
  <c r="G149" i="91"/>
  <c r="B491" i="96"/>
  <c r="B475" i="96"/>
  <c r="C170" i="70"/>
  <c r="B472" i="96"/>
  <c r="B488" i="96"/>
  <c r="G116" i="91"/>
  <c r="B476" i="96"/>
  <c r="B492" i="96"/>
  <c r="C127" i="70"/>
  <c r="D343" i="96"/>
  <c r="E204" i="70"/>
  <c r="E205" i="70" s="1"/>
  <c r="D546" i="96"/>
  <c r="B479" i="96"/>
  <c r="B495" i="96"/>
  <c r="B494" i="96"/>
  <c r="B478" i="96"/>
  <c r="J616" i="96"/>
  <c r="H614" i="96"/>
  <c r="F196" i="66"/>
  <c r="E196" i="69"/>
  <c r="F215" i="68"/>
  <c r="D382" i="96"/>
  <c r="D172" i="70"/>
  <c r="K101" i="87"/>
  <c r="I380" i="96"/>
  <c r="E340" i="96"/>
  <c r="E494" i="96"/>
  <c r="E632" i="96"/>
  <c r="M42" i="87"/>
  <c r="F377" i="96"/>
  <c r="H138" i="91"/>
  <c r="E348" i="96"/>
  <c r="E140" i="96"/>
  <c r="F119" i="96"/>
  <c r="F287" i="96"/>
  <c r="F221" i="96"/>
  <c r="L218" i="96" l="1"/>
  <c r="L127" i="96"/>
  <c r="L285" i="96"/>
  <c r="E213" i="70"/>
  <c r="E214" i="70" s="1"/>
  <c r="E170" i="70"/>
  <c r="E172" i="70" s="1"/>
  <c r="E215" i="69"/>
  <c r="C172" i="70"/>
  <c r="E756" i="96"/>
  <c r="E478" i="96"/>
  <c r="D537" i="96"/>
  <c r="E36" i="123" l="1"/>
  <c r="E30" i="123" s="1"/>
  <c r="H625" i="96"/>
  <c r="AB41" i="123"/>
  <c r="AB43" i="123" s="1"/>
  <c r="AB42" i="123" s="1"/>
  <c r="G625" i="96"/>
  <c r="L670" i="96"/>
  <c r="F385" i="96"/>
  <c r="C282" i="96"/>
  <c r="E90" i="91"/>
  <c r="D118" i="70"/>
  <c r="C120" i="96"/>
  <c r="K73" i="87"/>
  <c r="E111" i="91"/>
  <c r="F220" i="66"/>
  <c r="E89" i="91"/>
  <c r="K616" i="96"/>
  <c r="I614" i="96"/>
  <c r="C211" i="96"/>
  <c r="F196" i="69"/>
  <c r="F215" i="69"/>
  <c r="J380" i="96"/>
  <c r="C296" i="96" l="1"/>
  <c r="C300" i="96"/>
  <c r="C295" i="96"/>
  <c r="C298" i="96"/>
  <c r="C297" i="96"/>
  <c r="C299" i="96"/>
  <c r="C748" i="96"/>
  <c r="C130" i="96"/>
  <c r="D131" i="96" s="1"/>
  <c r="C154" i="96"/>
  <c r="C247" i="96"/>
  <c r="C234" i="96"/>
  <c r="C238" i="96"/>
  <c r="C233" i="96"/>
  <c r="C239" i="96"/>
  <c r="C241" i="96"/>
  <c r="C236" i="96"/>
  <c r="C244" i="96"/>
  <c r="C237" i="96"/>
  <c r="C235" i="96"/>
  <c r="C242" i="96"/>
  <c r="C240" i="96"/>
  <c r="M616" i="96"/>
  <c r="D127" i="70"/>
  <c r="E185" i="91"/>
  <c r="E186" i="91"/>
  <c r="E100" i="66"/>
  <c r="E185" i="68"/>
  <c r="AD41" i="123"/>
  <c r="AD43" i="123" s="1"/>
  <c r="AD42" i="123" s="1"/>
  <c r="AC41" i="123"/>
  <c r="AC43" i="123" s="1"/>
  <c r="AC42" i="123" s="1"/>
  <c r="C304" i="96"/>
  <c r="K36" i="87"/>
  <c r="K44" i="87"/>
  <c r="C307" i="96"/>
  <c r="C308" i="96" s="1"/>
  <c r="C303" i="96"/>
  <c r="E100" i="69"/>
  <c r="E185" i="69" s="1"/>
  <c r="I636" i="96"/>
  <c r="E185" i="66"/>
  <c r="L616" i="96"/>
  <c r="E89" i="66"/>
  <c r="C246" i="96"/>
  <c r="J614" i="96"/>
  <c r="E195" i="66"/>
  <c r="K380" i="96"/>
  <c r="E220" i="68"/>
  <c r="C119" i="70"/>
  <c r="E198" i="68"/>
  <c r="E29" i="71"/>
  <c r="C282" i="70"/>
  <c r="M380" i="96" l="1"/>
  <c r="M614" i="96"/>
  <c r="AE41" i="123"/>
  <c r="AE43" i="123" s="1"/>
  <c r="AE42" i="123" s="1"/>
  <c r="E259" i="68"/>
  <c r="E89" i="69"/>
  <c r="J636" i="96"/>
  <c r="I625" i="96"/>
  <c r="E259" i="66"/>
  <c r="C32" i="70"/>
  <c r="E28" i="71"/>
  <c r="K614" i="96"/>
  <c r="F195" i="66"/>
  <c r="F89" i="66"/>
  <c r="E195" i="69"/>
  <c r="C128" i="70"/>
  <c r="L380" i="96"/>
  <c r="C33" i="70"/>
  <c r="F220" i="68"/>
  <c r="D119" i="70"/>
  <c r="E198" i="69"/>
  <c r="C283" i="70"/>
  <c r="E30" i="71"/>
  <c r="D282" i="70"/>
  <c r="F29" i="71"/>
  <c r="F198" i="68"/>
  <c r="E35" i="71"/>
  <c r="E32" i="71" s="1"/>
  <c r="E220" i="69"/>
  <c r="C120" i="70"/>
  <c r="C121" i="70" s="1"/>
  <c r="E34" i="71" l="1"/>
  <c r="E31" i="71" s="1"/>
  <c r="U151" i="87"/>
  <c r="J625" i="96"/>
  <c r="E174" i="66"/>
  <c r="AF41" i="123"/>
  <c r="AF43" i="123" s="1"/>
  <c r="AF42" i="123" s="1"/>
  <c r="C41" i="70"/>
  <c r="K636" i="96"/>
  <c r="F28" i="71"/>
  <c r="L614" i="96"/>
  <c r="F259" i="66"/>
  <c r="F195" i="69"/>
  <c r="D32" i="70"/>
  <c r="C129" i="70"/>
  <c r="C130" i="70" s="1"/>
  <c r="D128" i="70"/>
  <c r="C42" i="70"/>
  <c r="F220" i="69"/>
  <c r="D120" i="70"/>
  <c r="D121" i="70" s="1"/>
  <c r="E259" i="69"/>
  <c r="F198" i="69"/>
  <c r="D283" i="70"/>
  <c r="F89" i="69"/>
  <c r="F30" i="71" s="1"/>
  <c r="F259" i="68"/>
  <c r="F35" i="71" s="1"/>
  <c r="F32" i="71" s="1"/>
  <c r="C34" i="70"/>
  <c r="C35" i="70" s="1"/>
  <c r="D33" i="70"/>
  <c r="E174" i="68"/>
  <c r="M636" i="96" l="1"/>
  <c r="O161" i="91"/>
  <c r="AG41" i="123"/>
  <c r="AG43" i="123" s="1"/>
  <c r="AG42" i="123" s="1"/>
  <c r="L636" i="96"/>
  <c r="K625" i="96"/>
  <c r="E36" i="71"/>
  <c r="E33" i="71" s="1"/>
  <c r="F34" i="71"/>
  <c r="F31" i="71" s="1"/>
  <c r="F174" i="66"/>
  <c r="D41" i="70"/>
  <c r="D129" i="70"/>
  <c r="D130" i="70" s="1"/>
  <c r="D131" i="70" s="1"/>
  <c r="E174" i="69"/>
  <c r="C43" i="70"/>
  <c r="C44" i="70" s="1"/>
  <c r="F174" i="68"/>
  <c r="F259" i="69"/>
  <c r="D42" i="70"/>
  <c r="D34" i="70"/>
  <c r="D35" i="70" s="1"/>
  <c r="D122" i="70"/>
  <c r="U158" i="87" l="1"/>
  <c r="O168" i="91"/>
  <c r="M690" i="96"/>
  <c r="M625" i="96"/>
  <c r="L625" i="96"/>
  <c r="M680" i="96"/>
  <c r="AH41" i="123"/>
  <c r="AH43" i="123" s="1"/>
  <c r="AH42" i="123" s="1"/>
  <c r="F174" i="69"/>
  <c r="F36" i="71"/>
  <c r="F33" i="71" s="1"/>
  <c r="D286" i="70"/>
  <c r="D290" i="70" s="1"/>
  <c r="D43" i="70"/>
  <c r="D44" i="70" s="1"/>
  <c r="D36" i="70"/>
  <c r="M75" i="87"/>
  <c r="M118" i="87"/>
  <c r="M95" i="87"/>
  <c r="M72" i="87" s="1"/>
  <c r="E210" i="96"/>
  <c r="M145" i="87"/>
  <c r="M119" i="87"/>
  <c r="C247" i="70"/>
  <c r="D247" i="70"/>
  <c r="E468" i="96" l="1"/>
  <c r="E484" i="96" s="1"/>
  <c r="G128" i="91"/>
  <c r="G129" i="91"/>
  <c r="G155" i="91"/>
  <c r="D287" i="70"/>
  <c r="D291" i="70" s="1"/>
  <c r="D45" i="70"/>
  <c r="M98" i="87"/>
  <c r="M108" i="87"/>
  <c r="E341" i="96"/>
  <c r="F214" i="96"/>
  <c r="E500" i="96"/>
  <c r="E224" i="96"/>
  <c r="E122" i="96"/>
  <c r="M38" i="87" s="1"/>
  <c r="M86" i="87"/>
  <c r="D248" i="70"/>
  <c r="M105" i="87" l="1"/>
  <c r="E288" i="96"/>
  <c r="M127" i="87"/>
  <c r="E283" i="96"/>
  <c r="M112" i="87"/>
  <c r="E750" i="96"/>
  <c r="E751" i="96"/>
  <c r="G188" i="91"/>
  <c r="E758" i="96"/>
  <c r="E757" i="96" s="1"/>
  <c r="G115" i="91"/>
  <c r="G118" i="91"/>
  <c r="G137" i="91"/>
  <c r="G122" i="91"/>
  <c r="M96" i="87"/>
  <c r="M83" i="87" s="1"/>
  <c r="E137" i="96"/>
  <c r="E120" i="96"/>
  <c r="E222" i="96"/>
  <c r="E337" i="96"/>
  <c r="E215" i="96"/>
  <c r="M77" i="87"/>
  <c r="E376" i="96"/>
  <c r="E347" i="96"/>
  <c r="E138" i="96"/>
  <c r="M73" i="87"/>
  <c r="H132" i="91"/>
  <c r="M136" i="87"/>
  <c r="E223" i="96"/>
  <c r="E121" i="96"/>
  <c r="E289" i="96" l="1"/>
  <c r="E299" i="96" s="1"/>
  <c r="E459" i="96"/>
  <c r="E469" i="96" s="1"/>
  <c r="E470" i="96" s="1"/>
  <c r="E752" i="96"/>
  <c r="E755" i="96"/>
  <c r="G146" i="91"/>
  <c r="G186" i="91"/>
  <c r="E349" i="96"/>
  <c r="E350" i="96" s="1"/>
  <c r="E339" i="96"/>
  <c r="E342" i="96" s="1"/>
  <c r="E226" i="96"/>
  <c r="E381" i="96"/>
  <c r="E384" i="96"/>
  <c r="M36" i="87"/>
  <c r="E139" i="96"/>
  <c r="E162" i="96" s="1"/>
  <c r="E124" i="96"/>
  <c r="E154" i="96" s="1"/>
  <c r="M35" i="87"/>
  <c r="E248" i="70"/>
  <c r="E298" i="96" l="1"/>
  <c r="E300" i="96"/>
  <c r="E296" i="96"/>
  <c r="E295" i="96"/>
  <c r="E297" i="96"/>
  <c r="E526" i="96"/>
  <c r="G187" i="91"/>
  <c r="E529" i="96"/>
  <c r="E307" i="96"/>
  <c r="E308" i="96" s="1"/>
  <c r="E303" i="96"/>
  <c r="G89" i="66"/>
  <c r="E119" i="70"/>
  <c r="E304" i="96"/>
  <c r="E120" i="70"/>
  <c r="E118" i="70"/>
  <c r="G89" i="69"/>
  <c r="G185" i="91"/>
  <c r="M37" i="87"/>
  <c r="E132" i="96"/>
  <c r="E389" i="96"/>
  <c r="E382" i="96"/>
  <c r="E343" i="96"/>
  <c r="E491" i="96"/>
  <c r="E544" i="96" s="1"/>
  <c r="M88" i="87"/>
  <c r="E142" i="96"/>
  <c r="M40" i="87" s="1"/>
  <c r="E351" i="96"/>
  <c r="E256" i="70"/>
  <c r="E130" i="96"/>
  <c r="E535" i="96" l="1"/>
  <c r="E475" i="96"/>
  <c r="G190" i="91"/>
  <c r="E547" i="96"/>
  <c r="E538" i="96" s="1"/>
  <c r="E33" i="70"/>
  <c r="E528" i="96"/>
  <c r="E32" i="70"/>
  <c r="E34" i="70"/>
  <c r="E129" i="70"/>
  <c r="E121" i="70"/>
  <c r="E127" i="70"/>
  <c r="G259" i="66"/>
  <c r="E150" i="96"/>
  <c r="E131" i="96"/>
  <c r="E501" i="96"/>
  <c r="E485" i="96" s="1"/>
  <c r="E158" i="96"/>
  <c r="E148" i="96"/>
  <c r="E546" i="96" l="1"/>
  <c r="E537" i="96" s="1"/>
  <c r="E502" i="96"/>
  <c r="E35" i="70"/>
  <c r="E36" i="70" s="1"/>
  <c r="G174" i="66"/>
  <c r="E41" i="70"/>
  <c r="G174" i="69"/>
  <c r="E128" i="70"/>
  <c r="E130" i="70" s="1"/>
  <c r="E122" i="70"/>
  <c r="E43" i="70"/>
  <c r="M44" i="87"/>
  <c r="E149" i="96"/>
  <c r="E131" i="70" l="1"/>
  <c r="G174" i="68"/>
  <c r="E42" i="70"/>
  <c r="E44" i="70" s="1"/>
  <c r="E45" i="70" s="1"/>
  <c r="F217" i="96" l="1"/>
  <c r="W35" i="123"/>
  <c r="F615" i="96"/>
  <c r="F291" i="96" l="1"/>
  <c r="N134" i="87"/>
  <c r="W41" i="123"/>
  <c r="W43" i="123" s="1"/>
  <c r="W42" i="123" s="1"/>
  <c r="W53" i="123"/>
  <c r="W55" i="123" s="1"/>
  <c r="W54" i="123" s="1"/>
  <c r="F41" i="123"/>
  <c r="W37" i="123"/>
  <c r="W36" i="123" s="1"/>
  <c r="J671" i="96"/>
  <c r="F616" i="96"/>
  <c r="F618" i="96"/>
  <c r="F619" i="96"/>
  <c r="F457" i="96"/>
  <c r="F43" i="123" l="1"/>
  <c r="F42" i="123" s="1"/>
  <c r="G217" i="96"/>
  <c r="X35" i="123"/>
  <c r="G615" i="96"/>
  <c r="X37" i="123" l="1"/>
  <c r="H217" i="96"/>
  <c r="Y35" i="123"/>
  <c r="Y37" i="123" s="1"/>
  <c r="H615" i="96"/>
  <c r="I615" i="96" l="1"/>
  <c r="I217" i="96"/>
  <c r="Z35" i="123"/>
  <c r="Z37" i="123" s="1"/>
  <c r="X36" i="123"/>
  <c r="Y36" i="123"/>
  <c r="J217" i="96" l="1"/>
  <c r="J615" i="96"/>
  <c r="Z36" i="123"/>
  <c r="AA35" i="123"/>
  <c r="AA37" i="123" s="1"/>
  <c r="M285" i="96" l="1"/>
  <c r="K217" i="96"/>
  <c r="AB35" i="123"/>
  <c r="AB37" i="123" s="1"/>
  <c r="AA36" i="123"/>
  <c r="K615" i="96"/>
  <c r="U152" i="87" l="1"/>
  <c r="L615" i="96"/>
  <c r="AC35" i="123"/>
  <c r="AC37" i="123" s="1"/>
  <c r="AC36" i="123" s="1"/>
  <c r="L217" i="96"/>
  <c r="M615" i="96"/>
  <c r="M217" i="96"/>
  <c r="AB36" i="123"/>
  <c r="AD35" i="123"/>
  <c r="O162" i="91" l="1"/>
  <c r="M637" i="96"/>
  <c r="AD37" i="123"/>
  <c r="AE35" i="123"/>
  <c r="AE37" i="123" s="1"/>
  <c r="M626" i="96" l="1"/>
  <c r="AD36" i="123"/>
  <c r="AF35" i="123"/>
  <c r="AE36" i="123"/>
  <c r="AF37" i="123" l="1"/>
  <c r="AG35" i="123"/>
  <c r="F640" i="96"/>
  <c r="F629" i="96" s="1"/>
  <c r="H165" i="91"/>
  <c r="F641" i="96"/>
  <c r="F630" i="96" s="1"/>
  <c r="H166" i="91"/>
  <c r="AF36" i="123" l="1"/>
  <c r="AG37" i="123"/>
  <c r="AH35" i="123"/>
  <c r="AG36" i="123" l="1"/>
  <c r="AH37" i="123"/>
  <c r="G641" i="96"/>
  <c r="AH36" i="123" l="1"/>
  <c r="F212" i="96" l="1"/>
  <c r="F121" i="96" l="1"/>
  <c r="F223" i="96"/>
  <c r="N145" i="87" l="1"/>
  <c r="N117" i="87"/>
  <c r="F347" i="96"/>
  <c r="F461" i="96"/>
  <c r="F574" i="96"/>
  <c r="J127" i="96" l="1"/>
  <c r="J229" i="96"/>
  <c r="F283" i="96"/>
  <c r="F282" i="96"/>
  <c r="F748" i="96" s="1"/>
  <c r="F460" i="96"/>
  <c r="F35" i="123"/>
  <c r="F37" i="123" s="1"/>
  <c r="F36" i="123" s="1"/>
  <c r="F617" i="96"/>
  <c r="F621" i="96" s="1"/>
  <c r="J672" i="96"/>
  <c r="F47" i="123"/>
  <c r="F575" i="96"/>
  <c r="F53" i="123"/>
  <c r="F55" i="123" s="1"/>
  <c r="F54" i="123" s="1"/>
  <c r="W47" i="123"/>
  <c r="F289" i="96"/>
  <c r="F463" i="96"/>
  <c r="F465" i="96"/>
  <c r="F338" i="96"/>
  <c r="F456" i="96"/>
  <c r="F348" i="96"/>
  <c r="F341" i="96"/>
  <c r="F468" i="96"/>
  <c r="F484" i="96" s="1"/>
  <c r="F340" i="96"/>
  <c r="F462" i="96"/>
  <c r="F224" i="96"/>
  <c r="F213" i="96"/>
  <c r="F122" i="96"/>
  <c r="H127" i="91"/>
  <c r="F378" i="96"/>
  <c r="F215" i="96"/>
  <c r="F337" i="96"/>
  <c r="N136" i="87" l="1"/>
  <c r="F202" i="70"/>
  <c r="F527" i="96"/>
  <c r="F525" i="96"/>
  <c r="F524" i="96"/>
  <c r="F160" i="70"/>
  <c r="F124" i="96"/>
  <c r="F758" i="96"/>
  <c r="F757" i="96" s="1"/>
  <c r="F755" i="96"/>
  <c r="F523" i="96"/>
  <c r="W49" i="123"/>
  <c r="W31" i="123" s="1"/>
  <c r="F49" i="123"/>
  <c r="F48" i="123" s="1"/>
  <c r="F756" i="96"/>
  <c r="F226" i="96"/>
  <c r="F339" i="96"/>
  <c r="F342" i="96" s="1"/>
  <c r="F343" i="96" s="1"/>
  <c r="F459" i="96"/>
  <c r="F469" i="96" s="1"/>
  <c r="F349" i="96"/>
  <c r="F350" i="96" s="1"/>
  <c r="F381" i="96"/>
  <c r="H146" i="91"/>
  <c r="F491" i="96"/>
  <c r="F544" i="96" s="1"/>
  <c r="F119" i="70" l="1"/>
  <c r="F751" i="96"/>
  <c r="F526" i="96"/>
  <c r="F535" i="96" s="1"/>
  <c r="F475" i="96"/>
  <c r="F118" i="70"/>
  <c r="W48" i="123"/>
  <c r="W30" i="123" s="1"/>
  <c r="F529" i="96"/>
  <c r="F30" i="123"/>
  <c r="F31" i="123"/>
  <c r="F120" i="70"/>
  <c r="F351" i="96"/>
  <c r="F382" i="96"/>
  <c r="F528" i="96" l="1"/>
  <c r="F121" i="70"/>
  <c r="F122" i="70" s="1"/>
  <c r="F470" i="96"/>
  <c r="E37" i="71" l="1"/>
  <c r="E40" i="71"/>
  <c r="F37" i="71" l="1"/>
  <c r="F40" i="71"/>
  <c r="G37" i="71" l="1"/>
  <c r="G40" i="71"/>
  <c r="N139" i="87" l="1"/>
  <c r="F494" i="96" l="1"/>
  <c r="F478" i="96" s="1"/>
  <c r="H149" i="91"/>
  <c r="N138" i="87"/>
  <c r="N140" i="87"/>
  <c r="N137" i="87"/>
  <c r="F493" i="96" l="1"/>
  <c r="F477" i="96" s="1"/>
  <c r="H148" i="91"/>
  <c r="F495" i="96"/>
  <c r="F479" i="96" s="1"/>
  <c r="H150" i="91"/>
  <c r="F492" i="96"/>
  <c r="F476" i="96" s="1"/>
  <c r="H147" i="91"/>
  <c r="F545" i="96" l="1"/>
  <c r="F536" i="96" s="1"/>
  <c r="F638" i="96" l="1"/>
  <c r="F627" i="96" s="1"/>
  <c r="H163" i="91"/>
  <c r="N98" i="87" l="1"/>
  <c r="H108" i="91"/>
  <c r="N110" i="87"/>
  <c r="N103" i="87"/>
  <c r="N111" i="87"/>
  <c r="H107" i="91"/>
  <c r="N97" i="87"/>
  <c r="N101" i="87"/>
  <c r="N102" i="87"/>
  <c r="N105" i="87"/>
  <c r="N100" i="87"/>
  <c r="N107" i="87"/>
  <c r="N104" i="87"/>
  <c r="F586" i="96"/>
  <c r="H158" i="91"/>
  <c r="N90" i="87" l="1"/>
  <c r="N42" i="87"/>
  <c r="F587" i="96"/>
  <c r="F581" i="96" s="1"/>
  <c r="F580" i="96"/>
  <c r="F639" i="96"/>
  <c r="H191" i="91"/>
  <c r="N41" i="87"/>
  <c r="H164" i="91"/>
  <c r="N89" i="87"/>
  <c r="H162" i="91"/>
  <c r="H114" i="91"/>
  <c r="H110" i="91"/>
  <c r="N73" i="87"/>
  <c r="N121" i="87"/>
  <c r="H113" i="91"/>
  <c r="N84" i="87"/>
  <c r="H117" i="91"/>
  <c r="H112" i="91"/>
  <c r="N114" i="87"/>
  <c r="N85" i="87"/>
  <c r="H121" i="91"/>
  <c r="N120" i="87"/>
  <c r="N115" i="87"/>
  <c r="H105" i="91"/>
  <c r="N95" i="87"/>
  <c r="N72" i="87" s="1"/>
  <c r="F137" i="96"/>
  <c r="H115" i="91"/>
  <c r="H111" i="91"/>
  <c r="N129" i="87"/>
  <c r="N113" i="87"/>
  <c r="N96" i="87"/>
  <c r="N83" i="87" s="1"/>
  <c r="H106" i="91"/>
  <c r="N74" i="87"/>
  <c r="H120" i="91"/>
  <c r="N118" i="87"/>
  <c r="N116" i="87"/>
  <c r="N133" i="87"/>
  <c r="F637" i="96"/>
  <c r="N79" i="87"/>
  <c r="F489" i="96"/>
  <c r="F473" i="96" s="1"/>
  <c r="H144" i="91"/>
  <c r="F643" i="96" l="1"/>
  <c r="F632" i="96" s="1"/>
  <c r="H192" i="91"/>
  <c r="F543" i="96"/>
  <c r="F534" i="96" s="1"/>
  <c r="F628" i="96"/>
  <c r="N35" i="87"/>
  <c r="H124" i="91"/>
  <c r="H128" i="91"/>
  <c r="F140" i="96"/>
  <c r="N38" i="87" s="1"/>
  <c r="N75" i="87"/>
  <c r="H123" i="91"/>
  <c r="H125" i="91"/>
  <c r="H130" i="91"/>
  <c r="H126" i="91"/>
  <c r="N86" i="87"/>
  <c r="H131" i="91"/>
  <c r="F394" i="96"/>
  <c r="H139" i="91"/>
  <c r="N77" i="87"/>
  <c r="N106" i="87"/>
  <c r="F488" i="96"/>
  <c r="F472" i="96" s="1"/>
  <c r="H143" i="91"/>
  <c r="F169" i="70" l="1"/>
  <c r="F541" i="96"/>
  <c r="F532" i="96" s="1"/>
  <c r="F542" i="96"/>
  <c r="F533" i="96" s="1"/>
  <c r="H188" i="91"/>
  <c r="F211" i="70"/>
  <c r="H116" i="91"/>
  <c r="F138" i="96"/>
  <c r="F397" i="96"/>
  <c r="F389" i="96" s="1"/>
  <c r="F386" i="96"/>
  <c r="N112" i="87" l="1"/>
  <c r="H122" i="91" l="1"/>
  <c r="F139" i="96"/>
  <c r="H187" i="91" l="1"/>
  <c r="N37" i="87"/>
  <c r="G31" i="76"/>
  <c r="F31" i="76"/>
  <c r="E31" i="76"/>
  <c r="G42" i="71" l="1"/>
  <c r="G41" i="71" s="1"/>
  <c r="F42" i="71"/>
  <c r="F41" i="71" s="1"/>
  <c r="G38" i="71" l="1"/>
  <c r="G39" i="71"/>
  <c r="F38" i="71"/>
  <c r="F39" i="71"/>
  <c r="N142" i="87" l="1"/>
  <c r="H152" i="91" l="1"/>
  <c r="N88" i="87"/>
  <c r="F497" i="96"/>
  <c r="F481" i="96" s="1"/>
  <c r="F129" i="70" l="1"/>
  <c r="F128" i="70"/>
  <c r="E42" i="71" l="1"/>
  <c r="E41" i="71" s="1"/>
  <c r="E38" i="71" l="1"/>
  <c r="E39" i="71"/>
  <c r="N125" i="87" l="1"/>
  <c r="H7" i="91"/>
  <c r="F123" i="96"/>
  <c r="F225" i="96"/>
  <c r="F676" i="96" l="1"/>
  <c r="F686" i="96" s="1"/>
  <c r="H189" i="91"/>
  <c r="F141" i="96"/>
  <c r="O125" i="87"/>
  <c r="F132" i="96"/>
  <c r="N39" i="87"/>
  <c r="F162" i="96" l="1"/>
  <c r="P125" i="87"/>
  <c r="Q125" i="87" l="1"/>
  <c r="Q126" i="87"/>
  <c r="R126" i="87" l="1"/>
  <c r="F248" i="70"/>
  <c r="R125" i="87"/>
  <c r="N108" i="87" l="1"/>
  <c r="F288" i="96"/>
  <c r="F120" i="96"/>
  <c r="F750" i="96"/>
  <c r="F752" i="96" s="1"/>
  <c r="F222" i="96"/>
  <c r="F303" i="96"/>
  <c r="H118" i="91"/>
  <c r="S125" i="87"/>
  <c r="S126" i="87"/>
  <c r="F296" i="96" l="1"/>
  <c r="F299" i="96"/>
  <c r="F297" i="96"/>
  <c r="F300" i="96"/>
  <c r="F298" i="96"/>
  <c r="F295" i="96"/>
  <c r="N36" i="87"/>
  <c r="F154" i="96"/>
  <c r="F130" i="96"/>
  <c r="H186" i="91"/>
  <c r="U126" i="87"/>
  <c r="H89" i="66"/>
  <c r="F304" i="96"/>
  <c r="F307" i="96"/>
  <c r="F308" i="96" s="1"/>
  <c r="T126" i="87"/>
  <c r="F131" i="96" l="1"/>
  <c r="F32" i="70"/>
  <c r="T125" i="87" l="1"/>
  <c r="U125" i="87" l="1"/>
  <c r="I142" i="91" l="1"/>
  <c r="G396" i="96"/>
  <c r="I140" i="91" l="1"/>
  <c r="P158" i="87" l="1"/>
  <c r="Q158" i="87"/>
  <c r="L162" i="91"/>
  <c r="K162" i="91"/>
  <c r="J162" i="91"/>
  <c r="J168" i="91"/>
  <c r="K168" i="91"/>
  <c r="I690" i="96"/>
  <c r="I680" i="96" s="1"/>
  <c r="I637" i="96"/>
  <c r="H690" i="96"/>
  <c r="H637" i="96"/>
  <c r="J637" i="96"/>
  <c r="I626" i="96" l="1"/>
  <c r="H680" i="96"/>
  <c r="H626" i="96"/>
  <c r="J626" i="96"/>
  <c r="S158" i="87" l="1"/>
  <c r="R158" i="87"/>
  <c r="M168" i="91"/>
  <c r="M162" i="91"/>
  <c r="L168" i="91"/>
  <c r="K690" i="96"/>
  <c r="K680" i="96" s="1"/>
  <c r="J690" i="96"/>
  <c r="K637" i="96"/>
  <c r="T158" i="87" l="1"/>
  <c r="N162" i="91"/>
  <c r="N168" i="91"/>
  <c r="K626" i="96"/>
  <c r="L690" i="96"/>
  <c r="J680" i="96"/>
  <c r="L637" i="96"/>
  <c r="L680" i="96" l="1"/>
  <c r="L626" i="96"/>
  <c r="G458" i="96" l="1"/>
  <c r="H458" i="96" l="1"/>
  <c r="I458" i="96" l="1"/>
  <c r="J458" i="96" l="1"/>
  <c r="K458" i="96" l="1"/>
  <c r="L458" i="96" l="1"/>
  <c r="M458" i="96"/>
  <c r="E581" i="96" l="1"/>
  <c r="F162" i="70" l="1"/>
  <c r="H89" i="69"/>
  <c r="F204" i="70"/>
  <c r="F171" i="70" l="1"/>
  <c r="F161" i="70"/>
  <c r="F163" i="70" s="1"/>
  <c r="F164" i="70" s="1"/>
  <c r="H38" i="71"/>
  <c r="F203" i="70"/>
  <c r="F205" i="70" s="1"/>
  <c r="F34" i="70"/>
  <c r="F213" i="70"/>
  <c r="F170" i="70" l="1"/>
  <c r="F172" i="70" s="1"/>
  <c r="H42" i="71"/>
  <c r="H37" i="71"/>
  <c r="H40" i="71"/>
  <c r="H174" i="69"/>
  <c r="F206" i="70"/>
  <c r="F33" i="70"/>
  <c r="F43" i="70"/>
  <c r="F212" i="70"/>
  <c r="F214" i="70" s="1"/>
  <c r="F173" i="70" l="1"/>
  <c r="H39" i="71"/>
  <c r="H41" i="71"/>
  <c r="H174" i="68"/>
  <c r="F42" i="70"/>
  <c r="F215" i="70"/>
  <c r="F35" i="70"/>
  <c r="F36" i="70" l="1"/>
  <c r="O117" i="87" l="1"/>
  <c r="O112" i="87"/>
  <c r="O139" i="87"/>
  <c r="O119" i="87"/>
  <c r="O140" i="87"/>
  <c r="O145" i="87"/>
  <c r="G494" i="96"/>
  <c r="O131" i="87"/>
  <c r="O101" i="87"/>
  <c r="O152" i="87"/>
  <c r="O142" i="87"/>
  <c r="O107" i="87"/>
  <c r="G500" i="96"/>
  <c r="O143" i="87" l="1"/>
  <c r="O144" i="87"/>
  <c r="G283" i="96"/>
  <c r="G125" i="96"/>
  <c r="O115" i="87"/>
  <c r="G282" i="96"/>
  <c r="O153" i="87"/>
  <c r="I144" i="91"/>
  <c r="G291" i="96"/>
  <c r="O134" i="87"/>
  <c r="O104" i="87"/>
  <c r="O120" i="87"/>
  <c r="P100" i="87"/>
  <c r="O155" i="87"/>
  <c r="O103" i="87"/>
  <c r="O105" i="87"/>
  <c r="O102" i="87"/>
  <c r="O111" i="87"/>
  <c r="G284" i="96"/>
  <c r="O122" i="87"/>
  <c r="O148" i="87"/>
  <c r="G227" i="96"/>
  <c r="J110" i="91"/>
  <c r="G144" i="96"/>
  <c r="O116" i="87"/>
  <c r="I139" i="91"/>
  <c r="I151" i="91"/>
  <c r="O138" i="87"/>
  <c r="O137" i="87"/>
  <c r="I152" i="91"/>
  <c r="I155" i="91"/>
  <c r="I122" i="91"/>
  <c r="G466" i="96"/>
  <c r="G499" i="96"/>
  <c r="G498" i="96"/>
  <c r="I149" i="91"/>
  <c r="G467" i="96"/>
  <c r="I163" i="91"/>
  <c r="I165" i="91"/>
  <c r="G749" i="96"/>
  <c r="I158" i="91"/>
  <c r="G287" i="96"/>
  <c r="I150" i="91"/>
  <c r="I153" i="91"/>
  <c r="O113" i="87"/>
  <c r="O124" i="87"/>
  <c r="I154" i="91"/>
  <c r="I162" i="91"/>
  <c r="O84" i="87"/>
  <c r="G464" i="96"/>
  <c r="G378" i="96"/>
  <c r="G215" i="96"/>
  <c r="G337" i="96"/>
  <c r="G35" i="123"/>
  <c r="G37" i="123" s="1"/>
  <c r="I117" i="91"/>
  <c r="X47" i="123"/>
  <c r="G617" i="96"/>
  <c r="I111" i="91"/>
  <c r="I112" i="91"/>
  <c r="G41" i="123"/>
  <c r="G43" i="123" s="1"/>
  <c r="G42" i="123" s="1"/>
  <c r="G457" i="96"/>
  <c r="G462" i="96"/>
  <c r="G478" i="96" s="1"/>
  <c r="G348" i="96"/>
  <c r="G495" i="96"/>
  <c r="G545" i="96" s="1"/>
  <c r="G211" i="96"/>
  <c r="I110" i="91"/>
  <c r="G586" i="96"/>
  <c r="G212" i="96"/>
  <c r="G121" i="96"/>
  <c r="G213" i="96"/>
  <c r="G122" i="96"/>
  <c r="G616" i="96"/>
  <c r="X41" i="123"/>
  <c r="X43" i="123" s="1"/>
  <c r="X42" i="123" s="1"/>
  <c r="I115" i="91"/>
  <c r="G338" i="96"/>
  <c r="G456" i="96"/>
  <c r="G47" i="123"/>
  <c r="G460" i="96"/>
  <c r="I147" i="91"/>
  <c r="I129" i="91"/>
  <c r="I127" i="91"/>
  <c r="O110" i="87"/>
  <c r="O118" i="87"/>
  <c r="G573" i="96"/>
  <c r="G216" i="96"/>
  <c r="G492" i="96"/>
  <c r="G493" i="96"/>
  <c r="G465" i="96"/>
  <c r="I108" i="91"/>
  <c r="O98" i="87"/>
  <c r="G379" i="96"/>
  <c r="I141" i="91"/>
  <c r="G221" i="96"/>
  <c r="I106" i="91"/>
  <c r="O96" i="87"/>
  <c r="O83" i="87" s="1"/>
  <c r="O121" i="87"/>
  <c r="G53" i="123"/>
  <c r="G55" i="123" s="1"/>
  <c r="G54" i="123" s="1"/>
  <c r="G463" i="96"/>
  <c r="G640" i="96"/>
  <c r="I125" i="91"/>
  <c r="I114" i="91"/>
  <c r="O73" i="87"/>
  <c r="G225" i="96"/>
  <c r="G395" i="96"/>
  <c r="G618" i="96"/>
  <c r="G489" i="96"/>
  <c r="G461" i="96"/>
  <c r="G340" i="96"/>
  <c r="G347" i="96"/>
  <c r="I113" i="91"/>
  <c r="I126" i="91"/>
  <c r="G224" i="96"/>
  <c r="G123" i="96"/>
  <c r="G214" i="96"/>
  <c r="I7" i="91"/>
  <c r="G468" i="96"/>
  <c r="G484" i="96" s="1"/>
  <c r="G341" i="96"/>
  <c r="I107" i="91"/>
  <c r="O97" i="87"/>
  <c r="I121" i="91"/>
  <c r="G223" i="96"/>
  <c r="O85" i="87"/>
  <c r="G574" i="96"/>
  <c r="G281" i="96"/>
  <c r="I130" i="91"/>
  <c r="O133" i="87"/>
  <c r="I31" i="76"/>
  <c r="O106" i="87" l="1"/>
  <c r="I148" i="91"/>
  <c r="H284" i="96"/>
  <c r="H282" i="96"/>
  <c r="O108" i="87"/>
  <c r="H283" i="96"/>
  <c r="P155" i="87"/>
  <c r="P79" i="87" s="1"/>
  <c r="G126" i="96"/>
  <c r="G155" i="96" s="1"/>
  <c r="O156" i="87"/>
  <c r="G290" i="96"/>
  <c r="O100" i="87"/>
  <c r="P119" i="87"/>
  <c r="H291" i="96"/>
  <c r="P107" i="87"/>
  <c r="O154" i="87"/>
  <c r="P124" i="87"/>
  <c r="G288" i="96"/>
  <c r="P123" i="87"/>
  <c r="P117" i="87"/>
  <c r="P144" i="87"/>
  <c r="O141" i="87"/>
  <c r="G289" i="96"/>
  <c r="G297" i="96" s="1"/>
  <c r="O129" i="87"/>
  <c r="G496" i="96"/>
  <c r="G480" i="96" s="1"/>
  <c r="G228" i="96"/>
  <c r="G543" i="96"/>
  <c r="H466" i="96"/>
  <c r="H125" i="96"/>
  <c r="H227" i="96"/>
  <c r="G482" i="96"/>
  <c r="G483" i="96"/>
  <c r="I466" i="96"/>
  <c r="I214" i="96"/>
  <c r="Q143" i="87"/>
  <c r="G479" i="96"/>
  <c r="G222" i="96"/>
  <c r="I225" i="96"/>
  <c r="I467" i="96"/>
  <c r="I166" i="91"/>
  <c r="G477" i="96"/>
  <c r="G580" i="96"/>
  <c r="H467" i="96"/>
  <c r="H749" i="96"/>
  <c r="J134" i="91"/>
  <c r="G750" i="96"/>
  <c r="H499" i="96"/>
  <c r="G751" i="96"/>
  <c r="G476" i="96"/>
  <c r="G473" i="96"/>
  <c r="I164" i="91"/>
  <c r="J154" i="91"/>
  <c r="O114" i="87"/>
  <c r="J133" i="91"/>
  <c r="I134" i="91"/>
  <c r="G120" i="96"/>
  <c r="G529" i="96"/>
  <c r="G138" i="96"/>
  <c r="G629" i="96"/>
  <c r="H211" i="96"/>
  <c r="G756" i="96"/>
  <c r="H225" i="96"/>
  <c r="H464" i="96"/>
  <c r="J129" i="91"/>
  <c r="G161" i="70"/>
  <c r="H347" i="96"/>
  <c r="H461" i="96"/>
  <c r="H340" i="96"/>
  <c r="G394" i="96"/>
  <c r="G386" i="96" s="1"/>
  <c r="O77" i="87"/>
  <c r="H41" i="123"/>
  <c r="H43" i="123" s="1"/>
  <c r="H42" i="123" s="1"/>
  <c r="H457" i="96"/>
  <c r="O79" i="87"/>
  <c r="G637" i="96"/>
  <c r="H213" i="96"/>
  <c r="H122" i="96"/>
  <c r="I123" i="91"/>
  <c r="H456" i="96"/>
  <c r="H338" i="96"/>
  <c r="H224" i="96"/>
  <c r="H618" i="96"/>
  <c r="Q124" i="87"/>
  <c r="H463" i="96"/>
  <c r="H53" i="123"/>
  <c r="H55" i="123" s="1"/>
  <c r="H54" i="123" s="1"/>
  <c r="G758" i="96"/>
  <c r="G757" i="96" s="1"/>
  <c r="I116" i="91"/>
  <c r="H574" i="96"/>
  <c r="Q119" i="87"/>
  <c r="G527" i="96"/>
  <c r="G536" i="96" s="1"/>
  <c r="G638" i="96"/>
  <c r="G627" i="96" s="1"/>
  <c r="O90" i="87"/>
  <c r="G387" i="96"/>
  <c r="G388" i="96" s="1"/>
  <c r="G49" i="123"/>
  <c r="G48" i="123" s="1"/>
  <c r="G524" i="96"/>
  <c r="I118" i="91"/>
  <c r="J117" i="91"/>
  <c r="J127" i="91"/>
  <c r="G748" i="96"/>
  <c r="X49" i="123"/>
  <c r="X48" i="123" s="1"/>
  <c r="G676" i="96"/>
  <c r="H348" i="96"/>
  <c r="H462" i="96"/>
  <c r="H216" i="96"/>
  <c r="H573" i="96"/>
  <c r="G160" i="70"/>
  <c r="I291" i="96"/>
  <c r="H379" i="96"/>
  <c r="G639" i="96"/>
  <c r="G628" i="96" s="1"/>
  <c r="H212" i="96"/>
  <c r="Q117" i="87"/>
  <c r="G525" i="96"/>
  <c r="P145" i="87"/>
  <c r="H214" i="96"/>
  <c r="H123" i="96"/>
  <c r="J7" i="91"/>
  <c r="G497" i="96"/>
  <c r="G481" i="96" s="1"/>
  <c r="H378" i="96"/>
  <c r="H35" i="123"/>
  <c r="H337" i="96"/>
  <c r="H215" i="96"/>
  <c r="G36" i="123"/>
  <c r="G755" i="96"/>
  <c r="G381" i="96"/>
  <c r="G523" i="96"/>
  <c r="O95" i="87"/>
  <c r="O72" i="87" s="1"/>
  <c r="I105" i="91"/>
  <c r="G210" i="96"/>
  <c r="G119" i="96"/>
  <c r="H617" i="96"/>
  <c r="Y47" i="123"/>
  <c r="X53" i="123"/>
  <c r="G619" i="96"/>
  <c r="G630" i="96" s="1"/>
  <c r="G162" i="70"/>
  <c r="G575" i="96"/>
  <c r="G339" i="96"/>
  <c r="G342" i="96" s="1"/>
  <c r="G343" i="96" s="1"/>
  <c r="G459" i="96"/>
  <c r="G469" i="96" s="1"/>
  <c r="G226" i="96"/>
  <c r="H287" i="96"/>
  <c r="H221" i="96"/>
  <c r="H465" i="96"/>
  <c r="O89" i="87"/>
  <c r="H468" i="96"/>
  <c r="H341" i="96"/>
  <c r="H460" i="96"/>
  <c r="H47" i="123"/>
  <c r="H49" i="123" s="1"/>
  <c r="H48" i="123" s="1"/>
  <c r="G137" i="96"/>
  <c r="G124" i="96"/>
  <c r="G349" i="96"/>
  <c r="G350" i="96" s="1"/>
  <c r="J31" i="76"/>
  <c r="G534" i="96" l="1"/>
  <c r="G248" i="70"/>
  <c r="Q107" i="87"/>
  <c r="G298" i="96"/>
  <c r="G300" i="96"/>
  <c r="H288" i="96"/>
  <c r="I283" i="96"/>
  <c r="I282" i="96"/>
  <c r="H281" i="96"/>
  <c r="P112" i="87"/>
  <c r="P153" i="87"/>
  <c r="Q103" i="87"/>
  <c r="H498" i="96"/>
  <c r="H482" i="96" s="1"/>
  <c r="H289" i="96"/>
  <c r="Q123" i="87"/>
  <c r="P113" i="87"/>
  <c r="G295" i="96"/>
  <c r="Q145" i="87"/>
  <c r="J108" i="91"/>
  <c r="G296" i="96"/>
  <c r="P143" i="87"/>
  <c r="G299" i="96"/>
  <c r="H290" i="96"/>
  <c r="P103" i="87"/>
  <c r="P101" i="87"/>
  <c r="P146" i="87"/>
  <c r="P78" i="87" s="1"/>
  <c r="G154" i="96"/>
  <c r="P98" i="87"/>
  <c r="G31" i="123"/>
  <c r="H126" i="96"/>
  <c r="H155" i="96" s="1"/>
  <c r="H228" i="96"/>
  <c r="I227" i="96"/>
  <c r="J227" i="96"/>
  <c r="G621" i="96"/>
  <c r="G622" i="96" s="1"/>
  <c r="G643" i="96"/>
  <c r="G644" i="96" s="1"/>
  <c r="H529" i="96"/>
  <c r="J153" i="91"/>
  <c r="I468" i="96"/>
  <c r="I465" i="96"/>
  <c r="I500" i="96"/>
  <c r="H751" i="96"/>
  <c r="I463" i="96"/>
  <c r="I461" i="96"/>
  <c r="I464" i="96"/>
  <c r="K134" i="91"/>
  <c r="I499" i="96"/>
  <c r="I483" i="96" s="1"/>
  <c r="I460" i="96"/>
  <c r="I212" i="96"/>
  <c r="I462" i="96"/>
  <c r="G119" i="70"/>
  <c r="K133" i="91"/>
  <c r="J466" i="96"/>
  <c r="G30" i="123"/>
  <c r="P156" i="87"/>
  <c r="J467" i="96"/>
  <c r="J155" i="91"/>
  <c r="H349" i="96"/>
  <c r="H350" i="96" s="1"/>
  <c r="H351" i="96" s="1"/>
  <c r="J156" i="91"/>
  <c r="R143" i="87"/>
  <c r="I215" i="96"/>
  <c r="I749" i="96"/>
  <c r="O42" i="87"/>
  <c r="G132" i="96"/>
  <c r="I211" i="96"/>
  <c r="I457" i="96"/>
  <c r="H750" i="96"/>
  <c r="H483" i="96"/>
  <c r="G752" i="96"/>
  <c r="J225" i="96"/>
  <c r="I213" i="96"/>
  <c r="I221" i="96"/>
  <c r="K153" i="91"/>
  <c r="I498" i="96"/>
  <c r="I482" i="96" s="1"/>
  <c r="I224" i="96"/>
  <c r="J214" i="96"/>
  <c r="I456" i="96"/>
  <c r="H758" i="96"/>
  <c r="H757" i="96" s="1"/>
  <c r="O36" i="87"/>
  <c r="K155" i="91"/>
  <c r="J165" i="91"/>
  <c r="R144" i="87"/>
  <c r="G120" i="70"/>
  <c r="G140" i="96"/>
  <c r="O38" i="87" s="1"/>
  <c r="H124" i="96"/>
  <c r="P96" i="87"/>
  <c r="P83" i="87" s="1"/>
  <c r="H222" i="96"/>
  <c r="I186" i="91"/>
  <c r="J123" i="91"/>
  <c r="G351" i="96"/>
  <c r="I337" i="96"/>
  <c r="I35" i="123"/>
  <c r="I37" i="123" s="1"/>
  <c r="I378" i="96"/>
  <c r="Q153" i="87"/>
  <c r="G526" i="96"/>
  <c r="G528" i="96" s="1"/>
  <c r="G576" i="96"/>
  <c r="I574" i="96"/>
  <c r="I348" i="96"/>
  <c r="I618" i="96"/>
  <c r="H755" i="96"/>
  <c r="H523" i="96"/>
  <c r="H381" i="96"/>
  <c r="H382" i="96" s="1"/>
  <c r="H500" i="96"/>
  <c r="H484" i="96" s="1"/>
  <c r="Q98" i="87"/>
  <c r="K108" i="91"/>
  <c r="Q134" i="87"/>
  <c r="R155" i="87"/>
  <c r="G169" i="70"/>
  <c r="G304" i="96"/>
  <c r="H161" i="70"/>
  <c r="H160" i="70"/>
  <c r="I341" i="96"/>
  <c r="O86" i="87"/>
  <c r="I128" i="91"/>
  <c r="K129" i="91"/>
  <c r="I287" i="96"/>
  <c r="H525" i="96"/>
  <c r="H640" i="96"/>
  <c r="H629" i="96" s="1"/>
  <c r="K117" i="91"/>
  <c r="I379" i="96"/>
  <c r="G203" i="70"/>
  <c r="Y49" i="123"/>
  <c r="Y48" i="123" s="1"/>
  <c r="P73" i="87"/>
  <c r="I89" i="66"/>
  <c r="K113" i="91"/>
  <c r="J106" i="91"/>
  <c r="H339" i="96"/>
  <c r="H342" i="96" s="1"/>
  <c r="H343" i="96" s="1"/>
  <c r="H459" i="96"/>
  <c r="H469" i="96" s="1"/>
  <c r="R145" i="87"/>
  <c r="G307" i="96"/>
  <c r="G308" i="96" s="1"/>
  <c r="I347" i="96"/>
  <c r="I340" i="96"/>
  <c r="R119" i="87"/>
  <c r="H585" i="96"/>
  <c r="H579" i="96" s="1"/>
  <c r="H527" i="96"/>
  <c r="G397" i="96"/>
  <c r="G389" i="96" s="1"/>
  <c r="G541" i="96"/>
  <c r="G532" i="96" s="1"/>
  <c r="I131" i="91"/>
  <c r="H120" i="96"/>
  <c r="J111" i="91"/>
  <c r="I281" i="96"/>
  <c r="R107" i="87"/>
  <c r="H619" i="96"/>
  <c r="H621" i="96" s="1"/>
  <c r="Y53" i="123"/>
  <c r="Y55" i="123" s="1"/>
  <c r="Y54" i="123" s="1"/>
  <c r="X55" i="123"/>
  <c r="X54" i="123" s="1"/>
  <c r="X30" i="123" s="1"/>
  <c r="I53" i="123"/>
  <c r="I55" i="123" s="1"/>
  <c r="I54" i="123" s="1"/>
  <c r="H223" i="96"/>
  <c r="K127" i="91"/>
  <c r="H121" i="96"/>
  <c r="G204" i="70"/>
  <c r="I122" i="96"/>
  <c r="J291" i="96"/>
  <c r="H162" i="70"/>
  <c r="G686" i="96"/>
  <c r="J113" i="91"/>
  <c r="G488" i="96"/>
  <c r="G472" i="96" s="1"/>
  <c r="I143" i="91"/>
  <c r="I192" i="91"/>
  <c r="H524" i="96"/>
  <c r="H756" i="96"/>
  <c r="I617" i="96"/>
  <c r="Z47" i="123"/>
  <c r="H748" i="96"/>
  <c r="H210" i="96"/>
  <c r="H119" i="96"/>
  <c r="I124" i="91"/>
  <c r="O35" i="87"/>
  <c r="G130" i="96"/>
  <c r="G303" i="96"/>
  <c r="I89" i="69"/>
  <c r="G382" i="96"/>
  <c r="G118" i="70"/>
  <c r="H37" i="123"/>
  <c r="H31" i="123" s="1"/>
  <c r="R117" i="87"/>
  <c r="Q113" i="87"/>
  <c r="I41" i="123"/>
  <c r="I43" i="123" s="1"/>
  <c r="I42" i="123" s="1"/>
  <c r="G163" i="70"/>
  <c r="H575" i="96"/>
  <c r="K7" i="91"/>
  <c r="I123" i="96"/>
  <c r="I338" i="96"/>
  <c r="I47" i="123"/>
  <c r="I49" i="123" s="1"/>
  <c r="I48" i="123" s="1"/>
  <c r="Q101" i="87"/>
  <c r="R124" i="87"/>
  <c r="H226" i="96"/>
  <c r="G202" i="70"/>
  <c r="O75" i="87"/>
  <c r="G139" i="96"/>
  <c r="I120" i="91"/>
  <c r="O74" i="87"/>
  <c r="I33" i="76"/>
  <c r="K31" i="76"/>
  <c r="H248" i="70" l="1"/>
  <c r="H299" i="96"/>
  <c r="Q155" i="87"/>
  <c r="Q79" i="87" s="1"/>
  <c r="L738" i="96"/>
  <c r="L731" i="96" s="1"/>
  <c r="T166" i="87"/>
  <c r="J126" i="91"/>
  <c r="P116" i="87"/>
  <c r="R123" i="87"/>
  <c r="P105" i="87"/>
  <c r="R103" i="87"/>
  <c r="J283" i="96"/>
  <c r="P111" i="87"/>
  <c r="P104" i="87"/>
  <c r="P137" i="87"/>
  <c r="Q156" i="87"/>
  <c r="I290" i="96"/>
  <c r="J282" i="96"/>
  <c r="H297" i="96"/>
  <c r="H298" i="96"/>
  <c r="H296" i="96"/>
  <c r="I288" i="96"/>
  <c r="H295" i="96"/>
  <c r="H300" i="96"/>
  <c r="P120" i="87"/>
  <c r="P115" i="87"/>
  <c r="R79" i="87"/>
  <c r="Q144" i="87"/>
  <c r="P134" i="87"/>
  <c r="H154" i="96"/>
  <c r="K154" i="91"/>
  <c r="S161" i="87"/>
  <c r="T162" i="87"/>
  <c r="R162" i="87"/>
  <c r="N176" i="91"/>
  <c r="S162" i="87"/>
  <c r="R161" i="87"/>
  <c r="I484" i="96"/>
  <c r="K227" i="96"/>
  <c r="I228" i="96"/>
  <c r="I126" i="96"/>
  <c r="H752" i="96"/>
  <c r="G121" i="70"/>
  <c r="G122" i="70" s="1"/>
  <c r="Q116" i="87"/>
  <c r="J500" i="96"/>
  <c r="I489" i="96"/>
  <c r="I473" i="96" s="1"/>
  <c r="J465" i="96"/>
  <c r="L133" i="91"/>
  <c r="I210" i="96"/>
  <c r="K466" i="96"/>
  <c r="J464" i="96"/>
  <c r="J460" i="96"/>
  <c r="L134" i="91"/>
  <c r="I223" i="96"/>
  <c r="I222" i="96"/>
  <c r="I40" i="71"/>
  <c r="I37" i="71"/>
  <c r="J749" i="96"/>
  <c r="I120" i="96"/>
  <c r="K467" i="96"/>
  <c r="J213" i="96"/>
  <c r="I751" i="96"/>
  <c r="I750" i="96"/>
  <c r="J224" i="96"/>
  <c r="J340" i="96"/>
  <c r="J461" i="96"/>
  <c r="J347" i="96"/>
  <c r="J337" i="96"/>
  <c r="J215" i="96"/>
  <c r="J212" i="96"/>
  <c r="J457" i="96"/>
  <c r="J468" i="96"/>
  <c r="J341" i="96"/>
  <c r="K225" i="96"/>
  <c r="J287" i="96"/>
  <c r="J221" i="96"/>
  <c r="J463" i="96"/>
  <c r="J211" i="96"/>
  <c r="L154" i="91"/>
  <c r="J499" i="96"/>
  <c r="J483" i="96" s="1"/>
  <c r="L153" i="91"/>
  <c r="J498" i="96"/>
  <c r="J482" i="96" s="1"/>
  <c r="J456" i="96"/>
  <c r="J338" i="96"/>
  <c r="K214" i="96"/>
  <c r="J462" i="96"/>
  <c r="J348" i="96"/>
  <c r="H307" i="96"/>
  <c r="H308" i="96" s="1"/>
  <c r="K166" i="91"/>
  <c r="L155" i="91"/>
  <c r="J163" i="91"/>
  <c r="J166" i="91"/>
  <c r="I187" i="91"/>
  <c r="I188" i="91"/>
  <c r="K111" i="91"/>
  <c r="I641" i="96"/>
  <c r="K144" i="91"/>
  <c r="H118" i="70"/>
  <c r="G205" i="70"/>
  <c r="G206" i="70" s="1"/>
  <c r="G632" i="96"/>
  <c r="G633" i="96" s="1"/>
  <c r="Y30" i="123"/>
  <c r="H304" i="96"/>
  <c r="H36" i="123"/>
  <c r="H30" i="123" s="1"/>
  <c r="H120" i="70"/>
  <c r="G470" i="96"/>
  <c r="G164" i="70"/>
  <c r="S117" i="87"/>
  <c r="H622" i="96"/>
  <c r="J89" i="69"/>
  <c r="G542" i="96"/>
  <c r="G533" i="96" s="1"/>
  <c r="L7" i="91"/>
  <c r="J123" i="96"/>
  <c r="H132" i="96"/>
  <c r="J125" i="91"/>
  <c r="J130" i="91"/>
  <c r="J281" i="96"/>
  <c r="H202" i="70"/>
  <c r="I748" i="96"/>
  <c r="H526" i="96"/>
  <c r="H528" i="96" s="1"/>
  <c r="H119" i="70"/>
  <c r="Z53" i="123"/>
  <c r="I619" i="96"/>
  <c r="I621" i="96" s="1"/>
  <c r="K106" i="91"/>
  <c r="H204" i="70"/>
  <c r="R101" i="87"/>
  <c r="I524" i="96"/>
  <c r="H576" i="96"/>
  <c r="I525" i="96"/>
  <c r="L113" i="91"/>
  <c r="G34" i="70"/>
  <c r="H641" i="96"/>
  <c r="H630" i="96" s="1"/>
  <c r="H130" i="96"/>
  <c r="H303" i="96"/>
  <c r="K291" i="96"/>
  <c r="Q115" i="87"/>
  <c r="H203" i="70"/>
  <c r="L117" i="91"/>
  <c r="Q120" i="87"/>
  <c r="I756" i="96"/>
  <c r="J122" i="96"/>
  <c r="G33" i="70"/>
  <c r="J53" i="123"/>
  <c r="J55" i="123" s="1"/>
  <c r="J54" i="123" s="1"/>
  <c r="J121" i="91"/>
  <c r="P85" i="87"/>
  <c r="Q96" i="87"/>
  <c r="Q83" i="87" s="1"/>
  <c r="J114" i="91"/>
  <c r="I758" i="96"/>
  <c r="I757" i="96" s="1"/>
  <c r="H163" i="70"/>
  <c r="I36" i="123"/>
  <c r="I30" i="123" s="1"/>
  <c r="I31" i="123"/>
  <c r="J115" i="91"/>
  <c r="S124" i="87"/>
  <c r="S123" i="87"/>
  <c r="G131" i="96"/>
  <c r="J89" i="66"/>
  <c r="Z49" i="123"/>
  <c r="Z48" i="123" s="1"/>
  <c r="J41" i="123"/>
  <c r="J43" i="123" s="1"/>
  <c r="J42" i="123" s="1"/>
  <c r="L108" i="91"/>
  <c r="R98" i="87"/>
  <c r="K123" i="91"/>
  <c r="I527" i="96"/>
  <c r="L129" i="91"/>
  <c r="Y31" i="123"/>
  <c r="Q111" i="87"/>
  <c r="I121" i="96"/>
  <c r="I676" i="96"/>
  <c r="Q104" i="87"/>
  <c r="X31" i="123"/>
  <c r="R153" i="87"/>
  <c r="P84" i="87"/>
  <c r="J35" i="123"/>
  <c r="J378" i="96"/>
  <c r="Q105" i="87"/>
  <c r="J617" i="96"/>
  <c r="AA47" i="123"/>
  <c r="O37" i="87"/>
  <c r="Q73" i="87"/>
  <c r="H489" i="96"/>
  <c r="H473" i="96" s="1"/>
  <c r="J144" i="91"/>
  <c r="L127" i="91"/>
  <c r="J379" i="96"/>
  <c r="J47" i="123"/>
  <c r="J49" i="123" s="1"/>
  <c r="J48" i="123" s="1"/>
  <c r="R134" i="87"/>
  <c r="J574" i="96"/>
  <c r="S107" i="87"/>
  <c r="H638" i="96"/>
  <c r="P90" i="87"/>
  <c r="I119" i="96"/>
  <c r="S119" i="87"/>
  <c r="J618" i="96"/>
  <c r="G32" i="70"/>
  <c r="H492" i="96"/>
  <c r="H476" i="96" s="1"/>
  <c r="J147" i="91"/>
  <c r="J122" i="91"/>
  <c r="I381" i="96"/>
  <c r="I382" i="96" s="1"/>
  <c r="I523" i="96"/>
  <c r="I755" i="96"/>
  <c r="L31" i="76"/>
  <c r="P121" i="87" l="1"/>
  <c r="P106" i="87"/>
  <c r="P160" i="87"/>
  <c r="K126" i="91"/>
  <c r="P108" i="87"/>
  <c r="Q161" i="87"/>
  <c r="S143" i="87"/>
  <c r="S155" i="87"/>
  <c r="S79" i="87" s="1"/>
  <c r="S144" i="87"/>
  <c r="P148" i="87"/>
  <c r="K283" i="96"/>
  <c r="S145" i="87"/>
  <c r="P102" i="87"/>
  <c r="S103" i="87"/>
  <c r="R156" i="87"/>
  <c r="J290" i="96"/>
  <c r="L737" i="96"/>
  <c r="T165" i="87"/>
  <c r="L146" i="96"/>
  <c r="J288" i="96"/>
  <c r="P159" i="87"/>
  <c r="H145" i="96"/>
  <c r="P43" i="87" s="1"/>
  <c r="R113" i="87"/>
  <c r="P118" i="87"/>
  <c r="K282" i="96"/>
  <c r="P154" i="87"/>
  <c r="Q112" i="87"/>
  <c r="L694" i="96"/>
  <c r="L684" i="96" s="1"/>
  <c r="N172" i="91"/>
  <c r="H143" i="96"/>
  <c r="J693" i="96"/>
  <c r="J683" i="96" s="1"/>
  <c r="L171" i="91"/>
  <c r="K693" i="96"/>
  <c r="K683" i="96" s="1"/>
  <c r="M171" i="91"/>
  <c r="H692" i="96"/>
  <c r="H682" i="96" s="1"/>
  <c r="K694" i="96"/>
  <c r="K684" i="96" s="1"/>
  <c r="M172" i="91"/>
  <c r="I693" i="96"/>
  <c r="I683" i="96" s="1"/>
  <c r="K171" i="91"/>
  <c r="J694" i="96"/>
  <c r="J684" i="96" s="1"/>
  <c r="L172" i="91"/>
  <c r="N175" i="91"/>
  <c r="N194" i="91"/>
  <c r="H144" i="96"/>
  <c r="P42" i="87" s="1"/>
  <c r="L227" i="96"/>
  <c r="J228" i="96"/>
  <c r="J126" i="96"/>
  <c r="J484" i="96"/>
  <c r="Q154" i="87"/>
  <c r="G171" i="70"/>
  <c r="R116" i="87"/>
  <c r="G127" i="70"/>
  <c r="K500" i="96"/>
  <c r="K465" i="96"/>
  <c r="J489" i="96"/>
  <c r="J473" i="96" s="1"/>
  <c r="K163" i="91"/>
  <c r="K498" i="96"/>
  <c r="K482" i="96" s="1"/>
  <c r="L111" i="91"/>
  <c r="I202" i="70"/>
  <c r="K122" i="91"/>
  <c r="J118" i="91"/>
  <c r="G212" i="70"/>
  <c r="M133" i="91"/>
  <c r="M134" i="91"/>
  <c r="L165" i="91"/>
  <c r="K460" i="96"/>
  <c r="K464" i="96"/>
  <c r="K499" i="96"/>
  <c r="K483" i="96" s="1"/>
  <c r="Q108" i="87"/>
  <c r="J37" i="71"/>
  <c r="J40" i="71"/>
  <c r="G211" i="70"/>
  <c r="I38" i="71"/>
  <c r="L467" i="96"/>
  <c r="I752" i="96"/>
  <c r="I203" i="70"/>
  <c r="J222" i="96"/>
  <c r="K749" i="96"/>
  <c r="J750" i="96"/>
  <c r="J751" i="96"/>
  <c r="K340" i="96"/>
  <c r="K461" i="96"/>
  <c r="K347" i="96"/>
  <c r="K462" i="96"/>
  <c r="K348" i="96"/>
  <c r="K468" i="96"/>
  <c r="K341" i="96"/>
  <c r="K215" i="96"/>
  <c r="K337" i="96"/>
  <c r="K224" i="96"/>
  <c r="K457" i="96"/>
  <c r="K213" i="96"/>
  <c r="K463" i="96"/>
  <c r="L214" i="96"/>
  <c r="L123" i="96"/>
  <c r="K212" i="96"/>
  <c r="K287" i="96"/>
  <c r="K221" i="96"/>
  <c r="J223" i="96"/>
  <c r="K456" i="96"/>
  <c r="K338" i="96"/>
  <c r="L225" i="96"/>
  <c r="K211" i="96"/>
  <c r="J210" i="96"/>
  <c r="L166" i="91"/>
  <c r="M155" i="91"/>
  <c r="K165" i="91"/>
  <c r="M154" i="91"/>
  <c r="J164" i="91"/>
  <c r="M153" i="91"/>
  <c r="J169" i="91"/>
  <c r="J170" i="91"/>
  <c r="G129" i="70"/>
  <c r="T144" i="87"/>
  <c r="I204" i="70"/>
  <c r="J641" i="96"/>
  <c r="J640" i="96"/>
  <c r="J629" i="96" s="1"/>
  <c r="L123" i="91"/>
  <c r="R96" i="87"/>
  <c r="R83" i="87" s="1"/>
  <c r="K105" i="91"/>
  <c r="J120" i="96"/>
  <c r="H121" i="70"/>
  <c r="H122" i="70" s="1"/>
  <c r="J758" i="96"/>
  <c r="J757" i="96" s="1"/>
  <c r="M7" i="91"/>
  <c r="K123" i="96"/>
  <c r="K618" i="96"/>
  <c r="L106" i="91"/>
  <c r="J525" i="96"/>
  <c r="H32" i="70"/>
  <c r="Q102" i="87"/>
  <c r="T124" i="87"/>
  <c r="H639" i="96"/>
  <c r="H628" i="96" s="1"/>
  <c r="S101" i="87"/>
  <c r="K379" i="96"/>
  <c r="I638" i="96"/>
  <c r="J756" i="96"/>
  <c r="H34" i="70"/>
  <c r="J121" i="96"/>
  <c r="M127" i="91"/>
  <c r="M117" i="91"/>
  <c r="H33" i="70"/>
  <c r="H543" i="96"/>
  <c r="H534" i="96" s="1"/>
  <c r="J676" i="96"/>
  <c r="Q84" i="87"/>
  <c r="K114" i="91"/>
  <c r="I677" i="96"/>
  <c r="J131" i="91"/>
  <c r="J128" i="91"/>
  <c r="P86" i="87"/>
  <c r="Q160" i="87"/>
  <c r="H164" i="70"/>
  <c r="J527" i="96"/>
  <c r="H691" i="96"/>
  <c r="K125" i="91"/>
  <c r="S134" i="87"/>
  <c r="I640" i="96"/>
  <c r="I629" i="96" s="1"/>
  <c r="Z55" i="123"/>
  <c r="Z54" i="123" s="1"/>
  <c r="Z30" i="123" s="1"/>
  <c r="K122" i="96"/>
  <c r="J119" i="96"/>
  <c r="K53" i="123"/>
  <c r="K55" i="123" s="1"/>
  <c r="K54" i="123" s="1"/>
  <c r="G35" i="70"/>
  <c r="M129" i="91"/>
  <c r="H627" i="96"/>
  <c r="AB47" i="123"/>
  <c r="AB49" i="123" s="1"/>
  <c r="K617" i="96"/>
  <c r="AA49" i="123"/>
  <c r="AA48" i="123" s="1"/>
  <c r="K115" i="91"/>
  <c r="R104" i="87"/>
  <c r="Q121" i="87"/>
  <c r="Q85" i="87"/>
  <c r="K121" i="91"/>
  <c r="L144" i="91"/>
  <c r="T123" i="87"/>
  <c r="K378" i="96"/>
  <c r="K35" i="123"/>
  <c r="K37" i="123" s="1"/>
  <c r="Q148" i="87"/>
  <c r="G213" i="70"/>
  <c r="P95" i="87"/>
  <c r="P72" i="87" s="1"/>
  <c r="H137" i="96"/>
  <c r="J105" i="91"/>
  <c r="J116" i="91"/>
  <c r="K130" i="91"/>
  <c r="R115" i="87"/>
  <c r="K41" i="123"/>
  <c r="K43" i="123" s="1"/>
  <c r="K42" i="123" s="1"/>
  <c r="K47" i="123"/>
  <c r="J112" i="91"/>
  <c r="H138" i="96"/>
  <c r="P36" i="87" s="1"/>
  <c r="R73" i="87"/>
  <c r="K281" i="96"/>
  <c r="J748" i="96"/>
  <c r="AA53" i="123"/>
  <c r="AA55" i="123" s="1"/>
  <c r="AA54" i="123" s="1"/>
  <c r="J619" i="96"/>
  <c r="J621" i="96" s="1"/>
  <c r="T119" i="87"/>
  <c r="T107" i="87"/>
  <c r="R105" i="87"/>
  <c r="J523" i="96"/>
  <c r="J381" i="96"/>
  <c r="J382" i="96" s="1"/>
  <c r="J755" i="96"/>
  <c r="J37" i="123"/>
  <c r="J31" i="123" s="1"/>
  <c r="S153" i="87"/>
  <c r="J107" i="91"/>
  <c r="P97" i="87"/>
  <c r="R111" i="87"/>
  <c r="Q95" i="87"/>
  <c r="Q72" i="87" s="1"/>
  <c r="Q118" i="87"/>
  <c r="K288" i="96"/>
  <c r="R120" i="87"/>
  <c r="K574" i="96"/>
  <c r="L291" i="96"/>
  <c r="J524" i="96"/>
  <c r="H131" i="96"/>
  <c r="H205" i="70"/>
  <c r="Q106" i="87"/>
  <c r="I630" i="96"/>
  <c r="S113" i="87"/>
  <c r="H470" i="96"/>
  <c r="M108" i="91"/>
  <c r="S98" i="87"/>
  <c r="M113" i="91"/>
  <c r="T117" i="87"/>
  <c r="M31" i="76"/>
  <c r="P110" i="87" l="1"/>
  <c r="L730" i="96"/>
  <c r="L739" i="96"/>
  <c r="L732" i="96" s="1"/>
  <c r="L733" i="96" s="1"/>
  <c r="Q159" i="87"/>
  <c r="I145" i="96"/>
  <c r="Q43" i="87" s="1"/>
  <c r="Q137" i="87"/>
  <c r="S156" i="87"/>
  <c r="K290" i="96"/>
  <c r="P114" i="87"/>
  <c r="R112" i="87"/>
  <c r="M738" i="96"/>
  <c r="M731" i="96" s="1"/>
  <c r="U166" i="87"/>
  <c r="H159" i="96"/>
  <c r="G214" i="70"/>
  <c r="G215" i="70" s="1"/>
  <c r="U162" i="87"/>
  <c r="O176" i="91"/>
  <c r="U161" i="87"/>
  <c r="I692" i="96"/>
  <c r="I682" i="96" s="1"/>
  <c r="M227" i="96"/>
  <c r="K228" i="96"/>
  <c r="K126" i="96"/>
  <c r="I144" i="96"/>
  <c r="Q42" i="87" s="1"/>
  <c r="H643" i="96"/>
  <c r="H632" i="96" s="1"/>
  <c r="H633" i="96" s="1"/>
  <c r="R154" i="87"/>
  <c r="Q90" i="87"/>
  <c r="K484" i="96"/>
  <c r="L126" i="91"/>
  <c r="S116" i="87"/>
  <c r="K193" i="91"/>
  <c r="K489" i="96"/>
  <c r="K473" i="96" s="1"/>
  <c r="L465" i="96"/>
  <c r="I259" i="66"/>
  <c r="I137" i="96"/>
  <c r="L460" i="96"/>
  <c r="N134" i="91"/>
  <c r="M466" i="96"/>
  <c r="K118" i="91"/>
  <c r="R108" i="87"/>
  <c r="L464" i="96"/>
  <c r="N133" i="91"/>
  <c r="K170" i="91"/>
  <c r="M111" i="91"/>
  <c r="L466" i="96"/>
  <c r="I205" i="70"/>
  <c r="M467" i="96"/>
  <c r="J752" i="96"/>
  <c r="L749" i="96"/>
  <c r="I492" i="96"/>
  <c r="I476" i="96" s="1"/>
  <c r="L163" i="91"/>
  <c r="K750" i="96"/>
  <c r="K751" i="96"/>
  <c r="K169" i="91"/>
  <c r="K164" i="91"/>
  <c r="N154" i="91"/>
  <c r="L499" i="96"/>
  <c r="L483" i="96" s="1"/>
  <c r="L221" i="96"/>
  <c r="L287" i="96"/>
  <c r="L212" i="96"/>
  <c r="L283" i="96"/>
  <c r="L456" i="96"/>
  <c r="L338" i="96"/>
  <c r="M214" i="96"/>
  <c r="L461" i="96"/>
  <c r="L340" i="96"/>
  <c r="L347" i="96"/>
  <c r="L213" i="96"/>
  <c r="L122" i="96"/>
  <c r="L462" i="96"/>
  <c r="L348" i="96"/>
  <c r="J630" i="96"/>
  <c r="K210" i="96"/>
  <c r="L224" i="96"/>
  <c r="L337" i="96"/>
  <c r="L215" i="96"/>
  <c r="K222" i="96"/>
  <c r="K223" i="96"/>
  <c r="L457" i="96"/>
  <c r="L211" i="96"/>
  <c r="L282" i="96"/>
  <c r="L468" i="96"/>
  <c r="L341" i="96"/>
  <c r="L463" i="96"/>
  <c r="J186" i="91"/>
  <c r="M166" i="91"/>
  <c r="J158" i="91"/>
  <c r="J193" i="91"/>
  <c r="M165" i="91"/>
  <c r="J192" i="91"/>
  <c r="Z31" i="123"/>
  <c r="U143" i="87"/>
  <c r="K641" i="96"/>
  <c r="K640" i="96"/>
  <c r="K629" i="96" s="1"/>
  <c r="M106" i="91"/>
  <c r="M144" i="91"/>
  <c r="M123" i="91"/>
  <c r="K192" i="91"/>
  <c r="J36" i="123"/>
  <c r="J30" i="123" s="1"/>
  <c r="N127" i="91"/>
  <c r="L130" i="91"/>
  <c r="U117" i="87"/>
  <c r="K116" i="91"/>
  <c r="T134" i="87"/>
  <c r="S120" i="87"/>
  <c r="R160" i="87"/>
  <c r="R85" i="87"/>
  <c r="L121" i="91"/>
  <c r="L125" i="91"/>
  <c r="J124" i="91"/>
  <c r="H140" i="96"/>
  <c r="P38" i="87" s="1"/>
  <c r="P75" i="87"/>
  <c r="P35" i="87"/>
  <c r="K748" i="96"/>
  <c r="K36" i="123"/>
  <c r="R121" i="87"/>
  <c r="AA31" i="123"/>
  <c r="J203" i="70"/>
  <c r="K527" i="96"/>
  <c r="K121" i="96"/>
  <c r="R102" i="87"/>
  <c r="J677" i="96"/>
  <c r="J202" i="70"/>
  <c r="L53" i="123"/>
  <c r="L55" i="123" s="1"/>
  <c r="L54" i="123" s="1"/>
  <c r="T113" i="87"/>
  <c r="I622" i="96"/>
  <c r="L41" i="123"/>
  <c r="L43" i="123" s="1"/>
  <c r="L42" i="123" s="1"/>
  <c r="R118" i="87"/>
  <c r="S111" i="87"/>
  <c r="Q110" i="87"/>
  <c r="N117" i="91"/>
  <c r="J204" i="70"/>
  <c r="M105" i="91"/>
  <c r="S112" i="87"/>
  <c r="L379" i="96"/>
  <c r="S115" i="87"/>
  <c r="K120" i="96"/>
  <c r="K755" i="96"/>
  <c r="K381" i="96"/>
  <c r="K382" i="96" s="1"/>
  <c r="K523" i="96"/>
  <c r="K758" i="96"/>
  <c r="K757" i="96" s="1"/>
  <c r="AB48" i="123"/>
  <c r="Q97" i="87"/>
  <c r="K107" i="91"/>
  <c r="R95" i="87"/>
  <c r="R72" i="87" s="1"/>
  <c r="L105" i="91"/>
  <c r="K147" i="91"/>
  <c r="L47" i="123"/>
  <c r="L49" i="123" s="1"/>
  <c r="L48" i="123" s="1"/>
  <c r="H681" i="96"/>
  <c r="H696" i="96"/>
  <c r="T101" i="87"/>
  <c r="I639" i="96"/>
  <c r="I628" i="96" s="1"/>
  <c r="J638" i="96"/>
  <c r="R90" i="87"/>
  <c r="S73" i="87"/>
  <c r="T145" i="87"/>
  <c r="K524" i="96"/>
  <c r="M291" i="96"/>
  <c r="Q114" i="87"/>
  <c r="L115" i="91"/>
  <c r="U107" i="87"/>
  <c r="N129" i="91"/>
  <c r="K119" i="96"/>
  <c r="R106" i="87"/>
  <c r="R137" i="87"/>
  <c r="I691" i="96"/>
  <c r="K49" i="123"/>
  <c r="K48" i="123" s="1"/>
  <c r="K525" i="96"/>
  <c r="L618" i="96"/>
  <c r="L114" i="91"/>
  <c r="R84" i="87"/>
  <c r="H139" i="96"/>
  <c r="J120" i="91"/>
  <c r="P74" i="87"/>
  <c r="Q35" i="87"/>
  <c r="G36" i="70"/>
  <c r="S96" i="87"/>
  <c r="S83" i="87" s="1"/>
  <c r="L574" i="96"/>
  <c r="L378" i="96"/>
  <c r="L35" i="123"/>
  <c r="L37" i="123" s="1"/>
  <c r="K112" i="91"/>
  <c r="I138" i="96"/>
  <c r="Q36" i="87" s="1"/>
  <c r="K186" i="91"/>
  <c r="AC47" i="123"/>
  <c r="L617" i="96"/>
  <c r="H206" i="70"/>
  <c r="R148" i="87"/>
  <c r="Q86" i="87"/>
  <c r="K128" i="91"/>
  <c r="T153" i="87"/>
  <c r="S105" i="87"/>
  <c r="U119" i="87"/>
  <c r="L122" i="91"/>
  <c r="K131" i="91"/>
  <c r="S104" i="87"/>
  <c r="AA30" i="123"/>
  <c r="K619" i="96"/>
  <c r="K621" i="96" s="1"/>
  <c r="AB53" i="123"/>
  <c r="AB55" i="123" s="1"/>
  <c r="AB54" i="123" s="1"/>
  <c r="T103" i="87"/>
  <c r="K676" i="96"/>
  <c r="K756" i="96"/>
  <c r="N7" i="91"/>
  <c r="I627" i="96"/>
  <c r="H35" i="70"/>
  <c r="H586" i="96"/>
  <c r="P89" i="87"/>
  <c r="J33" i="76"/>
  <c r="N31" i="76"/>
  <c r="U103" i="87" l="1"/>
  <c r="U144" i="87"/>
  <c r="T156" i="87"/>
  <c r="L290" i="96"/>
  <c r="R159" i="87"/>
  <c r="J145" i="96"/>
  <c r="T155" i="87"/>
  <c r="T79" i="87" s="1"/>
  <c r="U145" i="87"/>
  <c r="L288" i="96"/>
  <c r="U123" i="87"/>
  <c r="M283" i="96"/>
  <c r="U124" i="87"/>
  <c r="M282" i="96"/>
  <c r="M737" i="96"/>
  <c r="U165" i="87"/>
  <c r="M146" i="96"/>
  <c r="T161" i="87"/>
  <c r="T143" i="87"/>
  <c r="M693" i="96"/>
  <c r="M683" i="96" s="1"/>
  <c r="O171" i="91"/>
  <c r="J144" i="96"/>
  <c r="R42" i="87" s="1"/>
  <c r="M694" i="96"/>
  <c r="M684" i="96" s="1"/>
  <c r="O172" i="91"/>
  <c r="O175" i="91"/>
  <c r="O194" i="91"/>
  <c r="L693" i="96"/>
  <c r="L683" i="96" s="1"/>
  <c r="N171" i="91"/>
  <c r="J692" i="96"/>
  <c r="J682" i="96" s="1"/>
  <c r="I174" i="66"/>
  <c r="L228" i="96"/>
  <c r="L126" i="96"/>
  <c r="H686" i="96"/>
  <c r="I643" i="96"/>
  <c r="I644" i="96" s="1"/>
  <c r="G41" i="70"/>
  <c r="L192" i="91"/>
  <c r="H169" i="70"/>
  <c r="H171" i="70"/>
  <c r="L193" i="91"/>
  <c r="M126" i="91"/>
  <c r="L498" i="96"/>
  <c r="L482" i="96" s="1"/>
  <c r="M465" i="96"/>
  <c r="H213" i="70"/>
  <c r="M460" i="96"/>
  <c r="K158" i="91"/>
  <c r="M123" i="96"/>
  <c r="S95" i="87"/>
  <c r="S72" i="87" s="1"/>
  <c r="O133" i="91"/>
  <c r="M464" i="96"/>
  <c r="L170" i="91"/>
  <c r="J492" i="96"/>
  <c r="J476" i="96" s="1"/>
  <c r="M122" i="91"/>
  <c r="M163" i="91"/>
  <c r="L118" i="91"/>
  <c r="N153" i="91"/>
  <c r="I206" i="70"/>
  <c r="K630" i="96"/>
  <c r="J38" i="71"/>
  <c r="M749" i="96"/>
  <c r="T96" i="87"/>
  <c r="T83" i="87" s="1"/>
  <c r="M618" i="96"/>
  <c r="L164" i="91"/>
  <c r="L750" i="96"/>
  <c r="L223" i="96"/>
  <c r="L751" i="96"/>
  <c r="L169" i="91"/>
  <c r="K752" i="96"/>
  <c r="M500" i="96"/>
  <c r="M379" i="96"/>
  <c r="M457" i="96"/>
  <c r="M211" i="96"/>
  <c r="L120" i="96"/>
  <c r="L222" i="96"/>
  <c r="M221" i="96"/>
  <c r="M287" i="96"/>
  <c r="M462" i="96"/>
  <c r="M348" i="96"/>
  <c r="M213" i="96"/>
  <c r="M122" i="96"/>
  <c r="N155" i="91"/>
  <c r="L500" i="96"/>
  <c r="L484" i="96" s="1"/>
  <c r="M340" i="96"/>
  <c r="M461" i="96"/>
  <c r="M347" i="96"/>
  <c r="M456" i="96"/>
  <c r="M338" i="96"/>
  <c r="L489" i="96"/>
  <c r="L473" i="96" s="1"/>
  <c r="O153" i="91"/>
  <c r="M498" i="96"/>
  <c r="M482" i="96" s="1"/>
  <c r="M225" i="96"/>
  <c r="M463" i="96"/>
  <c r="L210" i="96"/>
  <c r="L281" i="96"/>
  <c r="L119" i="96"/>
  <c r="M468" i="96"/>
  <c r="M341" i="96"/>
  <c r="M378" i="96"/>
  <c r="M337" i="96"/>
  <c r="M215" i="96"/>
  <c r="M574" i="96"/>
  <c r="M212" i="96"/>
  <c r="M224" i="96"/>
  <c r="O154" i="91"/>
  <c r="M499" i="96"/>
  <c r="M483" i="96" s="1"/>
  <c r="L121" i="96"/>
  <c r="K202" i="70"/>
  <c r="M617" i="96"/>
  <c r="L758" i="96"/>
  <c r="L757" i="96" s="1"/>
  <c r="O155" i="91"/>
  <c r="J188" i="91"/>
  <c r="J191" i="91"/>
  <c r="J187" i="91"/>
  <c r="H644" i="96"/>
  <c r="O134" i="91"/>
  <c r="N111" i="91"/>
  <c r="N106" i="91"/>
  <c r="AB30" i="123"/>
  <c r="L756" i="96"/>
  <c r="M53" i="123"/>
  <c r="M55" i="123" s="1"/>
  <c r="M54" i="123" s="1"/>
  <c r="P41" i="87"/>
  <c r="R97" i="87"/>
  <c r="L107" i="91"/>
  <c r="U153" i="87"/>
  <c r="N108" i="91"/>
  <c r="P37" i="87"/>
  <c r="I696" i="96"/>
  <c r="I681" i="96"/>
  <c r="N116" i="91"/>
  <c r="K203" i="70"/>
  <c r="M35" i="123"/>
  <c r="S102" i="87"/>
  <c r="M125" i="91"/>
  <c r="M121" i="91"/>
  <c r="S85" i="87"/>
  <c r="S118" i="87"/>
  <c r="J137" i="96"/>
  <c r="L525" i="96"/>
  <c r="L112" i="91"/>
  <c r="L186" i="91"/>
  <c r="J138" i="96"/>
  <c r="R36" i="87" s="1"/>
  <c r="S121" i="87"/>
  <c r="K30" i="123"/>
  <c r="H580" i="96"/>
  <c r="H587" i="96"/>
  <c r="AD47" i="123"/>
  <c r="H36" i="70"/>
  <c r="M281" i="96"/>
  <c r="O129" i="91"/>
  <c r="L523" i="96"/>
  <c r="L381" i="96"/>
  <c r="L755" i="96"/>
  <c r="L524" i="96"/>
  <c r="O117" i="91"/>
  <c r="J691" i="96"/>
  <c r="R43" i="87"/>
  <c r="M41" i="123"/>
  <c r="M43" i="123" s="1"/>
  <c r="M42" i="123" s="1"/>
  <c r="J627" i="96"/>
  <c r="M47" i="123"/>
  <c r="M49" i="123" s="1"/>
  <c r="M48" i="123" s="1"/>
  <c r="I543" i="96"/>
  <c r="I534" i="96" s="1"/>
  <c r="K120" i="91"/>
  <c r="K187" i="91"/>
  <c r="I139" i="96"/>
  <c r="Q74" i="87"/>
  <c r="K638" i="96"/>
  <c r="H211" i="70"/>
  <c r="J639" i="96"/>
  <c r="J628" i="96" s="1"/>
  <c r="O7" i="91"/>
  <c r="S137" i="87"/>
  <c r="AC49" i="123"/>
  <c r="AC48" i="123" s="1"/>
  <c r="K204" i="70"/>
  <c r="T116" i="87"/>
  <c r="L147" i="91"/>
  <c r="U134" i="87"/>
  <c r="J622" i="96"/>
  <c r="T98" i="87"/>
  <c r="T73" i="87"/>
  <c r="AB31" i="123"/>
  <c r="R86" i="87"/>
  <c r="L128" i="91"/>
  <c r="S148" i="87"/>
  <c r="J205" i="70"/>
  <c r="L619" i="96"/>
  <c r="L621" i="96" s="1"/>
  <c r="AC53" i="123"/>
  <c r="O127" i="91"/>
  <c r="O108" i="91"/>
  <c r="U98" i="87"/>
  <c r="K677" i="96"/>
  <c r="L748" i="96"/>
  <c r="S84" i="87"/>
  <c r="M114" i="91"/>
  <c r="M115" i="91"/>
  <c r="L36" i="123"/>
  <c r="L31" i="123"/>
  <c r="O113" i="91"/>
  <c r="L116" i="91"/>
  <c r="R110" i="87"/>
  <c r="K124" i="91"/>
  <c r="Q75" i="87"/>
  <c r="K188" i="91"/>
  <c r="I140" i="96"/>
  <c r="Q38" i="87" s="1"/>
  <c r="L676" i="96"/>
  <c r="I586" i="96"/>
  <c r="Q89" i="87"/>
  <c r="S106" i="87"/>
  <c r="L527" i="96"/>
  <c r="N113" i="91"/>
  <c r="L131" i="91"/>
  <c r="K31" i="123"/>
  <c r="M130" i="91"/>
  <c r="N144" i="91"/>
  <c r="N123" i="91"/>
  <c r="K33" i="76"/>
  <c r="O31" i="76"/>
  <c r="U106" i="87" l="1"/>
  <c r="S159" i="87"/>
  <c r="K145" i="96"/>
  <c r="U156" i="87"/>
  <c r="U113" i="87"/>
  <c r="S108" i="87"/>
  <c r="M730" i="96"/>
  <c r="M739" i="96"/>
  <c r="M732" i="96" s="1"/>
  <c r="M733" i="96" s="1"/>
  <c r="R114" i="87"/>
  <c r="M290" i="96"/>
  <c r="U101" i="87"/>
  <c r="S160" i="87"/>
  <c r="U155" i="87"/>
  <c r="U79" i="87" s="1"/>
  <c r="S154" i="87"/>
  <c r="T106" i="87"/>
  <c r="K692" i="96"/>
  <c r="K682" i="96" s="1"/>
  <c r="M192" i="91"/>
  <c r="K144" i="96"/>
  <c r="S42" i="87" s="1"/>
  <c r="M126" i="96"/>
  <c r="M228" i="96"/>
  <c r="M677" i="96"/>
  <c r="J643" i="96"/>
  <c r="T154" i="87"/>
  <c r="J213" i="70"/>
  <c r="H212" i="70"/>
  <c r="H214" i="70" s="1"/>
  <c r="U116" i="87"/>
  <c r="S90" i="87"/>
  <c r="M193" i="91"/>
  <c r="K137" i="96"/>
  <c r="S35" i="87" s="1"/>
  <c r="K492" i="96"/>
  <c r="K476" i="96" s="1"/>
  <c r="M170" i="91"/>
  <c r="L188" i="91"/>
  <c r="L158" i="91"/>
  <c r="N163" i="91"/>
  <c r="M118" i="91"/>
  <c r="L202" i="70"/>
  <c r="M288" i="96"/>
  <c r="M169" i="91"/>
  <c r="M750" i="96"/>
  <c r="M164" i="91"/>
  <c r="L752" i="96"/>
  <c r="M751" i="96"/>
  <c r="M527" i="96"/>
  <c r="M222" i="96"/>
  <c r="M120" i="96"/>
  <c r="M121" i="96"/>
  <c r="M484" i="96"/>
  <c r="M758" i="96"/>
  <c r="M757" i="96" s="1"/>
  <c r="M524" i="96"/>
  <c r="M748" i="96"/>
  <c r="M223" i="96"/>
  <c r="M641" i="96"/>
  <c r="O144" i="91"/>
  <c r="M489" i="96"/>
  <c r="M473" i="96" s="1"/>
  <c r="M523" i="96"/>
  <c r="M755" i="96"/>
  <c r="M381" i="96"/>
  <c r="M619" i="96"/>
  <c r="M621" i="96" s="1"/>
  <c r="M210" i="96"/>
  <c r="M119" i="96"/>
  <c r="M756" i="96"/>
  <c r="M525" i="96"/>
  <c r="L382" i="96"/>
  <c r="K205" i="70"/>
  <c r="O166" i="91"/>
  <c r="N165" i="91"/>
  <c r="N166" i="91"/>
  <c r="I632" i="96"/>
  <c r="I633" i="96" s="1"/>
  <c r="I213" i="70"/>
  <c r="I211" i="70"/>
  <c r="O111" i="91"/>
  <c r="O106" i="91"/>
  <c r="L120" i="91"/>
  <c r="J139" i="96"/>
  <c r="L187" i="91"/>
  <c r="R74" i="87"/>
  <c r="L30" i="123"/>
  <c r="J206" i="70"/>
  <c r="K639" i="96"/>
  <c r="K628" i="96" s="1"/>
  <c r="N126" i="91"/>
  <c r="L640" i="96"/>
  <c r="L629" i="96" s="1"/>
  <c r="K691" i="96"/>
  <c r="S43" i="87"/>
  <c r="L641" i="96"/>
  <c r="L630" i="96" s="1"/>
  <c r="U111" i="87"/>
  <c r="L203" i="70"/>
  <c r="L638" i="96"/>
  <c r="N53" i="123"/>
  <c r="N55" i="123" s="1"/>
  <c r="N54" i="123" s="1"/>
  <c r="U120" i="87"/>
  <c r="N41" i="123"/>
  <c r="N43" i="123" s="1"/>
  <c r="N42" i="123" s="1"/>
  <c r="S110" i="87"/>
  <c r="I686" i="96"/>
  <c r="I687" i="96" s="1"/>
  <c r="J586" i="96"/>
  <c r="R89" i="87"/>
  <c r="T95" i="87"/>
  <c r="T72" i="87" s="1"/>
  <c r="K622" i="96"/>
  <c r="M116" i="91"/>
  <c r="L622" i="96"/>
  <c r="N47" i="123"/>
  <c r="N49" i="123" s="1"/>
  <c r="N48" i="123" s="1"/>
  <c r="K627" i="96"/>
  <c r="N35" i="123"/>
  <c r="J681" i="96"/>
  <c r="J696" i="96"/>
  <c r="L124" i="91"/>
  <c r="J140" i="96"/>
  <c r="R38" i="87" s="1"/>
  <c r="R75" i="87"/>
  <c r="H581" i="96"/>
  <c r="M131" i="91"/>
  <c r="M128" i="91"/>
  <c r="S86" i="87"/>
  <c r="M112" i="91"/>
  <c r="K138" i="96"/>
  <c r="S36" i="87" s="1"/>
  <c r="M186" i="91"/>
  <c r="U104" i="87"/>
  <c r="AD53" i="123"/>
  <c r="AD55" i="123" s="1"/>
  <c r="AD54" i="123" s="1"/>
  <c r="I580" i="96"/>
  <c r="L677" i="96"/>
  <c r="O116" i="91"/>
  <c r="U73" i="87"/>
  <c r="T137" i="87"/>
  <c r="AC55" i="123"/>
  <c r="AC31" i="123" s="1"/>
  <c r="O123" i="91"/>
  <c r="S97" i="87"/>
  <c r="M107" i="91"/>
  <c r="Q37" i="87"/>
  <c r="T102" i="87"/>
  <c r="AE47" i="123"/>
  <c r="R35" i="87"/>
  <c r="N105" i="91"/>
  <c r="J543" i="96"/>
  <c r="J534" i="96" s="1"/>
  <c r="L204" i="70"/>
  <c r="S114" i="87"/>
  <c r="M147" i="91"/>
  <c r="U96" i="87"/>
  <c r="U83" i="87" s="1"/>
  <c r="U115" i="87"/>
  <c r="AD49" i="123"/>
  <c r="M37" i="123"/>
  <c r="M31" i="123" s="1"/>
  <c r="U105" i="87"/>
  <c r="L33" i="76"/>
  <c r="T120" i="87" l="1"/>
  <c r="T105" i="87"/>
  <c r="T111" i="87"/>
  <c r="T104" i="87"/>
  <c r="T115" i="87"/>
  <c r="T159" i="87"/>
  <c r="U112" i="87"/>
  <c r="M203" i="70"/>
  <c r="N192" i="91"/>
  <c r="L144" i="96"/>
  <c r="T42" i="87" s="1"/>
  <c r="K643" i="96"/>
  <c r="K644" i="96" s="1"/>
  <c r="J39" i="71"/>
  <c r="J42" i="71"/>
  <c r="J41" i="71" s="1"/>
  <c r="AD31" i="123"/>
  <c r="K213" i="70"/>
  <c r="I212" i="70"/>
  <c r="I214" i="70" s="1"/>
  <c r="K206" i="70"/>
  <c r="L205" i="70"/>
  <c r="L206" i="70" s="1"/>
  <c r="T90" i="87"/>
  <c r="O126" i="91"/>
  <c r="J211" i="70"/>
  <c r="M158" i="91"/>
  <c r="L492" i="96"/>
  <c r="L476" i="96" s="1"/>
  <c r="U108" i="87"/>
  <c r="M204" i="70"/>
  <c r="L137" i="96"/>
  <c r="M752" i="96"/>
  <c r="M622" i="96"/>
  <c r="O165" i="91"/>
  <c r="M640" i="96"/>
  <c r="M629" i="96" s="1"/>
  <c r="O163" i="91"/>
  <c r="M638" i="96"/>
  <c r="M382" i="96"/>
  <c r="N169" i="91"/>
  <c r="N164" i="91"/>
  <c r="M630" i="96"/>
  <c r="H215" i="70"/>
  <c r="O105" i="91"/>
  <c r="O122" i="91"/>
  <c r="L145" i="96"/>
  <c r="AC54" i="123"/>
  <c r="M36" i="123"/>
  <c r="M30" i="123" s="1"/>
  <c r="N130" i="91"/>
  <c r="O53" i="123"/>
  <c r="O55" i="123" s="1"/>
  <c r="O54" i="123" s="1"/>
  <c r="K543" i="96"/>
  <c r="K534" i="96" s="1"/>
  <c r="N115" i="91"/>
  <c r="O35" i="123"/>
  <c r="J686" i="96"/>
  <c r="J687" i="96" s="1"/>
  <c r="N125" i="91"/>
  <c r="L639" i="96"/>
  <c r="L643" i="96" s="1"/>
  <c r="U95" i="87"/>
  <c r="U72" i="87" s="1"/>
  <c r="L627" i="96"/>
  <c r="K211" i="70"/>
  <c r="T114" i="87"/>
  <c r="O47" i="123"/>
  <c r="O49" i="123" s="1"/>
  <c r="O48" i="123" s="1"/>
  <c r="R37" i="87"/>
  <c r="AE53" i="123"/>
  <c r="AE55" i="123" s="1"/>
  <c r="AE54" i="123" s="1"/>
  <c r="N112" i="91"/>
  <c r="T110" i="87"/>
  <c r="U148" i="87"/>
  <c r="N37" i="123"/>
  <c r="N31" i="123" s="1"/>
  <c r="K586" i="96"/>
  <c r="S89" i="87"/>
  <c r="J580" i="96"/>
  <c r="S74" i="87"/>
  <c r="K139" i="96"/>
  <c r="M187" i="91"/>
  <c r="M120" i="91"/>
  <c r="U118" i="87"/>
  <c r="U85" i="87"/>
  <c r="O121" i="91"/>
  <c r="AF47" i="123"/>
  <c r="M124" i="91"/>
  <c r="S75" i="87"/>
  <c r="K140" i="96"/>
  <c r="O115" i="91"/>
  <c r="AD48" i="123"/>
  <c r="AD30" i="123" s="1"/>
  <c r="O125" i="91"/>
  <c r="T112" i="87"/>
  <c r="U121" i="87"/>
  <c r="AE49" i="123"/>
  <c r="T97" i="87"/>
  <c r="N107" i="91"/>
  <c r="H170" i="70"/>
  <c r="H172" i="70" s="1"/>
  <c r="O114" i="91"/>
  <c r="U84" i="87"/>
  <c r="L691" i="96"/>
  <c r="O130" i="91"/>
  <c r="J644" i="96"/>
  <c r="J632" i="96"/>
  <c r="J633" i="96" s="1"/>
  <c r="U102" i="87"/>
  <c r="O41" i="123"/>
  <c r="O43" i="123" s="1"/>
  <c r="O42" i="123" s="1"/>
  <c r="T85" i="87"/>
  <c r="N121" i="91"/>
  <c r="N147" i="91"/>
  <c r="U160" i="87"/>
  <c r="N114" i="91"/>
  <c r="T84" i="87"/>
  <c r="M202" i="70"/>
  <c r="K681" i="96"/>
  <c r="K696" i="96"/>
  <c r="U137" i="87"/>
  <c r="M33" i="76"/>
  <c r="M205" i="70" l="1"/>
  <c r="M206" i="70" s="1"/>
  <c r="T118" i="87"/>
  <c r="N186" i="91"/>
  <c r="T108" i="87"/>
  <c r="U154" i="87"/>
  <c r="U159" i="87"/>
  <c r="M145" i="96"/>
  <c r="U43" i="87" s="1"/>
  <c r="T121" i="87"/>
  <c r="T160" i="87"/>
  <c r="T148" i="87"/>
  <c r="L692" i="96"/>
  <c r="L682" i="96" s="1"/>
  <c r="M692" i="96"/>
  <c r="M682" i="96" s="1"/>
  <c r="O192" i="91"/>
  <c r="M144" i="96"/>
  <c r="U42" i="87" s="1"/>
  <c r="M627" i="96"/>
  <c r="I215" i="70"/>
  <c r="J212" i="70"/>
  <c r="J214" i="70" s="1"/>
  <c r="J215" i="70" s="1"/>
  <c r="L138" i="96"/>
  <c r="T36" i="87" s="1"/>
  <c r="U90" i="87"/>
  <c r="O193" i="91"/>
  <c r="N193" i="91"/>
  <c r="M492" i="96"/>
  <c r="M476" i="96" s="1"/>
  <c r="N118" i="91"/>
  <c r="M137" i="96"/>
  <c r="U35" i="87" s="1"/>
  <c r="N158" i="91"/>
  <c r="O118" i="91"/>
  <c r="M138" i="96"/>
  <c r="U36" i="87" s="1"/>
  <c r="AE31" i="123"/>
  <c r="T43" i="87"/>
  <c r="O169" i="91"/>
  <c r="M691" i="96"/>
  <c r="L139" i="96"/>
  <c r="L140" i="96"/>
  <c r="O170" i="91"/>
  <c r="O164" i="91"/>
  <c r="M639" i="96"/>
  <c r="M643" i="96" s="1"/>
  <c r="K632" i="96"/>
  <c r="K633" i="96" s="1"/>
  <c r="M188" i="91"/>
  <c r="N170" i="91"/>
  <c r="N36" i="123"/>
  <c r="N30" i="123" s="1"/>
  <c r="AC30" i="123"/>
  <c r="L644" i="96"/>
  <c r="L632" i="96"/>
  <c r="K686" i="96"/>
  <c r="K687" i="96" s="1"/>
  <c r="U110" i="87"/>
  <c r="O112" i="91"/>
  <c r="O186" i="91"/>
  <c r="AE48" i="123"/>
  <c r="AE30" i="123" s="1"/>
  <c r="K580" i="96"/>
  <c r="N131" i="91"/>
  <c r="L681" i="96"/>
  <c r="T89" i="87"/>
  <c r="L586" i="96"/>
  <c r="P35" i="123"/>
  <c r="N122" i="91"/>
  <c r="AG47" i="123"/>
  <c r="P53" i="123"/>
  <c r="P55" i="123" s="1"/>
  <c r="P54" i="123" s="1"/>
  <c r="AF53" i="123"/>
  <c r="AF55" i="123" s="1"/>
  <c r="AF54" i="123" s="1"/>
  <c r="T74" i="87"/>
  <c r="N187" i="91"/>
  <c r="N120" i="91"/>
  <c r="O37" i="123"/>
  <c r="O31" i="123" s="1"/>
  <c r="O147" i="91"/>
  <c r="O107" i="91"/>
  <c r="U97" i="87"/>
  <c r="N128" i="91"/>
  <c r="T86" i="87"/>
  <c r="L543" i="96"/>
  <c r="L534" i="96" s="1"/>
  <c r="T35" i="87"/>
  <c r="O131" i="91"/>
  <c r="P47" i="123"/>
  <c r="P49" i="123" s="1"/>
  <c r="P48" i="123" s="1"/>
  <c r="P41" i="123"/>
  <c r="P43" i="123" s="1"/>
  <c r="P42" i="123" s="1"/>
  <c r="N124" i="91"/>
  <c r="T75" i="87"/>
  <c r="N188" i="91"/>
  <c r="U114" i="87"/>
  <c r="AF49" i="123"/>
  <c r="O128" i="91"/>
  <c r="U86" i="87"/>
  <c r="S37" i="87"/>
  <c r="L628" i="96"/>
  <c r="M543" i="96" l="1"/>
  <c r="M534" i="96" s="1"/>
  <c r="K212" i="70"/>
  <c r="K214" i="70" s="1"/>
  <c r="M139" i="96"/>
  <c r="U37" i="87" s="1"/>
  <c r="AF31" i="123"/>
  <c r="L696" i="96"/>
  <c r="M140" i="96"/>
  <c r="O158" i="91"/>
  <c r="M586" i="96"/>
  <c r="M580" i="96" s="1"/>
  <c r="M628" i="96"/>
  <c r="M681" i="96"/>
  <c r="M696" i="96"/>
  <c r="L633" i="96"/>
  <c r="M211" i="70"/>
  <c r="M213" i="70"/>
  <c r="O36" i="123"/>
  <c r="O30" i="123" s="1"/>
  <c r="Q35" i="123"/>
  <c r="Q41" i="123"/>
  <c r="Q43" i="123" s="1"/>
  <c r="Q42" i="123" s="1"/>
  <c r="T37" i="87"/>
  <c r="AG49" i="123"/>
  <c r="AG48" i="123" s="1"/>
  <c r="P37" i="123"/>
  <c r="P31" i="123" s="1"/>
  <c r="L211" i="70"/>
  <c r="U89" i="87"/>
  <c r="O187" i="91"/>
  <c r="O120" i="91"/>
  <c r="U74" i="87"/>
  <c r="AF48" i="123"/>
  <c r="AF30" i="123" s="1"/>
  <c r="O124" i="91"/>
  <c r="U75" i="87"/>
  <c r="O188" i="91"/>
  <c r="AH47" i="123"/>
  <c r="L213" i="70"/>
  <c r="L580" i="96"/>
  <c r="Q53" i="123"/>
  <c r="Q55" i="123" s="1"/>
  <c r="Q54" i="123" s="1"/>
  <c r="AG53" i="123"/>
  <c r="AG55" i="123" s="1"/>
  <c r="AG54" i="123" s="1"/>
  <c r="Q47" i="123"/>
  <c r="Q49" i="123" s="1"/>
  <c r="Q48" i="123" s="1"/>
  <c r="N33" i="76"/>
  <c r="O33" i="76"/>
  <c r="K215" i="70" l="1"/>
  <c r="L740" i="96"/>
  <c r="O32" i="76"/>
  <c r="L212" i="70"/>
  <c r="L214" i="70" s="1"/>
  <c r="L686" i="96"/>
  <c r="L687" i="96" s="1"/>
  <c r="M740" i="96"/>
  <c r="M686" i="96"/>
  <c r="M644" i="96"/>
  <c r="M632" i="96"/>
  <c r="M633" i="96" s="1"/>
  <c r="P36" i="123"/>
  <c r="P30" i="123" s="1"/>
  <c r="AG31" i="123"/>
  <c r="AH53" i="123"/>
  <c r="AH55" i="123" s="1"/>
  <c r="AH54" i="123" s="1"/>
  <c r="AH49" i="123"/>
  <c r="Q37" i="123"/>
  <c r="Q31" i="123" s="1"/>
  <c r="AG30" i="123"/>
  <c r="M212" i="70" l="1"/>
  <c r="M214" i="70" s="1"/>
  <c r="M215" i="70" s="1"/>
  <c r="M687" i="96"/>
  <c r="AH31" i="123"/>
  <c r="Q36" i="123"/>
  <c r="Q30" i="123" s="1"/>
  <c r="AH48" i="123"/>
  <c r="AH30" i="123" s="1"/>
  <c r="L215" i="70"/>
  <c r="I289" i="96" l="1"/>
  <c r="I459" i="96"/>
  <c r="I469" i="96" s="1"/>
  <c r="I226" i="96"/>
  <c r="I349" i="96"/>
  <c r="I124" i="96"/>
  <c r="I154" i="96" s="1"/>
  <c r="I339" i="96"/>
  <c r="I526" i="96" l="1"/>
  <c r="I119" i="70"/>
  <c r="I118" i="70"/>
  <c r="I529" i="96"/>
  <c r="I120" i="70"/>
  <c r="I342" i="96"/>
  <c r="I343" i="96" s="1"/>
  <c r="I350" i="96"/>
  <c r="I470" i="96" l="1"/>
  <c r="I528" i="96"/>
  <c r="I121" i="70"/>
  <c r="I351" i="96"/>
  <c r="I122" i="70" l="1"/>
  <c r="L289" i="96" l="1"/>
  <c r="J289" i="96"/>
  <c r="K289" i="96"/>
  <c r="L459" i="96"/>
  <c r="L469" i="96" s="1"/>
  <c r="L339" i="96"/>
  <c r="L342" i="96" s="1"/>
  <c r="L226" i="96"/>
  <c r="L124" i="96"/>
  <c r="L154" i="96" s="1"/>
  <c r="L349" i="96"/>
  <c r="L350" i="96" s="1"/>
  <c r="J459" i="96"/>
  <c r="J469" i="96" s="1"/>
  <c r="J339" i="96"/>
  <c r="J342" i="96" s="1"/>
  <c r="J343" i="96" s="1"/>
  <c r="J349" i="96"/>
  <c r="J350" i="96" s="1"/>
  <c r="J226" i="96"/>
  <c r="M339" i="96"/>
  <c r="M342" i="96" s="1"/>
  <c r="M459" i="96"/>
  <c r="M469" i="96" s="1"/>
  <c r="M226" i="96"/>
  <c r="M349" i="96"/>
  <c r="M350" i="96" s="1"/>
  <c r="M124" i="96"/>
  <c r="M154" i="96" s="1"/>
  <c r="M289" i="96"/>
  <c r="K459" i="96"/>
  <c r="K469" i="96" s="1"/>
  <c r="K339" i="96"/>
  <c r="K342" i="96" s="1"/>
  <c r="K349" i="96"/>
  <c r="K350" i="96" s="1"/>
  <c r="K226" i="96"/>
  <c r="J124" i="96"/>
  <c r="J154" i="96" s="1"/>
  <c r="K124" i="96"/>
  <c r="K154" i="96" s="1"/>
  <c r="M343" i="96" l="1"/>
  <c r="K118" i="70"/>
  <c r="J119" i="70"/>
  <c r="M526" i="96"/>
  <c r="M529" i="96"/>
  <c r="L351" i="96"/>
  <c r="K351" i="96"/>
  <c r="J351" i="96"/>
  <c r="L343" i="96"/>
  <c r="K343" i="96"/>
  <c r="M351" i="96"/>
  <c r="J529" i="96"/>
  <c r="K120" i="70"/>
  <c r="K526" i="96"/>
  <c r="J120" i="70"/>
  <c r="L526" i="96"/>
  <c r="M118" i="70"/>
  <c r="K119" i="70"/>
  <c r="L118" i="70"/>
  <c r="M119" i="70"/>
  <c r="L119" i="70"/>
  <c r="L529" i="96"/>
  <c r="M120" i="70"/>
  <c r="K529" i="96"/>
  <c r="J526" i="96"/>
  <c r="L120" i="70"/>
  <c r="J118" i="70"/>
  <c r="J470" i="96" l="1"/>
  <c r="M528" i="96"/>
  <c r="L470" i="96"/>
  <c r="M470" i="96"/>
  <c r="K470" i="96"/>
  <c r="K121" i="70"/>
  <c r="J121" i="70"/>
  <c r="J528" i="96"/>
  <c r="K528" i="96"/>
  <c r="M121" i="70"/>
  <c r="L528" i="96"/>
  <c r="L121" i="70"/>
  <c r="K122" i="70" l="1"/>
  <c r="J122" i="70"/>
  <c r="M122" i="70"/>
  <c r="L122" i="70"/>
  <c r="P122" i="87" l="1"/>
  <c r="Q122" i="87"/>
  <c r="O76" i="87"/>
  <c r="I132" i="91"/>
  <c r="G141" i="96"/>
  <c r="R122" i="87" l="1"/>
  <c r="I189" i="91"/>
  <c r="J189" i="91"/>
  <c r="H141" i="96"/>
  <c r="P76" i="87"/>
  <c r="J132" i="91"/>
  <c r="K189" i="91"/>
  <c r="Q76" i="87"/>
  <c r="I141" i="96"/>
  <c r="K132" i="91"/>
  <c r="O39" i="87"/>
  <c r="G162" i="96"/>
  <c r="S122" i="87" l="1"/>
  <c r="R76" i="87"/>
  <c r="L189" i="91"/>
  <c r="J141" i="96"/>
  <c r="L132" i="91"/>
  <c r="P39" i="87"/>
  <c r="H162" i="96"/>
  <c r="Q39" i="87"/>
  <c r="I162" i="96"/>
  <c r="T122" i="87" l="1"/>
  <c r="M189" i="91"/>
  <c r="K141" i="96"/>
  <c r="S76" i="87"/>
  <c r="M132" i="91"/>
  <c r="R39" i="87"/>
  <c r="J162" i="96"/>
  <c r="L141" i="96" l="1"/>
  <c r="K162" i="96"/>
  <c r="T76" i="87"/>
  <c r="N189" i="91"/>
  <c r="N132" i="91"/>
  <c r="I174" i="69"/>
  <c r="G43" i="70"/>
  <c r="U122" i="87" l="1"/>
  <c r="U76" i="87" s="1"/>
  <c r="O189" i="91"/>
  <c r="M141" i="96"/>
  <c r="O132" i="91"/>
  <c r="L162" i="96"/>
  <c r="M162" i="96" l="1"/>
  <c r="H155" i="91" l="1"/>
  <c r="H259" i="66" l="1"/>
  <c r="F256" i="70"/>
  <c r="F127" i="70"/>
  <c r="F130" i="70" s="1"/>
  <c r="H174" i="66" l="1"/>
  <c r="F41" i="70"/>
  <c r="F44" i="70" s="1"/>
  <c r="F500" i="96"/>
  <c r="F501" i="96" s="1"/>
  <c r="F485" i="96" s="1"/>
  <c r="F142" i="96"/>
  <c r="F158" i="96" s="1"/>
  <c r="F131" i="70"/>
  <c r="F45" i="70" l="1"/>
  <c r="F150" i="96"/>
  <c r="N40" i="87"/>
  <c r="F148" i="96"/>
  <c r="N44" i="87" s="1"/>
  <c r="H185" i="91"/>
  <c r="H190" i="91"/>
  <c r="F547" i="96"/>
  <c r="F538" i="96" s="1"/>
  <c r="F502" i="96"/>
  <c r="F149" i="96" l="1"/>
  <c r="F546" i="96"/>
  <c r="F537" i="96" l="1"/>
  <c r="J284" i="96" l="1"/>
  <c r="I284" i="96"/>
  <c r="Q146" i="87"/>
  <c r="Q78" i="87" s="1"/>
  <c r="J125" i="96"/>
  <c r="J155" i="96" s="1"/>
  <c r="I125" i="96"/>
  <c r="I155" i="96" s="1"/>
  <c r="I216" i="96"/>
  <c r="J216" i="96"/>
  <c r="J248" i="70"/>
  <c r="I248" i="70"/>
  <c r="J573" i="96"/>
  <c r="R146" i="87"/>
  <c r="I585" i="96"/>
  <c r="I573" i="96"/>
  <c r="K156" i="91"/>
  <c r="K191" i="91" l="1"/>
  <c r="J298" i="96"/>
  <c r="J300" i="96"/>
  <c r="J295" i="96"/>
  <c r="J299" i="96"/>
  <c r="J296" i="96"/>
  <c r="J297" i="96"/>
  <c r="K40" i="71"/>
  <c r="K37" i="71"/>
  <c r="L40" i="71"/>
  <c r="L37" i="71"/>
  <c r="I298" i="96"/>
  <c r="I296" i="96"/>
  <c r="I295" i="96"/>
  <c r="I300" i="96"/>
  <c r="I297" i="96"/>
  <c r="I299" i="96"/>
  <c r="I143" i="96"/>
  <c r="J143" i="96"/>
  <c r="L156" i="91"/>
  <c r="J160" i="70"/>
  <c r="L89" i="66"/>
  <c r="I160" i="70"/>
  <c r="K89" i="66"/>
  <c r="I132" i="96"/>
  <c r="I130" i="96"/>
  <c r="J303" i="96"/>
  <c r="J307" i="96"/>
  <c r="J308" i="96" s="1"/>
  <c r="J304" i="96"/>
  <c r="J161" i="70"/>
  <c r="J575" i="96"/>
  <c r="I161" i="70"/>
  <c r="I307" i="96"/>
  <c r="I308" i="96" s="1"/>
  <c r="I303" i="96"/>
  <c r="I304" i="96"/>
  <c r="I162" i="70"/>
  <c r="K89" i="69"/>
  <c r="I579" i="96"/>
  <c r="I575" i="96"/>
  <c r="I587" i="96"/>
  <c r="I588" i="96" s="1"/>
  <c r="J585" i="96"/>
  <c r="J587" i="96" s="1"/>
  <c r="J162" i="70"/>
  <c r="L89" i="69"/>
  <c r="J132" i="96"/>
  <c r="J130" i="96"/>
  <c r="R78" i="87"/>
  <c r="K248" i="70" l="1"/>
  <c r="K38" i="71"/>
  <c r="L38" i="71"/>
  <c r="K284" i="96"/>
  <c r="Q41" i="87"/>
  <c r="I159" i="96"/>
  <c r="R41" i="87"/>
  <c r="J159" i="96"/>
  <c r="K125" i="96"/>
  <c r="K155" i="96" s="1"/>
  <c r="K216" i="96"/>
  <c r="K573" i="96"/>
  <c r="K575" i="96" s="1"/>
  <c r="K576" i="96" s="1"/>
  <c r="J34" i="70"/>
  <c r="I581" i="96"/>
  <c r="I576" i="96"/>
  <c r="I33" i="70"/>
  <c r="L191" i="91"/>
  <c r="I169" i="70"/>
  <c r="J32" i="70"/>
  <c r="I171" i="70"/>
  <c r="J163" i="70"/>
  <c r="J131" i="96"/>
  <c r="J579" i="96"/>
  <c r="J33" i="70"/>
  <c r="I32" i="70"/>
  <c r="J169" i="70"/>
  <c r="J588" i="96"/>
  <c r="I34" i="70"/>
  <c r="J576" i="96"/>
  <c r="J581" i="96"/>
  <c r="I131" i="96"/>
  <c r="I163" i="70"/>
  <c r="L248" i="70" l="1"/>
  <c r="J171" i="70"/>
  <c r="L284" i="96"/>
  <c r="M40" i="71"/>
  <c r="M37" i="71"/>
  <c r="K298" i="96"/>
  <c r="K296" i="96"/>
  <c r="K295" i="96"/>
  <c r="K300" i="96"/>
  <c r="K297" i="96"/>
  <c r="K299" i="96"/>
  <c r="I170" i="70"/>
  <c r="I172" i="70" s="1"/>
  <c r="S146" i="87"/>
  <c r="S78" i="87" s="1"/>
  <c r="L125" i="96"/>
  <c r="L155" i="96" s="1"/>
  <c r="M191" i="91"/>
  <c r="K143" i="96"/>
  <c r="K159" i="96" s="1"/>
  <c r="J170" i="70"/>
  <c r="J172" i="70" s="1"/>
  <c r="M89" i="66"/>
  <c r="K160" i="70"/>
  <c r="N156" i="91"/>
  <c r="K307" i="96"/>
  <c r="K308" i="96" s="1"/>
  <c r="K304" i="96"/>
  <c r="K303" i="96"/>
  <c r="K132" i="96"/>
  <c r="K130" i="96"/>
  <c r="L573" i="96"/>
  <c r="L575" i="96" s="1"/>
  <c r="L576" i="96" s="1"/>
  <c r="L216" i="96"/>
  <c r="K161" i="70"/>
  <c r="K162" i="70"/>
  <c r="M89" i="69"/>
  <c r="M156" i="91"/>
  <c r="K585" i="96"/>
  <c r="J35" i="70"/>
  <c r="I164" i="70"/>
  <c r="I35" i="70"/>
  <c r="J164" i="70"/>
  <c r="M248" i="70" l="1"/>
  <c r="M284" i="96"/>
  <c r="N37" i="71"/>
  <c r="N40" i="71"/>
  <c r="M38" i="71"/>
  <c r="K39" i="71"/>
  <c r="K42" i="71"/>
  <c r="K41" i="71" s="1"/>
  <c r="L298" i="96"/>
  <c r="L300" i="96"/>
  <c r="L296" i="96"/>
  <c r="L295" i="96"/>
  <c r="L297" i="96"/>
  <c r="L299" i="96"/>
  <c r="T146" i="87"/>
  <c r="M125" i="96"/>
  <c r="M155" i="96" s="1"/>
  <c r="N191" i="91"/>
  <c r="L143" i="96"/>
  <c r="L159" i="96" s="1"/>
  <c r="M573" i="96"/>
  <c r="M575" i="96" s="1"/>
  <c r="M576" i="96" s="1"/>
  <c r="M216" i="96"/>
  <c r="K33" i="70"/>
  <c r="S41" i="87"/>
  <c r="L162" i="70"/>
  <c r="N89" i="69"/>
  <c r="K32" i="70"/>
  <c r="K587" i="96"/>
  <c r="K579" i="96"/>
  <c r="L160" i="70"/>
  <c r="N89" i="66"/>
  <c r="L161" i="70"/>
  <c r="L130" i="96"/>
  <c r="L132" i="96"/>
  <c r="K131" i="96"/>
  <c r="K163" i="70"/>
  <c r="K34" i="70"/>
  <c r="L304" i="96"/>
  <c r="L307" i="96"/>
  <c r="L308" i="96" s="1"/>
  <c r="L303" i="96"/>
  <c r="L585" i="96"/>
  <c r="T78" i="87"/>
  <c r="K169" i="70"/>
  <c r="J173" i="70"/>
  <c r="I36" i="70"/>
  <c r="I173" i="70"/>
  <c r="J36" i="70"/>
  <c r="L39" i="71" l="1"/>
  <c r="L42" i="71"/>
  <c r="L41" i="71" s="1"/>
  <c r="N38" i="71"/>
  <c r="M298" i="96"/>
  <c r="M295" i="96"/>
  <c r="M300" i="96"/>
  <c r="M296" i="96"/>
  <c r="M297" i="96"/>
  <c r="M299" i="96"/>
  <c r="O40" i="71"/>
  <c r="O37" i="71"/>
  <c r="U146" i="87"/>
  <c r="O191" i="91"/>
  <c r="M143" i="96"/>
  <c r="M159" i="96" s="1"/>
  <c r="L163" i="70"/>
  <c r="L587" i="96"/>
  <c r="L579" i="96"/>
  <c r="K164" i="70"/>
  <c r="L33" i="70"/>
  <c r="L171" i="70"/>
  <c r="K581" i="96"/>
  <c r="K588" i="96"/>
  <c r="K35" i="70"/>
  <c r="L34" i="70"/>
  <c r="O89" i="66"/>
  <c r="M160" i="70"/>
  <c r="T41" i="87"/>
  <c r="L32" i="70"/>
  <c r="M161" i="70"/>
  <c r="M307" i="96"/>
  <c r="M308" i="96" s="1"/>
  <c r="M303" i="96"/>
  <c r="M304" i="96"/>
  <c r="M162" i="70"/>
  <c r="O89" i="69"/>
  <c r="L131" i="96"/>
  <c r="L169" i="70"/>
  <c r="O156" i="91"/>
  <c r="M585" i="96"/>
  <c r="U78" i="87"/>
  <c r="M130" i="96"/>
  <c r="M132" i="96"/>
  <c r="N39" i="71" l="1"/>
  <c r="O38" i="71"/>
  <c r="N42" i="71"/>
  <c r="N41" i="71" s="1"/>
  <c r="M39" i="71"/>
  <c r="M42" i="71"/>
  <c r="M41" i="71" s="1"/>
  <c r="L35" i="70"/>
  <c r="L164" i="70"/>
  <c r="M131" i="96"/>
  <c r="L170" i="70"/>
  <c r="L172" i="70" s="1"/>
  <c r="M32" i="70"/>
  <c r="M587" i="96"/>
  <c r="M579" i="96"/>
  <c r="M34" i="70"/>
  <c r="N34" i="70" s="1"/>
  <c r="K36" i="70"/>
  <c r="L588" i="96"/>
  <c r="L581" i="96"/>
  <c r="M163" i="70"/>
  <c r="U41" i="87"/>
  <c r="M33" i="70"/>
  <c r="N33" i="70" s="1"/>
  <c r="M169" i="70"/>
  <c r="K171" i="70"/>
  <c r="K170" i="70"/>
  <c r="L36" i="70" l="1"/>
  <c r="K172" i="70"/>
  <c r="L173" i="70" s="1"/>
  <c r="M164" i="70"/>
  <c r="M171" i="70"/>
  <c r="M588" i="96"/>
  <c r="M581" i="96"/>
  <c r="M35" i="70"/>
  <c r="N32" i="70"/>
  <c r="O39" i="71" l="1"/>
  <c r="O42" i="71"/>
  <c r="O41" i="71" s="1"/>
  <c r="M36" i="70"/>
  <c r="M170" i="70"/>
  <c r="M172" i="70" s="1"/>
  <c r="K173" i="70"/>
  <c r="M173" i="70" l="1"/>
  <c r="I32" i="76" l="1"/>
  <c r="J32" i="76"/>
  <c r="M32" i="76"/>
  <c r="K32" i="76"/>
  <c r="L32" i="76"/>
  <c r="N32" i="76"/>
  <c r="G33" i="76"/>
  <c r="H33" i="76"/>
  <c r="E33" i="76"/>
  <c r="F33" i="76"/>
  <c r="G32" i="76" l="1"/>
  <c r="H32" i="76"/>
  <c r="F32" i="76"/>
  <c r="E32" i="76"/>
  <c r="Q132" i="87" l="1"/>
  <c r="P132" i="87" l="1"/>
  <c r="P133" i="87"/>
  <c r="J143" i="91"/>
  <c r="H488" i="96"/>
  <c r="I396" i="96"/>
  <c r="K142" i="91"/>
  <c r="H396" i="96"/>
  <c r="J142" i="91"/>
  <c r="Q133" i="87" l="1"/>
  <c r="K143" i="91"/>
  <c r="I488" i="96"/>
  <c r="H472" i="96"/>
  <c r="H542" i="96"/>
  <c r="R132" i="87" l="1"/>
  <c r="R133" i="87"/>
  <c r="S132" i="87"/>
  <c r="H533" i="96"/>
  <c r="J396" i="96"/>
  <c r="L142" i="91"/>
  <c r="J488" i="96"/>
  <c r="L143" i="91"/>
  <c r="I472" i="96"/>
  <c r="I542" i="96"/>
  <c r="I533" i="96" s="1"/>
  <c r="S133" i="87" l="1"/>
  <c r="J472" i="96"/>
  <c r="J542" i="96"/>
  <c r="J533" i="96" s="1"/>
  <c r="K396" i="96"/>
  <c r="M142" i="91"/>
  <c r="T132" i="87"/>
  <c r="K488" i="96"/>
  <c r="M143" i="91"/>
  <c r="T133" i="87" l="1"/>
  <c r="N143" i="91"/>
  <c r="L488" i="96"/>
  <c r="K472" i="96"/>
  <c r="K542" i="96"/>
  <c r="U132" i="87"/>
  <c r="L396" i="96"/>
  <c r="N142" i="91"/>
  <c r="U133" i="87" l="1"/>
  <c r="K533" i="96"/>
  <c r="L542" i="96"/>
  <c r="L533" i="96" s="1"/>
  <c r="L472" i="96"/>
  <c r="M488" i="96"/>
  <c r="O143" i="91"/>
  <c r="M396" i="96"/>
  <c r="O142" i="91"/>
  <c r="M542" i="96" l="1"/>
  <c r="M533" i="96" s="1"/>
  <c r="M472" i="96"/>
  <c r="Q139" i="87" l="1"/>
  <c r="Q141" i="87"/>
  <c r="P139" i="87" l="1"/>
  <c r="P142" i="87"/>
  <c r="P141" i="87"/>
  <c r="Q138" i="87"/>
  <c r="H497" i="96"/>
  <c r="H481" i="96" s="1"/>
  <c r="J152" i="91"/>
  <c r="H496" i="96"/>
  <c r="H480" i="96" s="1"/>
  <c r="J151" i="91"/>
  <c r="H494" i="96"/>
  <c r="H478" i="96" s="1"/>
  <c r="J149" i="91"/>
  <c r="K149" i="91"/>
  <c r="I494" i="96"/>
  <c r="I478" i="96" s="1"/>
  <c r="I496" i="96"/>
  <c r="I480" i="96" s="1"/>
  <c r="K151" i="91"/>
  <c r="P138" i="87" l="1"/>
  <c r="L149" i="91"/>
  <c r="R139" i="87"/>
  <c r="P140" i="87"/>
  <c r="J494" i="96"/>
  <c r="J478" i="96" s="1"/>
  <c r="J148" i="91"/>
  <c r="H493" i="96"/>
  <c r="H495" i="96"/>
  <c r="J150" i="91"/>
  <c r="Q140" i="87"/>
  <c r="R140" i="87"/>
  <c r="I493" i="96"/>
  <c r="K148" i="91"/>
  <c r="R142" i="87"/>
  <c r="Q142" i="87" l="1"/>
  <c r="R141" i="87"/>
  <c r="M149" i="91"/>
  <c r="J497" i="96"/>
  <c r="J481" i="96" s="1"/>
  <c r="L152" i="91"/>
  <c r="S140" i="87"/>
  <c r="S141" i="87"/>
  <c r="J495" i="96"/>
  <c r="L150" i="91"/>
  <c r="H479" i="96"/>
  <c r="H545" i="96"/>
  <c r="S142" i="87"/>
  <c r="L151" i="91"/>
  <c r="J496" i="96"/>
  <c r="J480" i="96" s="1"/>
  <c r="H477" i="96"/>
  <c r="I477" i="96"/>
  <c r="I497" i="96"/>
  <c r="I481" i="96" s="1"/>
  <c r="K152" i="91"/>
  <c r="I495" i="96"/>
  <c r="K150" i="91"/>
  <c r="R138" i="87" l="1"/>
  <c r="S139" i="87"/>
  <c r="K494" i="96"/>
  <c r="K478" i="96" s="1"/>
  <c r="I479" i="96"/>
  <c r="I545" i="96"/>
  <c r="I536" i="96" s="1"/>
  <c r="J493" i="96"/>
  <c r="L148" i="91"/>
  <c r="K497" i="96"/>
  <c r="K481" i="96" s="1"/>
  <c r="M152" i="91"/>
  <c r="H536" i="96"/>
  <c r="S138" i="87"/>
  <c r="K495" i="96"/>
  <c r="M150" i="91"/>
  <c r="T139" i="87"/>
  <c r="U139" i="87"/>
  <c r="T140" i="87"/>
  <c r="J545" i="96"/>
  <c r="J536" i="96" s="1"/>
  <c r="J479" i="96"/>
  <c r="K496" i="96"/>
  <c r="K480" i="96" s="1"/>
  <c r="M151" i="91"/>
  <c r="U141" i="87" l="1"/>
  <c r="M494" i="96"/>
  <c r="M478" i="96" s="1"/>
  <c r="O149" i="91"/>
  <c r="K545" i="96"/>
  <c r="K536" i="96" s="1"/>
  <c r="K479" i="96"/>
  <c r="L494" i="96"/>
  <c r="L478" i="96" s="1"/>
  <c r="N149" i="91"/>
  <c r="J477" i="96"/>
  <c r="U140" i="87"/>
  <c r="K493" i="96"/>
  <c r="M148" i="91"/>
  <c r="T138" i="87"/>
  <c r="L495" i="96"/>
  <c r="N150" i="91"/>
  <c r="U142" i="87"/>
  <c r="T141" i="87" l="1"/>
  <c r="T142" i="87"/>
  <c r="L497" i="96"/>
  <c r="L481" i="96" s="1"/>
  <c r="N152" i="91"/>
  <c r="K477" i="96"/>
  <c r="L496" i="96"/>
  <c r="L480" i="96" s="1"/>
  <c r="N151" i="91"/>
  <c r="M496" i="96"/>
  <c r="M480" i="96" s="1"/>
  <c r="O151" i="91"/>
  <c r="M497" i="96"/>
  <c r="M481" i="96" s="1"/>
  <c r="O152" i="91"/>
  <c r="L479" i="96"/>
  <c r="L545" i="96"/>
  <c r="L493" i="96"/>
  <c r="N148" i="91"/>
  <c r="M495" i="96"/>
  <c r="O150" i="91"/>
  <c r="U138" i="87"/>
  <c r="L536" i="96" l="1"/>
  <c r="M479" i="96"/>
  <c r="M545" i="96"/>
  <c r="M536" i="96" s="1"/>
  <c r="M493" i="96"/>
  <c r="O148" i="91"/>
  <c r="L477" i="96"/>
  <c r="M477" i="96" l="1"/>
  <c r="O146" i="87" l="1"/>
  <c r="G143" i="96" l="1"/>
  <c r="G159" i="96" s="1"/>
  <c r="I156" i="91"/>
  <c r="O78" i="87"/>
  <c r="G585" i="96"/>
  <c r="G579" i="96" l="1"/>
  <c r="G587" i="96"/>
  <c r="O41" i="87"/>
  <c r="I191" i="91"/>
  <c r="G588" i="96" l="1"/>
  <c r="G581" i="96"/>
  <c r="H588" i="96"/>
  <c r="I42" i="71" l="1"/>
  <c r="I41" i="71" s="1"/>
  <c r="I39" i="71"/>
  <c r="G170" i="70"/>
  <c r="G172" i="70" s="1"/>
  <c r="G173" i="70" l="1"/>
  <c r="H173" i="70"/>
  <c r="O135" i="87"/>
  <c r="G490" i="96" l="1"/>
  <c r="I145" i="91"/>
  <c r="R135" i="87" l="1"/>
  <c r="Q135" i="87"/>
  <c r="G474" i="96"/>
  <c r="P136" i="87" l="1"/>
  <c r="P135" i="87"/>
  <c r="I490" i="96"/>
  <c r="K145" i="91"/>
  <c r="J490" i="96"/>
  <c r="L145" i="91"/>
  <c r="H491" i="96"/>
  <c r="H475" i="96" s="1"/>
  <c r="J146" i="91"/>
  <c r="S135" i="87"/>
  <c r="R136" i="87"/>
  <c r="Q136" i="87"/>
  <c r="P88" i="87"/>
  <c r="H490" i="96"/>
  <c r="J145" i="91"/>
  <c r="Q88" i="87" l="1"/>
  <c r="T135" i="87"/>
  <c r="H544" i="96"/>
  <c r="H535" i="96" s="1"/>
  <c r="H474" i="96"/>
  <c r="H501" i="96"/>
  <c r="J491" i="96"/>
  <c r="J475" i="96" s="1"/>
  <c r="L146" i="91"/>
  <c r="R88" i="87"/>
  <c r="K146" i="91"/>
  <c r="I491" i="96"/>
  <c r="I475" i="96" s="1"/>
  <c r="K490" i="96"/>
  <c r="M145" i="91"/>
  <c r="I474" i="96"/>
  <c r="J474" i="96"/>
  <c r="S88" i="87" l="1"/>
  <c r="S136" i="87"/>
  <c r="I544" i="96"/>
  <c r="I535" i="96" s="1"/>
  <c r="J544" i="96"/>
  <c r="J535" i="96" s="1"/>
  <c r="J501" i="96"/>
  <c r="J485" i="96" s="1"/>
  <c r="I501" i="96"/>
  <c r="I485" i="96" s="1"/>
  <c r="H485" i="96"/>
  <c r="H502" i="96"/>
  <c r="U135" i="87"/>
  <c r="L490" i="96"/>
  <c r="N145" i="91"/>
  <c r="K491" i="96"/>
  <c r="K475" i="96" s="1"/>
  <c r="M146" i="91"/>
  <c r="K474" i="96"/>
  <c r="T88" i="87" l="1"/>
  <c r="T136" i="87"/>
  <c r="J502" i="96"/>
  <c r="I502" i="96"/>
  <c r="K501" i="96"/>
  <c r="K502" i="96" s="1"/>
  <c r="L474" i="96"/>
  <c r="M490" i="96"/>
  <c r="O145" i="91"/>
  <c r="U136" i="87"/>
  <c r="K544" i="96"/>
  <c r="L491" i="96"/>
  <c r="L475" i="96" s="1"/>
  <c r="N146" i="91"/>
  <c r="K485" i="96" l="1"/>
  <c r="M474" i="96"/>
  <c r="O146" i="91"/>
  <c r="M491" i="96"/>
  <c r="M475" i="96" s="1"/>
  <c r="U88" i="87"/>
  <c r="L501" i="96"/>
  <c r="K535" i="96"/>
  <c r="L544" i="96"/>
  <c r="L535" i="96" s="1"/>
  <c r="M501" i="96" l="1"/>
  <c r="M544" i="96"/>
  <c r="L485" i="96"/>
  <c r="L502" i="96"/>
  <c r="M535" i="96" l="1"/>
  <c r="M485" i="96"/>
  <c r="M502" i="96"/>
  <c r="G256" i="70" l="1"/>
  <c r="G491" i="96"/>
  <c r="O88" i="87"/>
  <c r="O136" i="87" l="1"/>
  <c r="G142" i="96"/>
  <c r="O40" i="87" s="1"/>
  <c r="I146" i="91"/>
  <c r="I190" i="91"/>
  <c r="G547" i="96"/>
  <c r="G148" i="96"/>
  <c r="I185" i="91"/>
  <c r="G475" i="96"/>
  <c r="G544" i="96"/>
  <c r="G501" i="96"/>
  <c r="G150" i="96" l="1"/>
  <c r="G158" i="96"/>
  <c r="G485" i="96"/>
  <c r="G502" i="96"/>
  <c r="G149" i="96"/>
  <c r="O44" i="87"/>
  <c r="G538" i="96"/>
  <c r="G546" i="96"/>
  <c r="G537" i="96" s="1"/>
  <c r="G535" i="96"/>
  <c r="G128" i="70" l="1"/>
  <c r="G130" i="70" s="1"/>
  <c r="G131" i="70" l="1"/>
  <c r="G42" i="70"/>
  <c r="I174" i="68"/>
  <c r="G44" i="70" l="1"/>
  <c r="G45" i="70" l="1"/>
  <c r="Q130" i="87" l="1"/>
  <c r="P130" i="87" l="1"/>
  <c r="K140" i="91"/>
  <c r="J140" i="91"/>
  <c r="R130" i="87" l="1"/>
  <c r="L140" i="91"/>
  <c r="S130" i="87"/>
  <c r="M140" i="91" l="1"/>
  <c r="T130" i="87"/>
  <c r="N140" i="91" l="1"/>
  <c r="U130" i="87"/>
  <c r="O140" i="91" l="1"/>
  <c r="J139" i="91" l="1"/>
  <c r="P129" i="87"/>
  <c r="H394" i="96"/>
  <c r="H541" i="96" l="1"/>
  <c r="H386" i="96"/>
  <c r="R129" i="87"/>
  <c r="H128" i="70" l="1"/>
  <c r="Q129" i="87"/>
  <c r="J394" i="96"/>
  <c r="L139" i="91"/>
  <c r="S129" i="87"/>
  <c r="J174" i="68"/>
  <c r="H42" i="70"/>
  <c r="H532" i="96"/>
  <c r="I394" i="96"/>
  <c r="K139" i="91"/>
  <c r="H127" i="70"/>
  <c r="J259" i="66"/>
  <c r="I541" i="96" l="1"/>
  <c r="I386" i="96"/>
  <c r="T129" i="87"/>
  <c r="K394" i="96"/>
  <c r="M139" i="91"/>
  <c r="J174" i="66"/>
  <c r="H41" i="70"/>
  <c r="J386" i="96"/>
  <c r="J541" i="96"/>
  <c r="J532" i="96" s="1"/>
  <c r="U129" i="87" l="1"/>
  <c r="L394" i="96"/>
  <c r="N139" i="91"/>
  <c r="K386" i="96"/>
  <c r="K541" i="96"/>
  <c r="K532" i="96" s="1"/>
  <c r="I532" i="96"/>
  <c r="J127" i="70"/>
  <c r="L259" i="66"/>
  <c r="L541" i="96" l="1"/>
  <c r="L386" i="96"/>
  <c r="L174" i="66"/>
  <c r="J41" i="70"/>
  <c r="I127" i="70"/>
  <c r="K259" i="66"/>
  <c r="J128" i="70"/>
  <c r="I128" i="70"/>
  <c r="K127" i="70"/>
  <c r="M259" i="66"/>
  <c r="M394" i="96"/>
  <c r="O139" i="91"/>
  <c r="M174" i="66" l="1"/>
  <c r="K41" i="70"/>
  <c r="M386" i="96"/>
  <c r="M541" i="96"/>
  <c r="M532" i="96" s="1"/>
  <c r="K174" i="68"/>
  <c r="I42" i="70"/>
  <c r="L174" i="68"/>
  <c r="J42" i="70"/>
  <c r="K128" i="70"/>
  <c r="L532" i="96"/>
  <c r="K174" i="66"/>
  <c r="I41" i="70"/>
  <c r="L127" i="70" l="1"/>
  <c r="N259" i="66"/>
  <c r="K42" i="70"/>
  <c r="M174" i="68"/>
  <c r="L128" i="70"/>
  <c r="M127" i="70"/>
  <c r="O259" i="66"/>
  <c r="O174" i="66" l="1"/>
  <c r="M41" i="70"/>
  <c r="L42" i="70"/>
  <c r="N174" i="68"/>
  <c r="N174" i="66"/>
  <c r="L41" i="70"/>
  <c r="M128" i="70"/>
  <c r="O174" i="68" l="1"/>
  <c r="M42" i="70"/>
  <c r="N41" i="70"/>
  <c r="N42" i="70" l="1"/>
  <c r="P131" i="87" l="1"/>
  <c r="R131" i="87"/>
  <c r="P77" i="87"/>
  <c r="H395" i="96"/>
  <c r="H142" i="96"/>
  <c r="J141" i="91"/>
  <c r="J256" i="70" l="1"/>
  <c r="J190" i="91"/>
  <c r="H547" i="96"/>
  <c r="J185" i="91"/>
  <c r="H256" i="70"/>
  <c r="H397" i="96"/>
  <c r="H389" i="96" s="1"/>
  <c r="H387" i="96"/>
  <c r="H388" i="96" s="1"/>
  <c r="R77" i="87"/>
  <c r="J142" i="96"/>
  <c r="J395" i="96"/>
  <c r="L141" i="91"/>
  <c r="S131" i="87"/>
  <c r="H150" i="96"/>
  <c r="H148" i="96"/>
  <c r="P40" i="87"/>
  <c r="H158" i="96"/>
  <c r="Q131" i="87" l="1"/>
  <c r="L185" i="91"/>
  <c r="I256" i="70"/>
  <c r="K256" i="70"/>
  <c r="H538" i="96"/>
  <c r="H546" i="96"/>
  <c r="T131" i="87"/>
  <c r="P44" i="87"/>
  <c r="H149" i="96"/>
  <c r="I142" i="96"/>
  <c r="Q77" i="87"/>
  <c r="I395" i="96"/>
  <c r="K141" i="91"/>
  <c r="S77" i="87"/>
  <c r="K142" i="96"/>
  <c r="K395" i="96"/>
  <c r="M141" i="91"/>
  <c r="L190" i="91"/>
  <c r="J547" i="96"/>
  <c r="J397" i="96"/>
  <c r="J389" i="96" s="1"/>
  <c r="J387" i="96"/>
  <c r="J388" i="96" s="1"/>
  <c r="R40" i="87"/>
  <c r="J148" i="96"/>
  <c r="J158" i="96"/>
  <c r="L142" i="96" l="1"/>
  <c r="T77" i="87"/>
  <c r="L395" i="96"/>
  <c r="N141" i="91"/>
  <c r="Q40" i="87"/>
  <c r="I150" i="96"/>
  <c r="I148" i="96"/>
  <c r="I158" i="96"/>
  <c r="H537" i="96"/>
  <c r="R44" i="87"/>
  <c r="U131" i="87"/>
  <c r="K547" i="96"/>
  <c r="M190" i="91"/>
  <c r="I397" i="96"/>
  <c r="I389" i="96" s="1"/>
  <c r="I387" i="96"/>
  <c r="I388" i="96" s="1"/>
  <c r="K185" i="91"/>
  <c r="L256" i="70"/>
  <c r="M185" i="91"/>
  <c r="H129" i="70"/>
  <c r="H130" i="70" s="1"/>
  <c r="J129" i="70"/>
  <c r="J130" i="70" s="1"/>
  <c r="K158" i="96"/>
  <c r="K150" i="96"/>
  <c r="S40" i="87"/>
  <c r="K148" i="96"/>
  <c r="K190" i="91"/>
  <c r="I547" i="96"/>
  <c r="J150" i="96"/>
  <c r="J546" i="96"/>
  <c r="J537" i="96" s="1"/>
  <c r="J538" i="96"/>
  <c r="K397" i="96"/>
  <c r="K389" i="96" s="1"/>
  <c r="K387" i="96"/>
  <c r="K388" i="96" s="1"/>
  <c r="J174" i="69" l="1"/>
  <c r="H43" i="70"/>
  <c r="U77" i="87"/>
  <c r="M395" i="96"/>
  <c r="M142" i="96"/>
  <c r="O141" i="91"/>
  <c r="L174" i="69"/>
  <c r="J43" i="70"/>
  <c r="J44" i="70" s="1"/>
  <c r="H131" i="70"/>
  <c r="I149" i="96"/>
  <c r="Q44" i="87"/>
  <c r="I546" i="96"/>
  <c r="I538" i="96"/>
  <c r="K149" i="96"/>
  <c r="S44" i="87"/>
  <c r="K129" i="70"/>
  <c r="K130" i="70" s="1"/>
  <c r="J149" i="96"/>
  <c r="N190" i="91"/>
  <c r="L547" i="96"/>
  <c r="L150" i="96"/>
  <c r="T40" i="87"/>
  <c r="L148" i="96"/>
  <c r="L158" i="96"/>
  <c r="M256" i="70"/>
  <c r="K538" i="96"/>
  <c r="K546" i="96"/>
  <c r="K537" i="96" s="1"/>
  <c r="L387" i="96"/>
  <c r="L388" i="96" s="1"/>
  <c r="L397" i="96"/>
  <c r="L389" i="96" s="1"/>
  <c r="N185" i="91"/>
  <c r="M174" i="69" l="1"/>
  <c r="K43" i="70"/>
  <c r="K44" i="70" s="1"/>
  <c r="I129" i="70"/>
  <c r="I130" i="70" s="1"/>
  <c r="O190" i="91"/>
  <c r="M547" i="96"/>
  <c r="H44" i="70"/>
  <c r="M158" i="96"/>
  <c r="U40" i="87"/>
  <c r="M150" i="96"/>
  <c r="M148" i="96"/>
  <c r="L129" i="70"/>
  <c r="L130" i="70" s="1"/>
  <c r="L538" i="96"/>
  <c r="L546" i="96"/>
  <c r="L537" i="96" s="1"/>
  <c r="I537" i="96"/>
  <c r="M387" i="96"/>
  <c r="M388" i="96" s="1"/>
  <c r="M397" i="96"/>
  <c r="M389" i="96" s="1"/>
  <c r="K131" i="70"/>
  <c r="T44" i="87"/>
  <c r="L149" i="96"/>
  <c r="O185" i="91"/>
  <c r="S39" i="87"/>
  <c r="N174" i="69" l="1"/>
  <c r="L43" i="70"/>
  <c r="L44" i="70" s="1"/>
  <c r="H45" i="70"/>
  <c r="M538" i="96"/>
  <c r="M546" i="96"/>
  <c r="K174" i="69"/>
  <c r="I43" i="70"/>
  <c r="S38" i="87"/>
  <c r="M129" i="70"/>
  <c r="M130" i="70" s="1"/>
  <c r="L131" i="70"/>
  <c r="M149" i="96"/>
  <c r="U44" i="87"/>
  <c r="I131" i="70"/>
  <c r="J131" i="70"/>
  <c r="K45" i="70"/>
  <c r="O174" i="69" l="1"/>
  <c r="M43" i="70"/>
  <c r="M44" i="70" s="1"/>
  <c r="I44" i="70"/>
  <c r="L45" i="70"/>
  <c r="M131" i="70"/>
  <c r="M537" i="96"/>
  <c r="N43" i="70" l="1"/>
  <c r="M45" i="70"/>
  <c r="I45" i="70"/>
  <c r="J45" i="70"/>
  <c r="N44"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S36" authorId="0" shapeId="0" xr:uid="{00000000-0006-0000-0600-000001000000}">
      <text>
        <r>
          <rPr>
            <b/>
            <sz val="9"/>
            <color rgb="FF000000"/>
            <rFont val="Tahoma"/>
            <family val="2"/>
          </rPr>
          <t>Includes both OSFP and QSFP-DD</t>
        </r>
      </text>
    </comment>
    <comment ref="S42" authorId="0" shapeId="0" xr:uid="{00000000-0006-0000-0600-000002000000}">
      <text>
        <r>
          <rPr>
            <b/>
            <sz val="9"/>
            <color indexed="81"/>
            <rFont val="Tahoma"/>
            <family val="2"/>
          </rPr>
          <t>Includes both OSFP and QSFP-DD</t>
        </r>
      </text>
    </comment>
    <comment ref="S48" authorId="0" shapeId="0" xr:uid="{00000000-0006-0000-0600-000003000000}">
      <text>
        <r>
          <rPr>
            <b/>
            <sz val="9"/>
            <color indexed="81"/>
            <rFont val="Tahoma"/>
            <family val="2"/>
          </rPr>
          <t>Includes both OSFP and QSFP-DD</t>
        </r>
      </text>
    </comment>
    <comment ref="S54" authorId="0" shapeId="0" xr:uid="{00000000-0006-0000-0600-000004000000}">
      <text>
        <r>
          <rPr>
            <b/>
            <sz val="9"/>
            <color indexed="81"/>
            <rFont val="Tahoma"/>
            <family val="2"/>
          </rPr>
          <t>Includes both OSFP and QSFP-DD</t>
        </r>
      </text>
    </comment>
  </commentList>
</comments>
</file>

<file path=xl/sharedStrings.xml><?xml version="1.0" encoding="utf-8"?>
<sst xmlns="http://schemas.openxmlformats.org/spreadsheetml/2006/main" count="1699" uniqueCount="475">
  <si>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</si>
  <si>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</si>
  <si>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</si>
  <si>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</si>
  <si>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</si>
  <si>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</si>
  <si>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</si>
  <si>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</si>
  <si>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</si>
  <si>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</si>
  <si>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</si>
  <si>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</si>
  <si>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</si>
  <si>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</si>
  <si>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 xml:space="preserve">  </t>
  </si>
  <si>
    <t>Revenues</t>
  </si>
  <si>
    <t>Definition of forecast segments</t>
  </si>
  <si>
    <t>Units are devices or modules</t>
  </si>
  <si>
    <t>Shipments (devices)</t>
  </si>
  <si>
    <t>Average Selling Prices</t>
  </si>
  <si>
    <t xml:space="preserve">Total Devices </t>
  </si>
  <si>
    <t>ASPs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</si>
  <si>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</si>
  <si>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</si>
  <si>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</si>
  <si>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</si>
  <si>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</si>
  <si>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Model developed by: John Lively</t>
  </si>
  <si>
    <t>Forecast Dashboard</t>
  </si>
  <si>
    <t>Revenues ($ million)</t>
  </si>
  <si>
    <t>A.S.P. ($)</t>
  </si>
  <si>
    <t>Reach</t>
  </si>
  <si>
    <t>Data Rate</t>
  </si>
  <si>
    <t>Form Factor</t>
  </si>
  <si>
    <t>100 m</t>
  </si>
  <si>
    <t>XENPAK/XPAK</t>
  </si>
  <si>
    <t>X2</t>
  </si>
  <si>
    <t>XFP</t>
  </si>
  <si>
    <t>CFP</t>
  </si>
  <si>
    <t>Other</t>
  </si>
  <si>
    <t>QSFP28</t>
  </si>
  <si>
    <t>300 m</t>
  </si>
  <si>
    <t>all</t>
  </si>
  <si>
    <t>SFP+</t>
  </si>
  <si>
    <t>500 m</t>
  </si>
  <si>
    <t>SFF</t>
  </si>
  <si>
    <t>SFP</t>
  </si>
  <si>
    <t>2 km</t>
  </si>
  <si>
    <t>Fast Ethernet</t>
  </si>
  <si>
    <t>All</t>
  </si>
  <si>
    <t>10 km</t>
  </si>
  <si>
    <t>GBIC/other</t>
  </si>
  <si>
    <t>XENPAK</t>
  </si>
  <si>
    <t>300-pin/XPAK</t>
  </si>
  <si>
    <t>15 km</t>
  </si>
  <si>
    <t>40 km</t>
  </si>
  <si>
    <t>300-pin/XENPAK</t>
  </si>
  <si>
    <t>80 km</t>
  </si>
  <si>
    <t>300-pin/XENPAK/X2</t>
  </si>
  <si>
    <t>G</t>
  </si>
  <si>
    <t>10G</t>
  </si>
  <si>
    <t>100G</t>
  </si>
  <si>
    <t>40G</t>
  </si>
  <si>
    <t>1G</t>
  </si>
  <si>
    <t>Lookup codes for dashboard</t>
  </si>
  <si>
    <t>&lt;== was listed under 10 km</t>
  </si>
  <si>
    <t>LightCounting Ethernet Transceivers Forecast</t>
  </si>
  <si>
    <t>Cost per Gbps</t>
  </si>
  <si>
    <t>Grand average</t>
  </si>
  <si>
    <t>&lt;10G MMF</t>
  </si>
  <si>
    <t>10G MMF</t>
  </si>
  <si>
    <t>25G MMF</t>
  </si>
  <si>
    <t>&lt;10G SMF</t>
  </si>
  <si>
    <t>10G SMF</t>
  </si>
  <si>
    <t>25G SMF</t>
  </si>
  <si>
    <t>25G</t>
  </si>
  <si>
    <t>Optical Rate 
per fiber</t>
  </si>
  <si>
    <t>All Rates</t>
  </si>
  <si>
    <t>Percent  MMF</t>
  </si>
  <si>
    <t>Percent  SMF</t>
  </si>
  <si>
    <t>10-100G Only</t>
  </si>
  <si>
    <t>100 m  100G CFP</t>
  </si>
  <si>
    <t>Shipments by data rate</t>
  </si>
  <si>
    <t>Revenues by data rate</t>
  </si>
  <si>
    <t>total new forecast</t>
  </si>
  <si>
    <t>all reaches &amp; speeds</t>
  </si>
  <si>
    <t>Annual growth rate</t>
  </si>
  <si>
    <t>Product forecast</t>
  </si>
  <si>
    <t>&lt;== includes XFP and others</t>
  </si>
  <si>
    <t>QSFP+</t>
  </si>
  <si>
    <t/>
  </si>
  <si>
    <t>&lt;== added in February 2015 update</t>
  </si>
  <si>
    <t>Telecom</t>
  </si>
  <si>
    <t>Product forecast - Telecom segment</t>
  </si>
  <si>
    <t>Sanity check - bandwidth growth rates</t>
  </si>
  <si>
    <t>Annual bandwidth deployed</t>
  </si>
  <si>
    <t>Cumulative bandwidth</t>
  </si>
  <si>
    <t>Cumulative bandwidth growth</t>
  </si>
  <si>
    <t>MMF</t>
  </si>
  <si>
    <t>SMF</t>
  </si>
  <si>
    <t>Shipments by segment</t>
  </si>
  <si>
    <t>Revenues by segment</t>
  </si>
  <si>
    <t>Comparison of segments</t>
  </si>
  <si>
    <t>Percentage splits</t>
  </si>
  <si>
    <t>Index</t>
  </si>
  <si>
    <t>Total Ethernet forecast split by fiber type</t>
  </si>
  <si>
    <t>220 m</t>
  </si>
  <si>
    <t>Enterprise</t>
  </si>
  <si>
    <t>&lt;== renamed from '4xSR' in June 2015</t>
  </si>
  <si>
    <t>SFP28</t>
  </si>
  <si>
    <t>&lt;== added June 2015</t>
  </si>
  <si>
    <t>Summary - Split by major market segment</t>
  </si>
  <si>
    <t>MMF devices (100-300m)</t>
  </si>
  <si>
    <t>Standard</t>
  </si>
  <si>
    <t>Non-standard</t>
  </si>
  <si>
    <t>400G</t>
  </si>
  <si>
    <t>Application segments</t>
  </si>
  <si>
    <t xml:space="preserve">The Telecom segment is composed of traditional fixed and mobile telecommunications companies, such as AT&amp;T, BT, China Mobile, DT, Orange, NTT, Softbank, Sprint, and Verizon. </t>
  </si>
  <si>
    <t xml:space="preserve">In addition, we also include here a forecast for DWDM ports used for interconnecting the datacenters of the mega-datacenter operators. We call this segment 'Mega-DCI'. </t>
  </si>
  <si>
    <t xml:space="preserve">This definition is considerably more narrow than the 'DCI' definition used by other analyst firms, which includes ALL connections between ANY datacenter and any other entity.  </t>
  </si>
  <si>
    <t>SMF devices (0.5-10 km)</t>
  </si>
  <si>
    <t>Rest of DWDM</t>
  </si>
  <si>
    <t>Product segments included in this forecast are listed below, with some notes/comments</t>
  </si>
  <si>
    <t>`</t>
  </si>
  <si>
    <t>&lt;== added Feb 2016</t>
  </si>
  <si>
    <t>50G</t>
  </si>
  <si>
    <t>200G</t>
  </si>
  <si>
    <t>40G MMF</t>
  </si>
  <si>
    <t>40 G SMF 0.5-10km</t>
  </si>
  <si>
    <t>100G SMF</t>
  </si>
  <si>
    <t>40G SMF</t>
  </si>
  <si>
    <t>CFP2/4</t>
  </si>
  <si>
    <t>&lt;== CFP2 and CFP4 now combined into single line item; CPAK was also included, through July 2014 forecast.. Then removed from subsequent forecasts</t>
  </si>
  <si>
    <t>25G LR</t>
  </si>
  <si>
    <t>Cloud</t>
  </si>
  <si>
    <t>50G SMF</t>
  </si>
  <si>
    <t>50G MMF</t>
  </si>
  <si>
    <t xml:space="preserve">LightCounting divides the overall Ethernet transceiver market into three segments, based on customers: Telecom, Cloud, and Enterprise. </t>
  </si>
  <si>
    <t>The Cloud segment is composed of the largest internet content and commerce companies such as Alibaba, Amazon, Apple, Ebay, Facebook, Google, and Microsoft.</t>
  </si>
  <si>
    <t xml:space="preserve">The Enterprise Datacenter segment is composed of all other enterprises, excluding those falling into the Cloud category. </t>
  </si>
  <si>
    <t>&lt;10G</t>
  </si>
  <si>
    <t>100 m  100G CFP2/CFP4</t>
  </si>
  <si>
    <t>Forecast split by segments</t>
  </si>
  <si>
    <t>Product forecast - Cloud segment</t>
  </si>
  <si>
    <t>Cost per Gigabit calculations</t>
  </si>
  <si>
    <t>All Speeds</t>
  </si>
  <si>
    <t>100G MMF</t>
  </si>
  <si>
    <t>200G MMF</t>
  </si>
  <si>
    <t>400G MMF</t>
  </si>
  <si>
    <t>Module speed split</t>
  </si>
  <si>
    <t>200G SMF</t>
  </si>
  <si>
    <t>400G SMF</t>
  </si>
  <si>
    <t>Number  MMF</t>
  </si>
  <si>
    <t>Number SMF</t>
  </si>
  <si>
    <t>MMF/SMF</t>
  </si>
  <si>
    <t>Std/Non-Std</t>
  </si>
  <si>
    <t>&lt;== added Sept 2016</t>
  </si>
  <si>
    <t>25G ER</t>
  </si>
  <si>
    <t>Mix</t>
  </si>
  <si>
    <t>10-20 km</t>
  </si>
  <si>
    <t>Various</t>
  </si>
  <si>
    <t>Legacy/discontinued</t>
  </si>
  <si>
    <t>&lt;== includes X2, XENPAK, and some X2 form factor products that are no longer shipping</t>
  </si>
  <si>
    <t>&lt;== Forecasted separately prior to Sept 2016 update, now consolidated into 'Legacy/discontinued' category</t>
  </si>
  <si>
    <t>300m</t>
  </si>
  <si>
    <t>&lt;== prior to Sept 2016, was included in the 'Miscellaneous' category, now split into the appropriate 'Legacy/discontinued' category by speed</t>
  </si>
  <si>
    <t>No longer shipping and no longer forecast separately</t>
  </si>
  <si>
    <t>1G MMF</t>
  </si>
  <si>
    <t>1G SMF</t>
  </si>
  <si>
    <t>Legacy/discontinued products</t>
  </si>
  <si>
    <t>0.5-10 km Reach Ethernet</t>
  </si>
  <si>
    <t>Lane rates by wavelength or by fiber</t>
  </si>
  <si>
    <t>Module count by lane rate</t>
  </si>
  <si>
    <t>10G = 10G &amp; 40G modules</t>
  </si>
  <si>
    <t>25G = 25G and 100G modules</t>
  </si>
  <si>
    <t>50G = 50G, 200G, and 400G modules</t>
  </si>
  <si>
    <t>100G Short Reach</t>
  </si>
  <si>
    <t>100G Long Reach</t>
  </si>
  <si>
    <t>Interactive dashboard showing segment splits</t>
  </si>
  <si>
    <t>Select Product to Display in Cell Below</t>
  </si>
  <si>
    <t>CFP8 = for core router applications (CSP segment)</t>
  </si>
  <si>
    <t>QSFP-DD = double-density QSFP28</t>
  </si>
  <si>
    <t>OSFP= for datacenter applications</t>
  </si>
  <si>
    <t>&lt;== added Feb 2016 combined with 2 km, then split out separately in March 2017</t>
  </si>
  <si>
    <t>&lt;== added in March 2017</t>
  </si>
  <si>
    <t>Short Reach Ethernet (100-300m MMF)</t>
  </si>
  <si>
    <t>100-300 m</t>
  </si>
  <si>
    <t>100G Short Reach MMF (100-300 m)</t>
  </si>
  <si>
    <t>100G Long Reach SMF (500m - 40km)</t>
  </si>
  <si>
    <t>100 m  100G QSFP28 MM Duplex</t>
  </si>
  <si>
    <t>100 m  100G SR2, SR4  QSFP28</t>
  </si>
  <si>
    <t>µQSFP28  = not much industry support now</t>
  </si>
  <si>
    <t>QSFP56</t>
  </si>
  <si>
    <t>20 km</t>
  </si>
  <si>
    <t>&lt;== added in March 2017. Uses FEC on host card to extend reach. Also known as eLR4</t>
  </si>
  <si>
    <t>&lt;== added in March 2017. Includes SWDM.</t>
  </si>
  <si>
    <t>100 - 300 m</t>
  </si>
  <si>
    <t>100G total</t>
  </si>
  <si>
    <t>400G total</t>
  </si>
  <si>
    <t>200G total</t>
  </si>
  <si>
    <t>40G total</t>
  </si>
  <si>
    <t>25G total</t>
  </si>
  <si>
    <t>50G total</t>
  </si>
  <si>
    <t>OSFP</t>
  </si>
  <si>
    <t>&lt;== was 500m 200G, but replaced with this new category in March 2018</t>
  </si>
  <si>
    <t>&lt;== was 10km 200G, but replaced with this new category in March 2018</t>
  </si>
  <si>
    <t>Cum installed OC bandwidth - Cloud</t>
  </si>
  <si>
    <t>Cum installed OC bandwidth - Enterprise</t>
  </si>
  <si>
    <t>200G Shipments</t>
  </si>
  <si>
    <t>200G ASPs</t>
  </si>
  <si>
    <t>200G Revenues</t>
  </si>
  <si>
    <t>400G Shipments</t>
  </si>
  <si>
    <t>400G ASPs</t>
  </si>
  <si>
    <t>400G Revenues</t>
  </si>
  <si>
    <t>SR4, SR2 split into separate categories May30, 2018</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</si>
  <si>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</si>
  <si>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</si>
  <si>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</si>
  <si>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</si>
  <si>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</si>
  <si>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2x200 (400G-SR8)</t>
  </si>
  <si>
    <t>&lt;== same as the 400G BiDi BD4.2 MSA announced in Sept 2018</t>
  </si>
  <si>
    <t>300 m  100G QSFP28  eSR4</t>
  </si>
  <si>
    <t>DCI DWDM</t>
  </si>
  <si>
    <t>Module Data Rate</t>
  </si>
  <si>
    <t>1G &amp; Fast Ethernet</t>
  </si>
  <si>
    <t>10G (100m Sub-spec)</t>
  </si>
  <si>
    <t>10G LRM</t>
  </si>
  <si>
    <t>25G SR, eSR</t>
  </si>
  <si>
    <t>40G SR4</t>
  </si>
  <si>
    <t>40G MM duplex</t>
  </si>
  <si>
    <t>40G eSR4</t>
  </si>
  <si>
    <t xml:space="preserve">40G PSM4 </t>
  </si>
  <si>
    <t>40G (FR)</t>
  </si>
  <si>
    <t>40G (LR4 subspec)</t>
  </si>
  <si>
    <t xml:space="preserve">50G </t>
  </si>
  <si>
    <t>100G SR4</t>
  </si>
  <si>
    <t>100G SR2</t>
  </si>
  <si>
    <t>100G MM Duplex</t>
  </si>
  <si>
    <t>100G eSR4</t>
  </si>
  <si>
    <t>100G PSM4</t>
  </si>
  <si>
    <t>100G DR</t>
  </si>
  <si>
    <t>100G CWDM4</t>
  </si>
  <si>
    <t>100G LR4</t>
  </si>
  <si>
    <t>100G 4WDM10</t>
  </si>
  <si>
    <t>100G 4WDM20</t>
  </si>
  <si>
    <t>400G DR4</t>
  </si>
  <si>
    <t>10 G</t>
  </si>
  <si>
    <t>25 G</t>
  </si>
  <si>
    <t>40 G</t>
  </si>
  <si>
    <t>50 G</t>
  </si>
  <si>
    <t>100 G</t>
  </si>
  <si>
    <t>200 G</t>
  </si>
  <si>
    <t>400 G</t>
  </si>
  <si>
    <t>1 G</t>
  </si>
  <si>
    <t>G &amp; Fast Ethernet</t>
  </si>
  <si>
    <t>10G_40 km_XFP</t>
  </si>
  <si>
    <t>40 G PSM4</t>
  </si>
  <si>
    <t>&lt;== includes Fast Ethernet 2km and 15km, and G in GBIC, 1x9, 2x9, and other discontinued form factors</t>
  </si>
  <si>
    <t>&lt;== includes 40G SR4 compliant modules; also proprietary bi-di modules in 2015 and earlier.</t>
  </si>
  <si>
    <t>&lt;== added June 2015; includes 40G bidi and other MMF duplex solutions (e.g. VCSEL-based S-WDM)</t>
  </si>
  <si>
    <t xml:space="preserve">New form factors for 400G:  </t>
  </si>
  <si>
    <t>10G LX4</t>
  </si>
  <si>
    <t>Annual growth rate 25G and above</t>
  </si>
  <si>
    <t>100 G by reach</t>
  </si>
  <si>
    <t>100 G by form factor</t>
  </si>
  <si>
    <t xml:space="preserve">200 G at various reaches </t>
  </si>
  <si>
    <t xml:space="preserve">400 G at various reaches </t>
  </si>
  <si>
    <t xml:space="preserve"> possible 4x25G</t>
  </si>
  <si>
    <t xml:space="preserve"> possible 4x100G</t>
  </si>
  <si>
    <t>Breakout</t>
  </si>
  <si>
    <t>200G FR4</t>
  </si>
  <si>
    <t>200G SR4</t>
  </si>
  <si>
    <t xml:space="preserve"> possible 4x25, 10x10</t>
  </si>
  <si>
    <t xml:space="preserve"> possible 10x10G</t>
  </si>
  <si>
    <t xml:space="preserve"> possible 4x50G</t>
  </si>
  <si>
    <t>Fiber</t>
  </si>
  <si>
    <t>Connector</t>
  </si>
  <si>
    <t>MPO</t>
  </si>
  <si>
    <t>MTO24</t>
  </si>
  <si>
    <t>dual LC</t>
  </si>
  <si>
    <t>duplex SMF</t>
  </si>
  <si>
    <t>two pairs MMF</t>
  </si>
  <si>
    <t>12-fiber MM ribbon</t>
  </si>
  <si>
    <t>2x12-fiber MM ribbons</t>
  </si>
  <si>
    <t>dual SC or LC</t>
  </si>
  <si>
    <t>two pairs SMF</t>
  </si>
  <si>
    <t>2 x dual LC</t>
  </si>
  <si>
    <t>16-fiber MM ribbon</t>
  </si>
  <si>
    <t>MPO16</t>
  </si>
  <si>
    <t>2 x dual CS</t>
  </si>
  <si>
    <t>12-fiber SM ribbon</t>
  </si>
  <si>
    <t xml:space="preserve"> possible 2x50G, 4x25G</t>
  </si>
  <si>
    <t>Deployed as 4x10G</t>
  </si>
  <si>
    <t xml:space="preserve"> possible 2x50G but unlikely</t>
  </si>
  <si>
    <t xml:space="preserve"> possible 4x100G BiDi</t>
  </si>
  <si>
    <t xml:space="preserve"> 8x50G most likely</t>
  </si>
  <si>
    <t xml:space="preserve"> 2x200G by default</t>
  </si>
  <si>
    <t>Google</t>
  </si>
  <si>
    <t xml:space="preserve"> possible 4x10G, no breakout done</t>
  </si>
  <si>
    <t xml:space="preserve"> no breakout possible</t>
  </si>
  <si>
    <t>Facebook</t>
  </si>
  <si>
    <t>Notable users</t>
  </si>
  <si>
    <t>Facebook, AWS</t>
  </si>
  <si>
    <t>for CSPs mainly</t>
  </si>
  <si>
    <t>AWS, Microsoft</t>
  </si>
  <si>
    <t>Alibaba, Google, Facebook</t>
  </si>
  <si>
    <t>100G CWDM4-subspec</t>
  </si>
  <si>
    <t>500m</t>
  </si>
  <si>
    <t>Split CWDM4 into std and sub-spec in March 2019</t>
  </si>
  <si>
    <t>Form factor</t>
  </si>
  <si>
    <t>Last shipment year</t>
  </si>
  <si>
    <t>&lt;== added March 2019 for backhaul applications</t>
  </si>
  <si>
    <t>OSFP, QSFP-DD</t>
  </si>
  <si>
    <t>50/100</t>
  </si>
  <si>
    <t>Amazon, Microsoft</t>
  </si>
  <si>
    <t>10G total</t>
  </si>
  <si>
    <t>10G (2 km sub-spec)</t>
  </si>
  <si>
    <t>Standard &amp; Sub-spec</t>
  </si>
  <si>
    <t>100G Shipments by reach</t>
  </si>
  <si>
    <t>100G at various reaches and form factors</t>
  </si>
  <si>
    <t>100G Revenues - long reach vs short reach</t>
  </si>
  <si>
    <t>Total annual revenues</t>
  </si>
  <si>
    <t>100G &amp; below</t>
  </si>
  <si>
    <t>200G &amp; above</t>
  </si>
  <si>
    <t>Shipments 25G and higher speeds</t>
  </si>
  <si>
    <t xml:space="preserve">Forecast Summary </t>
  </si>
  <si>
    <t>Annual shipments all data rates</t>
  </si>
  <si>
    <t>Total Revenues all data rates</t>
  </si>
  <si>
    <t>Modules by data rate, percent of total</t>
  </si>
  <si>
    <t xml:space="preserve">Revenues - data rates with $500 mn or more in peak sales </t>
  </si>
  <si>
    <t xml:space="preserve">Revenues - data rates with $250 mn or less in peak sales </t>
  </si>
  <si>
    <r>
      <t xml:space="preserve">Annual shipments - data rates with peak shipments of </t>
    </r>
    <r>
      <rPr>
        <sz val="16"/>
        <color theme="1"/>
        <rFont val="Calibri"/>
        <family val="2"/>
      </rPr>
      <t>≥</t>
    </r>
    <r>
      <rPr>
        <sz val="16"/>
        <color theme="1"/>
        <rFont val="Calibri"/>
        <family val="2"/>
        <scheme val="minor"/>
      </rPr>
      <t xml:space="preserve">10,000,000 </t>
    </r>
  </si>
  <si>
    <t>Annual shipments - data rates with peak shipments below 10,000,000</t>
  </si>
  <si>
    <t>Revenues by data rate (all rates shown)</t>
  </si>
  <si>
    <t>Annual shipments by data rate (all rates shown)</t>
  </si>
  <si>
    <t>50G &amp; below</t>
  </si>
  <si>
    <t>Revenues by data rate (two groups)</t>
  </si>
  <si>
    <t>Revenues by data rate (lower data rates grouped)</t>
  </si>
  <si>
    <t>Note on PAM4 here</t>
  </si>
  <si>
    <t>&lt;== select segment, or total market</t>
  </si>
  <si>
    <t xml:space="preserve">&lt;== select product </t>
  </si>
  <si>
    <t>10G 10km</t>
  </si>
  <si>
    <t>50 m</t>
  </si>
  <si>
    <t xml:space="preserve"> 8x100G </t>
  </si>
  <si>
    <t>800G total</t>
  </si>
  <si>
    <t>800G</t>
  </si>
  <si>
    <t xml:space="preserve">100G PSM4 </t>
  </si>
  <si>
    <t>2x(200G FR4)</t>
  </si>
  <si>
    <t>OSFP, QSFP-DD800</t>
  </si>
  <si>
    <t>OSFP, QSFP-DD, QSFP112</t>
  </si>
  <si>
    <t>100G DR1</t>
  </si>
  <si>
    <t>100G ER4-Lite</t>
  </si>
  <si>
    <t>100G ER4</t>
  </si>
  <si>
    <t>400G FR4</t>
  </si>
  <si>
    <t xml:space="preserve">100G </t>
  </si>
  <si>
    <t>Product forecast - Enterprise sub-segment</t>
  </si>
  <si>
    <t>100G LR4 and LR1</t>
  </si>
  <si>
    <t>100G FR1</t>
  </si>
  <si>
    <t>MSA =&gt; Standard</t>
  </si>
  <si>
    <t>800G SR8</t>
  </si>
  <si>
    <t>16-fiber SMF ribbon</t>
  </si>
  <si>
    <t xml:space="preserve">10 G at various reaches </t>
  </si>
  <si>
    <t>10G 40/80km</t>
  </si>
  <si>
    <t>100G 10km</t>
  </si>
  <si>
    <t>10G 40km</t>
  </si>
  <si>
    <t>10G 80km</t>
  </si>
  <si>
    <t xml:space="preserve">100 G at various reaches </t>
  </si>
  <si>
    <t>100G 80km (100ZR)</t>
  </si>
  <si>
    <t>100G 30/40km</t>
  </si>
  <si>
    <t>100G 30/80km</t>
  </si>
  <si>
    <t>&lt;== includes 6 km LR-6 and 10 km LR-10 versions</t>
  </si>
  <si>
    <t>Standard and MSA</t>
  </si>
  <si>
    <t>Total volume</t>
  </si>
  <si>
    <t>Volume SFP112</t>
  </si>
  <si>
    <t>Volume QSFP28</t>
  </si>
  <si>
    <t>100G LR4/LR1</t>
  </si>
  <si>
    <t>Volume QSFP112</t>
  </si>
  <si>
    <t>Volume all other</t>
  </si>
  <si>
    <t>100G QSFP28</t>
  </si>
  <si>
    <t>100G SFP112</t>
  </si>
  <si>
    <t>400G QSFP-DD/OSFP</t>
  </si>
  <si>
    <t>400G SR8/SR4.2/SR4</t>
  </si>
  <si>
    <t>2x(200G FR4) and 400G FR4</t>
  </si>
  <si>
    <t>400G LR8/LR4</t>
  </si>
  <si>
    <t>400G QSFP112</t>
  </si>
  <si>
    <t>100G SR4 and SR1</t>
  </si>
  <si>
    <t>Adoption of QSFP112 form factor in 400G transceivers</t>
  </si>
  <si>
    <t>Adoption of SFP112 form factor in 100G transceivers</t>
  </si>
  <si>
    <t>Adoption of SFP112 form factor</t>
  </si>
  <si>
    <t>6-yr total</t>
  </si>
  <si>
    <t>Singlemode only by data rate</t>
  </si>
  <si>
    <t>Multimode only by data rate</t>
  </si>
  <si>
    <t xml:space="preserve">800G at various reaches </t>
  </si>
  <si>
    <t>800G Shipments</t>
  </si>
  <si>
    <t>800G ASPs</t>
  </si>
  <si>
    <t>800G Revenues</t>
  </si>
  <si>
    <t>800 G</t>
  </si>
  <si>
    <t>100 G - the best sellers</t>
  </si>
  <si>
    <t>100G DR1 and FR1</t>
  </si>
  <si>
    <t>all in QSFP form factor</t>
  </si>
  <si>
    <t xml:space="preserve">100G CWDM4 </t>
  </si>
  <si>
    <t xml:space="preserve">100G SR4 </t>
  </si>
  <si>
    <t>All other 100G</t>
  </si>
  <si>
    <t>100G Total</t>
  </si>
  <si>
    <t xml:space="preserve">   </t>
  </si>
  <si>
    <t>30 km</t>
  </si>
  <si>
    <t>100G ZR4</t>
  </si>
  <si>
    <t>&lt;== added March 2021</t>
  </si>
  <si>
    <t>&lt;== split from combined ER4/ER4Lite in March 2021</t>
  </si>
  <si>
    <t>100G ER4_40 km_QSFP28</t>
  </si>
  <si>
    <t>3 km</t>
  </si>
  <si>
    <t>&lt;= includes MMF 400G and all 200G</t>
  </si>
  <si>
    <t>Figure E-4a First Generation to Second Generation 400G Module Transition</t>
  </si>
  <si>
    <t>Figure E-4b   Four-lane to Single-lane 100G Module Transition</t>
  </si>
  <si>
    <t>100G FR, DR+</t>
  </si>
  <si>
    <t>&lt;= was called '800G PSM8' prior to July 2021</t>
  </si>
  <si>
    <t>800G ZRlite</t>
  </si>
  <si>
    <t>1.6T DR8</t>
  </si>
  <si>
    <t>1.6T FR8</t>
  </si>
  <si>
    <r>
      <rPr>
        <b/>
        <sz val="12"/>
        <color theme="1"/>
        <rFont val="Calibri"/>
        <family val="2"/>
      </rPr>
      <t>&gt;</t>
    </r>
    <r>
      <rPr>
        <b/>
        <sz val="12"/>
        <color theme="1"/>
        <rFont val="Arial"/>
        <family val="2"/>
      </rPr>
      <t>10 km</t>
    </r>
  </si>
  <si>
    <t>3.2T DR</t>
  </si>
  <si>
    <t>3.2T SR</t>
  </si>
  <si>
    <t>3.2T FR</t>
  </si>
  <si>
    <t>3.2T LR</t>
  </si>
  <si>
    <t>3.2T ER</t>
  </si>
  <si>
    <t>OSFP-XD and TBD</t>
  </si>
  <si>
    <t>1.6T total</t>
  </si>
  <si>
    <t>3.2T total</t>
  </si>
  <si>
    <t>&lt;= added 8/6/2021</t>
  </si>
  <si>
    <t>1.6T</t>
  </si>
  <si>
    <t>TBD</t>
  </si>
  <si>
    <t>&lt;= added as placeholder August 2021</t>
  </si>
  <si>
    <t>200G DR</t>
  </si>
  <si>
    <t>200G ER4</t>
  </si>
  <si>
    <t>200G LR</t>
  </si>
  <si>
    <t>400G SR4</t>
  </si>
  <si>
    <t>OSFP112, QSFP112</t>
  </si>
  <si>
    <t>6, 10 km</t>
  </si>
  <si>
    <t>400G ER4</t>
  </si>
  <si>
    <t>800G ER4</t>
  </si>
  <si>
    <t xml:space="preserve">1.6T at various reaches </t>
  </si>
  <si>
    <t>1.6T Shipments</t>
  </si>
  <si>
    <t>1.6T ASPs</t>
  </si>
  <si>
    <t>1.6T Revenues ($ mn)</t>
  </si>
  <si>
    <t>800G MMF</t>
  </si>
  <si>
    <t>1.6T MMF</t>
  </si>
  <si>
    <t>800G SMF</t>
  </si>
  <si>
    <t>1.6T SMF</t>
  </si>
  <si>
    <t xml:space="preserve">1G </t>
  </si>
  <si>
    <t xml:space="preserve">10G </t>
  </si>
  <si>
    <t xml:space="preserve">25G </t>
  </si>
  <si>
    <t xml:space="preserve">40G </t>
  </si>
  <si>
    <t xml:space="preserve">200G </t>
  </si>
  <si>
    <t xml:space="preserve">400G </t>
  </si>
  <si>
    <t>100G-1.6T Only</t>
  </si>
  <si>
    <t>800G DR8, DR4</t>
  </si>
  <si>
    <t>2x(400G FR4), 800G FR4</t>
  </si>
  <si>
    <t>400G LR8, LR4</t>
  </si>
  <si>
    <t>800G LR8, LR4</t>
  </si>
  <si>
    <t>10 km, 20 km</t>
  </si>
  <si>
    <t>1.6T SR16</t>
  </si>
  <si>
    <t>1.6T LR8</t>
  </si>
  <si>
    <t>1.6T ER8</t>
  </si>
  <si>
    <t>400G SR4, 800G SR8,  1.6T SR16 MMF</t>
  </si>
  <si>
    <t>Lane rate (Gbps)</t>
  </si>
  <si>
    <t>25, 100</t>
  </si>
  <si>
    <t>100, 200</t>
  </si>
  <si>
    <t>50G MMF, 100G MM Duplex, 200G SR4, 400G SR8</t>
  </si>
  <si>
    <t>800G DR4, FR4   1.6 T SMF   assume 3:1 ratio 800:1.6T</t>
  </si>
  <si>
    <t>&lt;= includes all 800G and SMF 400G, with 800G DR4, FR4 from below subtracted</t>
  </si>
  <si>
    <t>Analysis and assumptions: Vladimir Kozlov, John Lively</t>
  </si>
  <si>
    <t xml:space="preserve">This forecast presents historical sales from 2010 to 2021 and a forecast through 2026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</si>
  <si>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r>
      <t xml:space="preserve">Companion Report: </t>
    </r>
    <r>
      <rPr>
        <b/>
        <sz val="12"/>
        <rFont val="Arial"/>
        <family val="2"/>
      </rPr>
      <t>High-Speed Ethernet Optics</t>
    </r>
    <r>
      <rPr>
        <sz val="12"/>
        <rFont val="Arial"/>
        <family val="2"/>
      </rPr>
      <t>, September 2021 by Vlad Kozlov, Devan Adams, John Lively</t>
    </r>
  </si>
  <si>
    <t>September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</si>
</sst>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_);_(&quot;$&quot;* \(#,##0.000\);_(&quot;$&quot;* &quot;-&quot;??_);_(@_)"/>
    <numFmt numFmtId="170" formatCode="_(&quot;$&quot;* #,##0.0000000_);_(&quot;$&quot;* \(#,##0.0000000\);_(&quot;$&quot;* &quot;-&quot;??_);_(@_)"/>
    <numFmt numFmtId="171" formatCode="&quot;$&quot;#,##0"/>
    <numFmt numFmtId="172" formatCode="General_)"/>
    <numFmt numFmtId="173" formatCode="0.00_)"/>
    <numFmt numFmtId="174" formatCode="[&gt;9.9]0;[&gt;0]0.0;\-;"/>
    <numFmt numFmtId="175" formatCode="0.00000"/>
  </numFmts>
  <fonts count="88">
    <font>
      <sz val="10"/>
      <color theme="1"/>
      <name val="Arial"/>
      <family val="2"/>
    </font>
    <font>
      <sz val="10"/>
      <color theme="1"/>
      <name val="Calibri"/>
      <family val="2"/>
    </font>
    <font>
      <sz val="12"/>
      <color theme="1"/>
      <name val="Calibri"/>
      <family val="2"/>
      <scheme val="minor"/>
    </font>
    <font>
      <sz val="10"/>
      <color theme="1"/>
      <name val="Calibri"/>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20"/>
      <color theme="3"/>
      <name val="Calibri"/>
      <family val="2"/>
      <scheme val="minor"/>
    </font>
    <font>
      <sz val="12"/>
      <color theme="1"/>
      <name val="Arial"/>
      <family val="2"/>
    </font>
    <font>
      <sz val="11"/>
      <color theme="1"/>
      <name val="Arial"/>
      <family val="2"/>
    </font>
    <font>
      <sz val="9"/>
      <color theme="1"/>
      <name val="Calibri"/>
      <family val="2"/>
      <scheme val="minor"/>
    </font>
    <font>
      <sz val="12"/>
      <color theme="3"/>
      <name val="Calibri"/>
      <family val="2"/>
      <scheme val="minor"/>
    </font>
    <font>
      <sz val="11"/>
      <color rgb="FFFF0000"/>
      <name val="Calibri"/>
      <family val="2"/>
      <scheme val="minor"/>
    </font>
    <font>
      <b/>
      <sz val="12"/>
      <name val="Arial"/>
      <family val="2"/>
    </font>
    <font>
      <sz val="12"/>
      <name val="Arial"/>
      <family val="2"/>
    </font>
    <font>
      <b/>
      <sz val="12"/>
      <color theme="1"/>
      <name val="Calibri"/>
      <family val="2"/>
      <scheme val="minor"/>
    </font>
    <font>
      <b/>
      <sz val="24"/>
      <color theme="3"/>
      <name val="Calibri"/>
      <family val="2"/>
      <scheme val="minor"/>
    </font>
    <font>
      <b/>
      <sz val="16"/>
      <color theme="3"/>
      <name val="Calibri"/>
      <family val="2"/>
      <scheme val="minor"/>
    </font>
    <font>
      <sz val="16"/>
      <color theme="1"/>
      <name val="Calibri"/>
      <family val="2"/>
      <scheme val="minor"/>
    </font>
    <font>
      <sz val="10"/>
      <color theme="4"/>
      <name val="Calibri"/>
      <family val="2"/>
      <scheme val="minor"/>
    </font>
    <font>
      <sz val="10"/>
      <color rgb="FF00B050"/>
      <name val="Calibri"/>
      <family val="2"/>
      <scheme val="minor"/>
    </font>
    <font>
      <sz val="18"/>
      <color theme="3"/>
      <name val="Calibri"/>
      <family val="2"/>
      <scheme val="minor"/>
    </font>
    <font>
      <sz val="10"/>
      <color theme="0"/>
      <name val="Calibri"/>
      <family val="2"/>
      <scheme val="minor"/>
    </font>
    <font>
      <u/>
      <sz val="10"/>
      <color theme="10"/>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sz val="12"/>
      <name val="Calibri"/>
      <family val="2"/>
      <scheme val="minor"/>
    </font>
    <font>
      <b/>
      <sz val="12"/>
      <color theme="0"/>
      <name val="Arial"/>
      <family val="2"/>
    </font>
    <font>
      <sz val="12"/>
      <color theme="1" tint="0.499984740745262"/>
      <name val="Calibri"/>
      <family val="2"/>
      <scheme val="minor"/>
    </font>
    <font>
      <b/>
      <sz val="16"/>
      <name val="Calibri"/>
      <family val="2"/>
      <scheme val="minor"/>
    </font>
    <font>
      <b/>
      <sz val="12"/>
      <name val="Calibri"/>
      <family val="2"/>
      <scheme val="minor"/>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9"/>
      <color rgb="FF000000"/>
      <name val="Tahoma"/>
      <family val="2"/>
    </font>
    <font>
      <sz val="16"/>
      <color rgb="FF000000"/>
      <name val="Calibri"/>
      <family val="2"/>
      <scheme val="minor"/>
    </font>
    <font>
      <sz val="16"/>
      <color theme="1"/>
      <name val="Calibri"/>
      <family val="2"/>
    </font>
    <font>
      <sz val="9"/>
      <name val="Arial"/>
      <family val="2"/>
    </font>
    <font>
      <b/>
      <sz val="11"/>
      <color rgb="FF343C46"/>
      <name val="Arial"/>
      <family val="2"/>
    </font>
    <font>
      <b/>
      <sz val="12"/>
      <color theme="1"/>
      <name val="Calibri"/>
      <family val="2"/>
    </font>
    <font>
      <sz val="14"/>
      <name val="Arial"/>
      <family val="2"/>
    </font>
    <font>
      <sz val="12"/>
      <color theme="4"/>
      <name val="Arial"/>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FFFF"/>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style="medium">
        <color indexed="64"/>
      </top>
      <bottom style="medium">
        <color indexed="64"/>
      </bottom>
      <diagonal/>
    </border>
  </borders>
  <cellStyleXfs count="441">
    <xf numFmtId="0" fontId="0"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4" fontId="25" fillId="0" borderId="0" applyFont="0" applyFill="0" applyBorder="0" applyAlignment="0" applyProtection="0"/>
    <xf numFmtId="44" fontId="22" fillId="0" borderId="0" applyFont="0" applyFill="0" applyBorder="0" applyAlignment="0" applyProtection="0"/>
    <xf numFmtId="0" fontId="22" fillId="0" borderId="0"/>
    <xf numFmtId="9" fontId="25" fillId="0" borderId="0" applyFont="0" applyFill="0" applyBorder="0" applyAlignment="0" applyProtection="0"/>
    <xf numFmtId="9" fontId="2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33" fillId="0" borderId="0"/>
    <xf numFmtId="43" fontId="33"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15" fillId="0" borderId="0"/>
    <xf numFmtId="0" fontId="15" fillId="0" borderId="0"/>
    <xf numFmtId="43" fontId="12" fillId="0" borderId="0" applyFont="0" applyFill="0" applyBorder="0" applyAlignment="0" applyProtection="0"/>
    <xf numFmtId="43" fontId="12" fillId="0" borderId="0" applyFont="0" applyFill="0" applyBorder="0" applyAlignment="0" applyProtection="0"/>
    <xf numFmtId="0" fontId="11"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13" fillId="0" borderId="0"/>
    <xf numFmtId="0" fontId="9" fillId="0" borderId="0"/>
    <xf numFmtId="9" fontId="9"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xf numFmtId="0" fontId="3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4" fillId="0" borderId="0"/>
    <xf numFmtId="43" fontId="8"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5" fontId="75" fillId="0" borderId="0" applyFont="0" applyFill="0" applyBorder="0" applyAlignment="0" applyProtection="0">
      <protection locked="0"/>
    </xf>
    <xf numFmtId="172" fontId="76" fillId="0" borderId="0" applyNumberFormat="0" applyFill="0" applyBorder="0" applyAlignment="0" applyProtection="0">
      <protection locked="0"/>
    </xf>
    <xf numFmtId="172" fontId="77" fillId="0" borderId="0" applyNumberFormat="0" applyFill="0" applyBorder="0" applyAlignment="0" applyProtection="0">
      <protection locked="0"/>
    </xf>
    <xf numFmtId="173" fontId="78" fillId="0" borderId="0"/>
    <xf numFmtId="0" fontId="8" fillId="0" borderId="0"/>
    <xf numFmtId="0" fontId="8" fillId="0" borderId="0"/>
    <xf numFmtId="0" fontId="4" fillId="0" borderId="0"/>
    <xf numFmtId="9" fontId="4" fillId="0" borderId="0" applyFont="0" applyFill="0" applyBorder="0" applyAlignment="0" applyProtection="0"/>
    <xf numFmtId="0" fontId="23" fillId="0" borderId="0"/>
    <xf numFmtId="174" fontId="79" fillId="0" borderId="13" applyBorder="0" applyAlignment="0">
      <alignment horizontal="center"/>
    </xf>
  </cellStyleXfs>
  <cellXfs count="749">
    <xf numFmtId="0" fontId="0" fillId="0" borderId="0" xfId="0"/>
    <xf numFmtId="0" fontId="0" fillId="3" borderId="0" xfId="0" applyFill="1" applyProtection="1">
      <protection locked="0"/>
    </xf>
    <xf numFmtId="0" fontId="0" fillId="3" borderId="0" xfId="0" applyFill="1"/>
    <xf numFmtId="0" fontId="27" fillId="0" borderId="0" xfId="0" applyFont="1"/>
    <xf numFmtId="0" fontId="0" fillId="0" borderId="0" xfId="0"/>
    <xf numFmtId="0" fontId="21" fillId="0" borderId="0" xfId="117"/>
    <xf numFmtId="0" fontId="29" fillId="3" borderId="0" xfId="0" applyFont="1" applyFill="1"/>
    <xf numFmtId="0" fontId="28" fillId="0" borderId="0" xfId="0" applyFont="1" applyAlignment="1"/>
    <xf numFmtId="0" fontId="28" fillId="3" borderId="0" xfId="0" applyFont="1" applyFill="1" applyProtection="1">
      <protection locked="0"/>
    </xf>
    <xf numFmtId="0" fontId="28" fillId="3" borderId="0" xfId="0" applyFont="1" applyFill="1" applyAlignment="1" applyProtection="1">
      <alignment wrapText="1"/>
      <protection locked="0"/>
    </xf>
    <xf numFmtId="0" fontId="28" fillId="0" borderId="0" xfId="0" applyFont="1"/>
    <xf numFmtId="17" fontId="37" fillId="3" borderId="0" xfId="0" quotePrefix="1" applyNumberFormat="1" applyFont="1" applyFill="1" applyAlignment="1">
      <alignment horizontal="left"/>
    </xf>
    <xf numFmtId="0" fontId="38" fillId="0" borderId="0" xfId="0" applyFont="1" applyAlignment="1">
      <alignment horizontal="center"/>
    </xf>
    <xf numFmtId="0" fontId="36" fillId="0" borderId="0" xfId="0" applyFont="1"/>
    <xf numFmtId="0" fontId="42" fillId="0" borderId="0" xfId="0" applyFont="1"/>
    <xf numFmtId="0" fontId="42" fillId="0" borderId="0" xfId="0" applyFont="1" applyAlignment="1">
      <alignment vertical="center"/>
    </xf>
    <xf numFmtId="0" fontId="44" fillId="0" borderId="0" xfId="0" applyFont="1" applyFill="1" applyAlignment="1">
      <alignment horizontal="right" vertical="center"/>
    </xf>
    <xf numFmtId="0" fontId="42" fillId="0" borderId="0" xfId="0" applyFont="1" applyFill="1" applyAlignment="1">
      <alignment horizontal="left" vertical="center"/>
    </xf>
    <xf numFmtId="0" fontId="0" fillId="0" borderId="0" xfId="0" applyBorder="1" applyAlignment="1">
      <alignment horizontal="right"/>
    </xf>
    <xf numFmtId="0" fontId="0" fillId="0" borderId="0" xfId="0" applyBorder="1"/>
    <xf numFmtId="9" fontId="0" fillId="0" borderId="0" xfId="8" applyFont="1" applyBorder="1"/>
    <xf numFmtId="164" fontId="35" fillId="0" borderId="0" xfId="1" applyNumberFormat="1" applyFont="1" applyFill="1" applyBorder="1"/>
    <xf numFmtId="0" fontId="23" fillId="3" borderId="0" xfId="0" applyFont="1" applyFill="1" applyProtection="1">
      <protection locked="0"/>
    </xf>
    <xf numFmtId="0" fontId="45" fillId="3" borderId="0" xfId="0" applyFont="1" applyFill="1" applyProtection="1">
      <protection locked="0"/>
    </xf>
    <xf numFmtId="0" fontId="28" fillId="3" borderId="0" xfId="0" applyFont="1" applyFill="1" applyAlignment="1" applyProtection="1">
      <protection locked="0"/>
    </xf>
    <xf numFmtId="0" fontId="23" fillId="3" borderId="0" xfId="0" applyFont="1" applyFill="1" applyAlignment="1" applyProtection="1">
      <protection locked="0"/>
    </xf>
    <xf numFmtId="9" fontId="0" fillId="0" borderId="0" xfId="0" applyNumberFormat="1" applyBorder="1"/>
    <xf numFmtId="9" fontId="28" fillId="0" borderId="0" xfId="8" applyFont="1" applyBorder="1"/>
    <xf numFmtId="0" fontId="45" fillId="3" borderId="0" xfId="0" applyFont="1" applyFill="1" applyAlignment="1" applyProtection="1">
      <protection locked="0"/>
    </xf>
    <xf numFmtId="0" fontId="0" fillId="0" borderId="0" xfId="0" applyFill="1"/>
    <xf numFmtId="0" fontId="20" fillId="0" borderId="0" xfId="122"/>
    <xf numFmtId="0" fontId="20" fillId="0" borderId="0" xfId="122" applyFont="1" applyAlignment="1">
      <alignment horizontal="left"/>
    </xf>
    <xf numFmtId="0" fontId="46" fillId="0" borderId="0" xfId="122" applyFont="1"/>
    <xf numFmtId="0" fontId="46" fillId="0" borderId="8" xfId="122" applyFont="1" applyFill="1" applyBorder="1"/>
    <xf numFmtId="0" fontId="46" fillId="0" borderId="0" xfId="122" applyFont="1" applyFill="1" applyAlignment="1">
      <alignment horizontal="right"/>
    </xf>
    <xf numFmtId="0" fontId="46" fillId="0" borderId="8" xfId="122" applyFont="1" applyBorder="1"/>
    <xf numFmtId="0" fontId="49" fillId="3" borderId="0" xfId="0" applyFont="1" applyFill="1"/>
    <xf numFmtId="0" fontId="49" fillId="0" borderId="0" xfId="0" applyFont="1"/>
    <xf numFmtId="0" fontId="41" fillId="4" borderId="15" xfId="117" applyFont="1" applyFill="1" applyBorder="1" applyAlignment="1">
      <alignment vertical="center"/>
    </xf>
    <xf numFmtId="0" fontId="30" fillId="0" borderId="9" xfId="117" applyFont="1" applyBorder="1"/>
    <xf numFmtId="0" fontId="30" fillId="0" borderId="1" xfId="117" applyFont="1" applyBorder="1"/>
    <xf numFmtId="0" fontId="30" fillId="0" borderId="3" xfId="117" applyFont="1" applyBorder="1"/>
    <xf numFmtId="0" fontId="30" fillId="0" borderId="4" xfId="117" applyFont="1" applyBorder="1"/>
    <xf numFmtId="0" fontId="33" fillId="0" borderId="0" xfId="117" applyFont="1"/>
    <xf numFmtId="0" fontId="40" fillId="0" borderId="2" xfId="0" applyFont="1" applyBorder="1"/>
    <xf numFmtId="0" fontId="40" fillId="0" borderId="7" xfId="0" applyFont="1" applyBorder="1"/>
    <xf numFmtId="0" fontId="40" fillId="0" borderId="11" xfId="0" applyFont="1" applyBorder="1"/>
    <xf numFmtId="0" fontId="51" fillId="0" borderId="3" xfId="0" applyFont="1" applyBorder="1" applyAlignment="1">
      <alignment horizontal="center"/>
    </xf>
    <xf numFmtId="0" fontId="0" fillId="0" borderId="5" xfId="0" applyBorder="1"/>
    <xf numFmtId="0" fontId="0" fillId="0" borderId="8" xfId="0" applyBorder="1"/>
    <xf numFmtId="0" fontId="39" fillId="0" borderId="0" xfId="0" applyFont="1"/>
    <xf numFmtId="0" fontId="40" fillId="0" borderId="5" xfId="0" applyFont="1" applyBorder="1"/>
    <xf numFmtId="0" fontId="40" fillId="0" borderId="8" xfId="0" applyFont="1" applyBorder="1"/>
    <xf numFmtId="0" fontId="40" fillId="0" borderId="14" xfId="0" applyFont="1" applyBorder="1"/>
    <xf numFmtId="0" fontId="35" fillId="0" borderId="9" xfId="0" applyFont="1" applyFill="1" applyBorder="1" applyAlignment="1"/>
    <xf numFmtId="0" fontId="35" fillId="0" borderId="0" xfId="0" applyFont="1" applyFill="1" applyBorder="1" applyAlignment="1"/>
    <xf numFmtId="0" fontId="35" fillId="0" borderId="13" xfId="0" applyFont="1" applyFill="1" applyBorder="1" applyAlignment="1"/>
    <xf numFmtId="0" fontId="35" fillId="0" borderId="5" xfId="0" applyFont="1" applyFill="1" applyBorder="1" applyAlignment="1"/>
    <xf numFmtId="0" fontId="35" fillId="0" borderId="8" xfId="0" applyFont="1" applyFill="1" applyBorder="1" applyAlignment="1"/>
    <xf numFmtId="0" fontId="35" fillId="0" borderId="14" xfId="0" applyFont="1" applyFill="1" applyBorder="1" applyAlignment="1"/>
    <xf numFmtId="0" fontId="52" fillId="0" borderId="0" xfId="117" applyFont="1"/>
    <xf numFmtId="164" fontId="35" fillId="0" borderId="8" xfId="1" applyNumberFormat="1" applyFont="1" applyFill="1" applyBorder="1"/>
    <xf numFmtId="0" fontId="34" fillId="3" borderId="0" xfId="0" applyFont="1" applyFill="1"/>
    <xf numFmtId="0" fontId="51" fillId="0" borderId="1" xfId="0" applyFont="1" applyBorder="1" applyAlignment="1">
      <alignment horizontal="center"/>
    </xf>
    <xf numFmtId="0" fontId="51" fillId="0" borderId="4" xfId="0" applyFont="1" applyBorder="1" applyAlignment="1">
      <alignment horizontal="center"/>
    </xf>
    <xf numFmtId="164" fontId="33" fillId="0" borderId="0" xfId="1" applyNumberFormat="1" applyFont="1" applyFill="1"/>
    <xf numFmtId="9" fontId="25" fillId="0" borderId="0" xfId="8" applyFont="1"/>
    <xf numFmtId="0" fontId="26" fillId="0" borderId="0" xfId="122" applyFont="1" applyFill="1" applyBorder="1" applyAlignment="1">
      <alignment horizontal="right"/>
    </xf>
    <xf numFmtId="164" fontId="39" fillId="0" borderId="0" xfId="0" applyNumberFormat="1" applyFont="1"/>
    <xf numFmtId="0" fontId="26" fillId="0" borderId="10" xfId="122" applyFont="1" applyFill="1" applyBorder="1" applyAlignment="1">
      <alignment horizontal="right"/>
    </xf>
    <xf numFmtId="0" fontId="26" fillId="0" borderId="0" xfId="122" applyFont="1" applyBorder="1"/>
    <xf numFmtId="166" fontId="53" fillId="0" borderId="0" xfId="5" applyNumberFormat="1" applyFont="1" applyFill="1" applyBorder="1"/>
    <xf numFmtId="0" fontId="0" fillId="0" borderId="9" xfId="0" applyBorder="1"/>
    <xf numFmtId="164" fontId="39" fillId="0" borderId="0" xfId="0" applyNumberFormat="1" applyFont="1" applyFill="1" applyBorder="1"/>
    <xf numFmtId="165" fontId="33" fillId="0" borderId="0" xfId="5" applyNumberFormat="1" applyFont="1" applyFill="1"/>
    <xf numFmtId="0" fontId="30" fillId="0" borderId="9" xfId="117" applyFont="1" applyFill="1" applyBorder="1"/>
    <xf numFmtId="0" fontId="30" fillId="0" borderId="1" xfId="117" applyFont="1" applyFill="1" applyBorder="1"/>
    <xf numFmtId="0" fontId="21" fillId="0" borderId="0" xfId="117" applyFill="1"/>
    <xf numFmtId="0" fontId="57" fillId="0" borderId="0" xfId="0" applyFont="1"/>
    <xf numFmtId="167" fontId="27" fillId="0" borderId="0" xfId="8" applyNumberFormat="1" applyFont="1" applyFill="1" applyBorder="1" applyAlignment="1">
      <alignment vertical="center"/>
    </xf>
    <xf numFmtId="0" fontId="32" fillId="0" borderId="0" xfId="0" applyFont="1"/>
    <xf numFmtId="0" fontId="18" fillId="0" borderId="1" xfId="0" applyFont="1" applyBorder="1"/>
    <xf numFmtId="0" fontId="18" fillId="0" borderId="0" xfId="0" applyFont="1"/>
    <xf numFmtId="0" fontId="26" fillId="0" borderId="0" xfId="0" applyFont="1"/>
    <xf numFmtId="9" fontId="18" fillId="0" borderId="0" xfId="8" applyFont="1"/>
    <xf numFmtId="0" fontId="18" fillId="0" borderId="0" xfId="117" applyFont="1" applyFill="1" applyBorder="1" applyAlignment="1">
      <alignment horizontal="left" vertical="center"/>
    </xf>
    <xf numFmtId="0" fontId="18" fillId="0" borderId="8" xfId="0" applyFont="1" applyFill="1" applyBorder="1"/>
    <xf numFmtId="0" fontId="18" fillId="0" borderId="6" xfId="117" applyFont="1" applyBorder="1" applyAlignment="1"/>
    <xf numFmtId="0" fontId="18" fillId="0" borderId="10" xfId="117" applyFont="1" applyBorder="1" applyAlignment="1"/>
    <xf numFmtId="0" fontId="18" fillId="0" borderId="12" xfId="117" applyFont="1" applyBorder="1" applyAlignment="1"/>
    <xf numFmtId="164" fontId="18" fillId="0" borderId="10" xfId="1" applyNumberFormat="1" applyFont="1" applyBorder="1"/>
    <xf numFmtId="0" fontId="18" fillId="0" borderId="5" xfId="117" applyFont="1" applyBorder="1" applyAlignment="1"/>
    <xf numFmtId="0" fontId="18" fillId="0" borderId="8" xfId="117" applyFont="1" applyBorder="1" applyAlignment="1"/>
    <xf numFmtId="0" fontId="18" fillId="0" borderId="14" xfId="117" applyFont="1" applyBorder="1" applyAlignment="1"/>
    <xf numFmtId="164" fontId="18" fillId="0" borderId="8" xfId="1" applyNumberFormat="1" applyFont="1" applyBorder="1"/>
    <xf numFmtId="0" fontId="18" fillId="0" borderId="9" xfId="117" applyFont="1" applyBorder="1" applyAlignment="1"/>
    <xf numFmtId="0" fontId="18" fillId="0" borderId="0" xfId="117" applyFont="1" applyBorder="1" applyAlignment="1"/>
    <xf numFmtId="0" fontId="18" fillId="0" borderId="13" xfId="117" applyFont="1" applyBorder="1" applyAlignment="1"/>
    <xf numFmtId="164" fontId="18" fillId="0" borderId="0" xfId="1" applyNumberFormat="1" applyFont="1" applyBorder="1"/>
    <xf numFmtId="0" fontId="18" fillId="0" borderId="0" xfId="0" applyFont="1" applyBorder="1" applyAlignment="1">
      <alignment vertical="center"/>
    </xf>
    <xf numFmtId="0" fontId="18" fillId="0" borderId="0" xfId="0" applyFont="1" applyBorder="1"/>
    <xf numFmtId="164" fontId="35" fillId="0" borderId="7" xfId="1" applyNumberFormat="1" applyFont="1" applyFill="1" applyBorder="1"/>
    <xf numFmtId="0" fontId="39" fillId="0" borderId="0" xfId="0" applyFont="1" applyAlignment="1">
      <alignment horizontal="right"/>
    </xf>
    <xf numFmtId="166" fontId="39" fillId="0" borderId="0" xfId="0" applyNumberFormat="1" applyFont="1"/>
    <xf numFmtId="0" fontId="18" fillId="0" borderId="0" xfId="0" applyFont="1" applyFill="1" applyBorder="1"/>
    <xf numFmtId="165" fontId="18" fillId="0" borderId="10" xfId="5" applyNumberFormat="1" applyFont="1" applyBorder="1"/>
    <xf numFmtId="165" fontId="18" fillId="0" borderId="8" xfId="5" applyNumberFormat="1" applyFont="1" applyBorder="1"/>
    <xf numFmtId="165" fontId="18" fillId="0" borderId="0" xfId="5" applyNumberFormat="1" applyFont="1" applyBorder="1"/>
    <xf numFmtId="165" fontId="18" fillId="0" borderId="0" xfId="5" applyNumberFormat="1" applyFont="1" applyFill="1" applyBorder="1"/>
    <xf numFmtId="165" fontId="35" fillId="0" borderId="2" xfId="5" applyNumberFormat="1" applyFont="1" applyFill="1" applyBorder="1"/>
    <xf numFmtId="165" fontId="35" fillId="0" borderId="7" xfId="5" applyNumberFormat="1" applyFont="1" applyFill="1" applyBorder="1"/>
    <xf numFmtId="165" fontId="35" fillId="0" borderId="11" xfId="5" applyNumberFormat="1" applyFont="1" applyFill="1" applyBorder="1"/>
    <xf numFmtId="166" fontId="18" fillId="0" borderId="10" xfId="5" applyNumberFormat="1" applyFont="1" applyBorder="1"/>
    <xf numFmtId="166" fontId="18" fillId="0" borderId="8" xfId="5" applyNumberFormat="1" applyFont="1" applyBorder="1"/>
    <xf numFmtId="166" fontId="18" fillId="0" borderId="0" xfId="5" applyNumberFormat="1" applyFont="1" applyBorder="1"/>
    <xf numFmtId="0" fontId="56" fillId="0" borderId="0" xfId="0" applyFont="1" applyAlignment="1">
      <alignment horizontal="left"/>
    </xf>
    <xf numFmtId="164" fontId="39" fillId="0" borderId="0" xfId="1" applyNumberFormat="1" applyFont="1"/>
    <xf numFmtId="0" fontId="17" fillId="0" borderId="0" xfId="0" applyFont="1"/>
    <xf numFmtId="0" fontId="17" fillId="0" borderId="0" xfId="0" applyFont="1" applyAlignment="1">
      <alignment horizontal="center" vertical="center"/>
    </xf>
    <xf numFmtId="17" fontId="17" fillId="0" borderId="0" xfId="0" applyNumberFormat="1" applyFont="1" applyAlignment="1">
      <alignment horizontal="center" vertical="center"/>
    </xf>
    <xf numFmtId="9" fontId="17" fillId="0" borderId="0" xfId="8" applyFont="1"/>
    <xf numFmtId="0" fontId="17" fillId="0" borderId="2" xfId="0" applyFont="1" applyFill="1" applyBorder="1"/>
    <xf numFmtId="0" fontId="17" fillId="0" borderId="7" xfId="0" applyFont="1" applyFill="1" applyBorder="1"/>
    <xf numFmtId="0" fontId="17" fillId="0" borderId="11" xfId="0" applyFont="1" applyFill="1" applyBorder="1"/>
    <xf numFmtId="165" fontId="17" fillId="0" borderId="10" xfId="5" applyNumberFormat="1" applyFont="1" applyBorder="1"/>
    <xf numFmtId="0" fontId="17" fillId="0" borderId="3" xfId="0" applyFont="1" applyBorder="1" applyAlignment="1">
      <alignment horizontal="right"/>
    </xf>
    <xf numFmtId="165" fontId="17" fillId="0" borderId="0" xfId="5" applyNumberFormat="1" applyFont="1" applyBorder="1"/>
    <xf numFmtId="0" fontId="17" fillId="0" borderId="4" xfId="0" applyFont="1" applyBorder="1" applyAlignment="1">
      <alignment horizontal="right"/>
    </xf>
    <xf numFmtId="165" fontId="17" fillId="0" borderId="8" xfId="5" applyNumberFormat="1" applyFont="1" applyBorder="1"/>
    <xf numFmtId="0" fontId="17" fillId="0" borderId="6" xfId="0" applyFont="1" applyFill="1" applyBorder="1"/>
    <xf numFmtId="0" fontId="17" fillId="0" borderId="10" xfId="0" applyFont="1" applyFill="1" applyBorder="1"/>
    <xf numFmtId="0" fontId="17" fillId="0" borderId="12" xfId="0" applyFont="1" applyFill="1" applyBorder="1"/>
    <xf numFmtId="164" fontId="16" fillId="0" borderId="0" xfId="0" applyNumberFormat="1" applyFont="1"/>
    <xf numFmtId="0" fontId="16" fillId="0" borderId="0" xfId="0" applyFont="1"/>
    <xf numFmtId="164" fontId="16" fillId="0" borderId="0" xfId="1" applyNumberFormat="1" applyFont="1"/>
    <xf numFmtId="165" fontId="16" fillId="0" borderId="0" xfId="5" applyNumberFormat="1" applyFont="1"/>
    <xf numFmtId="164" fontId="16" fillId="0" borderId="0" xfId="1" quotePrefix="1" applyNumberFormat="1" applyFont="1" applyAlignment="1">
      <alignment horizontal="right"/>
    </xf>
    <xf numFmtId="0" fontId="16" fillId="0" borderId="0" xfId="0" applyFont="1" applyAlignment="1">
      <alignment horizontal="right"/>
    </xf>
    <xf numFmtId="164" fontId="16" fillId="0" borderId="9" xfId="0" applyNumberFormat="1" applyFont="1" applyFill="1" applyBorder="1"/>
    <xf numFmtId="164" fontId="16" fillId="0" borderId="0" xfId="0" applyNumberFormat="1" applyFont="1" applyFill="1" applyBorder="1"/>
    <xf numFmtId="164" fontId="16" fillId="0" borderId="6" xfId="0" applyNumberFormat="1" applyFont="1" applyFill="1" applyBorder="1"/>
    <xf numFmtId="164" fontId="16" fillId="0" borderId="10" xfId="0" applyNumberFormat="1" applyFont="1" applyFill="1" applyBorder="1"/>
    <xf numFmtId="0" fontId="16" fillId="0" borderId="6" xfId="0" applyFont="1" applyFill="1" applyBorder="1"/>
    <xf numFmtId="0" fontId="16" fillId="0" borderId="10" xfId="0" applyFont="1" applyFill="1" applyBorder="1"/>
    <xf numFmtId="0" fontId="16" fillId="0" borderId="2" xfId="0" applyFont="1" applyBorder="1"/>
    <xf numFmtId="0" fontId="16" fillId="0" borderId="6" xfId="0" applyFont="1" applyBorder="1"/>
    <xf numFmtId="165" fontId="16" fillId="0" borderId="6" xfId="5" applyNumberFormat="1" applyFont="1" applyFill="1" applyBorder="1"/>
    <xf numFmtId="165" fontId="16" fillId="0" borderId="10" xfId="5" applyNumberFormat="1" applyFont="1" applyFill="1" applyBorder="1"/>
    <xf numFmtId="165" fontId="16" fillId="0" borderId="9" xfId="5" applyNumberFormat="1" applyFont="1" applyFill="1" applyBorder="1"/>
    <xf numFmtId="165" fontId="16" fillId="0" borderId="0" xfId="5" applyNumberFormat="1" applyFont="1" applyFill="1" applyBorder="1"/>
    <xf numFmtId="0" fontId="16" fillId="0" borderId="1" xfId="0" applyFont="1" applyBorder="1"/>
    <xf numFmtId="0" fontId="17" fillId="0" borderId="2" xfId="0" applyFont="1" applyBorder="1"/>
    <xf numFmtId="0" fontId="17" fillId="0" borderId="7" xfId="0" applyFont="1" applyBorder="1"/>
    <xf numFmtId="0" fontId="58" fillId="0" borderId="0" xfId="0" applyFont="1" applyAlignment="1">
      <alignment horizontal="left"/>
    </xf>
    <xf numFmtId="0" fontId="16" fillId="0" borderId="4" xfId="0" applyFont="1" applyBorder="1"/>
    <xf numFmtId="0" fontId="46" fillId="0" borderId="0" xfId="0" applyFont="1"/>
    <xf numFmtId="165" fontId="39" fillId="0" borderId="0" xfId="0" applyNumberFormat="1" applyFont="1"/>
    <xf numFmtId="164" fontId="16" fillId="0" borderId="2" xfId="0" applyNumberFormat="1" applyFont="1" applyFill="1" applyBorder="1"/>
    <xf numFmtId="164" fontId="16" fillId="0" borderId="7" xfId="0" applyNumberFormat="1" applyFont="1" applyFill="1" applyBorder="1"/>
    <xf numFmtId="165" fontId="16" fillId="0" borderId="2" xfId="5" applyNumberFormat="1" applyFont="1" applyFill="1" applyBorder="1"/>
    <xf numFmtId="165" fontId="16" fillId="0" borderId="7" xfId="5" applyNumberFormat="1" applyFont="1" applyFill="1" applyBorder="1"/>
    <xf numFmtId="0" fontId="19" fillId="0" borderId="7" xfId="0" applyFont="1" applyBorder="1"/>
    <xf numFmtId="0" fontId="32" fillId="0" borderId="0" xfId="0" applyFont="1" applyAlignment="1">
      <alignment horizontal="center"/>
    </xf>
    <xf numFmtId="164" fontId="35" fillId="0" borderId="6" xfId="0" applyNumberFormat="1" applyFont="1" applyFill="1" applyBorder="1"/>
    <xf numFmtId="164" fontId="35" fillId="0" borderId="10" xfId="0" applyNumberFormat="1" applyFont="1" applyFill="1" applyBorder="1"/>
    <xf numFmtId="164" fontId="35" fillId="0" borderId="9" xfId="0" applyNumberFormat="1" applyFont="1" applyFill="1" applyBorder="1"/>
    <xf numFmtId="164" fontId="35" fillId="0" borderId="0" xfId="0" applyNumberFormat="1" applyFont="1" applyFill="1" applyBorder="1"/>
    <xf numFmtId="164" fontId="35" fillId="0" borderId="5" xfId="0" applyNumberFormat="1" applyFont="1" applyFill="1" applyBorder="1"/>
    <xf numFmtId="164" fontId="35" fillId="0" borderId="8" xfId="0" applyNumberFormat="1" applyFont="1" applyFill="1" applyBorder="1"/>
    <xf numFmtId="164" fontId="35" fillId="0" borderId="2" xfId="0" applyNumberFormat="1" applyFont="1" applyFill="1" applyBorder="1"/>
    <xf numFmtId="164" fontId="35" fillId="0" borderId="7" xfId="0" applyNumberFormat="1" applyFont="1" applyFill="1" applyBorder="1"/>
    <xf numFmtId="165" fontId="35" fillId="0" borderId="8" xfId="5" applyNumberFormat="1" applyFont="1" applyFill="1" applyBorder="1"/>
    <xf numFmtId="165" fontId="35" fillId="0" borderId="14" xfId="5" applyNumberFormat="1" applyFont="1" applyFill="1" applyBorder="1"/>
    <xf numFmtId="165" fontId="35" fillId="0" borderId="10" xfId="5" applyNumberFormat="1" applyFont="1" applyFill="1" applyBorder="1"/>
    <xf numFmtId="165" fontId="35" fillId="0" borderId="12" xfId="5" applyNumberFormat="1" applyFont="1" applyFill="1" applyBorder="1"/>
    <xf numFmtId="165" fontId="35" fillId="0" borderId="0" xfId="5" applyNumberFormat="1" applyFont="1" applyFill="1" applyBorder="1"/>
    <xf numFmtId="165" fontId="35" fillId="0" borderId="6" xfId="5" applyNumberFormat="1" applyFont="1" applyFill="1" applyBorder="1"/>
    <xf numFmtId="0" fontId="14" fillId="0" borderId="0" xfId="0" applyFont="1" applyAlignment="1">
      <alignment horizontal="right"/>
    </xf>
    <xf numFmtId="9" fontId="14" fillId="0" borderId="0" xfId="8" applyFont="1"/>
    <xf numFmtId="165" fontId="17" fillId="0" borderId="0" xfId="5" applyNumberFormat="1" applyFont="1"/>
    <xf numFmtId="0" fontId="46" fillId="0" borderId="0" xfId="122" applyFont="1" applyAlignment="1">
      <alignment horizontal="center"/>
    </xf>
    <xf numFmtId="0" fontId="17" fillId="0" borderId="0" xfId="0" applyFont="1" applyBorder="1"/>
    <xf numFmtId="165" fontId="35" fillId="0" borderId="5" xfId="5" applyNumberFormat="1" applyFont="1" applyFill="1" applyBorder="1"/>
    <xf numFmtId="0" fontId="43" fillId="0" borderId="2" xfId="122" applyFont="1" applyBorder="1" applyAlignment="1"/>
    <xf numFmtId="0" fontId="43" fillId="0" borderId="7" xfId="122" applyFont="1" applyBorder="1" applyAlignment="1"/>
    <xf numFmtId="0" fontId="26" fillId="0" borderId="6" xfId="122" applyFont="1" applyFill="1" applyBorder="1" applyAlignment="1">
      <alignment horizontal="right"/>
    </xf>
    <xf numFmtId="0" fontId="30" fillId="0" borderId="3" xfId="117" applyFont="1" applyFill="1" applyBorder="1"/>
    <xf numFmtId="0" fontId="0" fillId="0" borderId="13" xfId="0" applyBorder="1"/>
    <xf numFmtId="0" fontId="26" fillId="0" borderId="9" xfId="122" applyFont="1" applyFill="1" applyBorder="1" applyAlignment="1">
      <alignment horizontal="right"/>
    </xf>
    <xf numFmtId="164" fontId="28" fillId="0" borderId="0" xfId="0" applyNumberFormat="1" applyFont="1"/>
    <xf numFmtId="0" fontId="56" fillId="0" borderId="8" xfId="0" applyFont="1" applyBorder="1" applyAlignment="1">
      <alignment horizontal="left"/>
    </xf>
    <xf numFmtId="0" fontId="56" fillId="0" borderId="14" xfId="0" applyFont="1" applyBorder="1" applyAlignment="1">
      <alignment horizontal="left"/>
    </xf>
    <xf numFmtId="164" fontId="18" fillId="0" borderId="0" xfId="1" applyNumberFormat="1" applyFont="1" applyFill="1" applyBorder="1"/>
    <xf numFmtId="166" fontId="18" fillId="0" borderId="0" xfId="5" applyNumberFormat="1" applyFont="1" applyFill="1" applyBorder="1"/>
    <xf numFmtId="0" fontId="43" fillId="0" borderId="7" xfId="122" applyFont="1" applyFill="1" applyBorder="1"/>
    <xf numFmtId="0" fontId="13" fillId="0" borderId="0" xfId="0" applyFont="1"/>
    <xf numFmtId="0" fontId="17" fillId="0" borderId="8" xfId="0" applyFont="1" applyBorder="1"/>
    <xf numFmtId="0" fontId="13" fillId="0" borderId="6" xfId="0" applyFont="1" applyBorder="1"/>
    <xf numFmtId="0" fontId="13" fillId="0" borderId="9" xfId="0" applyFont="1" applyBorder="1"/>
    <xf numFmtId="17" fontId="59" fillId="0" borderId="0" xfId="0" quotePrefix="1" applyNumberFormat="1" applyFont="1" applyAlignment="1">
      <alignment horizontal="left"/>
    </xf>
    <xf numFmtId="0" fontId="16" fillId="0" borderId="2" xfId="0" applyFont="1" applyFill="1" applyBorder="1"/>
    <xf numFmtId="0" fontId="16" fillId="0" borderId="7" xfId="0" applyFont="1" applyFill="1" applyBorder="1"/>
    <xf numFmtId="164" fontId="16" fillId="0" borderId="5" xfId="1" applyNumberFormat="1" applyFont="1" applyBorder="1"/>
    <xf numFmtId="164" fontId="16" fillId="0" borderId="8" xfId="1" applyNumberFormat="1" applyFont="1" applyBorder="1"/>
    <xf numFmtId="9" fontId="16" fillId="0" borderId="10" xfId="8" applyFont="1" applyBorder="1"/>
    <xf numFmtId="0" fontId="16" fillId="0" borderId="5" xfId="0" applyFont="1" applyBorder="1"/>
    <xf numFmtId="9" fontId="16" fillId="0" borderId="8" xfId="8" applyFont="1" applyBorder="1"/>
    <xf numFmtId="0" fontId="13" fillId="0" borderId="1" xfId="0" applyFont="1" applyBorder="1"/>
    <xf numFmtId="0" fontId="13" fillId="0" borderId="4" xfId="0" applyFont="1" applyBorder="1"/>
    <xf numFmtId="169" fontId="39" fillId="0" borderId="0" xfId="5" applyNumberFormat="1" applyFont="1"/>
    <xf numFmtId="0" fontId="39" fillId="0" borderId="0" xfId="0" applyFont="1" applyAlignment="1">
      <alignment horizontal="center"/>
    </xf>
    <xf numFmtId="0" fontId="61" fillId="0" borderId="0" xfId="0" applyFont="1"/>
    <xf numFmtId="164" fontId="16" fillId="0" borderId="5" xfId="0" applyNumberFormat="1" applyFont="1" applyFill="1" applyBorder="1"/>
    <xf numFmtId="164" fontId="16" fillId="0" borderId="8" xfId="0" applyNumberFormat="1" applyFont="1" applyFill="1" applyBorder="1"/>
    <xf numFmtId="44" fontId="39" fillId="0" borderId="0" xfId="5" applyNumberFormat="1" applyFont="1"/>
    <xf numFmtId="164" fontId="16" fillId="0" borderId="10" xfId="1" applyNumberFormat="1" applyFont="1" applyBorder="1"/>
    <xf numFmtId="164" fontId="16" fillId="0" borderId="6" xfId="1" applyNumberFormat="1" applyFont="1" applyBorder="1"/>
    <xf numFmtId="0" fontId="23" fillId="0" borderId="12" xfId="0" applyFont="1" applyBorder="1" applyAlignment="1">
      <alignment horizontal="right"/>
    </xf>
    <xf numFmtId="0" fontId="23" fillId="0" borderId="13" xfId="0" applyFont="1" applyBorder="1" applyAlignment="1">
      <alignment horizontal="right"/>
    </xf>
    <xf numFmtId="0" fontId="23" fillId="0" borderId="14" xfId="0" applyFont="1" applyBorder="1" applyAlignment="1">
      <alignment horizontal="right"/>
    </xf>
    <xf numFmtId="0" fontId="23" fillId="0" borderId="12" xfId="0" applyFont="1" applyBorder="1" applyAlignment="1">
      <alignment horizontal="center"/>
    </xf>
    <xf numFmtId="17" fontId="23" fillId="0" borderId="13" xfId="0" applyNumberFormat="1" applyFont="1" applyBorder="1" applyAlignment="1">
      <alignment horizontal="center"/>
    </xf>
    <xf numFmtId="17" fontId="23" fillId="0" borderId="14" xfId="0" applyNumberFormat="1" applyFont="1" applyBorder="1" applyAlignment="1">
      <alignment horizontal="center"/>
    </xf>
    <xf numFmtId="167" fontId="50" fillId="0" borderId="15" xfId="8" applyNumberFormat="1" applyFont="1" applyFill="1" applyBorder="1" applyAlignment="1">
      <alignment horizontal="center" vertical="center"/>
    </xf>
    <xf numFmtId="0" fontId="10" fillId="0" borderId="15" xfId="0" applyFont="1" applyBorder="1" applyAlignment="1">
      <alignment horizontal="center" vertical="center"/>
    </xf>
    <xf numFmtId="0" fontId="50" fillId="0" borderId="0" xfId="0" quotePrefix="1" applyFont="1"/>
    <xf numFmtId="0" fontId="43" fillId="0" borderId="11" xfId="122" applyFont="1" applyFill="1" applyBorder="1"/>
    <xf numFmtId="0" fontId="30" fillId="0" borderId="13" xfId="117" applyFont="1" applyBorder="1"/>
    <xf numFmtId="0" fontId="43" fillId="0" borderId="0" xfId="0" applyFont="1"/>
    <xf numFmtId="0" fontId="35" fillId="0" borderId="12" xfId="0" applyFont="1" applyFill="1" applyBorder="1" applyAlignment="1"/>
    <xf numFmtId="0" fontId="35" fillId="0" borderId="10" xfId="0" applyFont="1" applyFill="1" applyBorder="1" applyAlignment="1"/>
    <xf numFmtId="0" fontId="35" fillId="0" borderId="6" xfId="0" applyFont="1" applyFill="1" applyBorder="1" applyAlignment="1"/>
    <xf numFmtId="0" fontId="39" fillId="0" borderId="0" xfId="0" applyFont="1" applyFill="1"/>
    <xf numFmtId="0" fontId="61" fillId="0" borderId="0" xfId="0" applyFont="1" applyFill="1"/>
    <xf numFmtId="0" fontId="18" fillId="0" borderId="6" xfId="117" applyFont="1" applyFill="1" applyBorder="1" applyAlignment="1"/>
    <xf numFmtId="0" fontId="18" fillId="0" borderId="10" xfId="117" applyFont="1" applyFill="1" applyBorder="1" applyAlignment="1"/>
    <xf numFmtId="0" fontId="18" fillId="0" borderId="12" xfId="117" applyFont="1" applyFill="1" applyBorder="1" applyAlignment="1"/>
    <xf numFmtId="0" fontId="18" fillId="0" borderId="9" xfId="117" applyFont="1" applyFill="1" applyBorder="1" applyAlignment="1"/>
    <xf numFmtId="0" fontId="18" fillId="0" borderId="0" xfId="117" applyFont="1" applyFill="1" applyBorder="1" applyAlignment="1"/>
    <xf numFmtId="0" fontId="18" fillId="0" borderId="13" xfId="117" applyFont="1" applyFill="1" applyBorder="1" applyAlignment="1"/>
    <xf numFmtId="0" fontId="18" fillId="0" borderId="5" xfId="117" applyFont="1" applyFill="1" applyBorder="1" applyAlignment="1"/>
    <xf numFmtId="0" fontId="18" fillId="0" borderId="8" xfId="117" applyFont="1" applyFill="1" applyBorder="1" applyAlignment="1"/>
    <xf numFmtId="0" fontId="18" fillId="0" borderId="14" xfId="117" applyFont="1" applyFill="1" applyBorder="1" applyAlignment="1"/>
    <xf numFmtId="0" fontId="13" fillId="0" borderId="2" xfId="0" applyFont="1" applyBorder="1"/>
    <xf numFmtId="164" fontId="18" fillId="0" borderId="0" xfId="1" applyNumberFormat="1" applyFont="1"/>
    <xf numFmtId="0" fontId="21" fillId="0" borderId="9" xfId="117" applyBorder="1"/>
    <xf numFmtId="0" fontId="21" fillId="0" borderId="0" xfId="117" applyBorder="1"/>
    <xf numFmtId="0" fontId="21" fillId="0" borderId="13" xfId="117" applyBorder="1"/>
    <xf numFmtId="0" fontId="46" fillId="0" borderId="9" xfId="117" applyFont="1" applyBorder="1"/>
    <xf numFmtId="0" fontId="21" fillId="0" borderId="5" xfId="117" applyBorder="1"/>
    <xf numFmtId="0" fontId="21" fillId="0" borderId="8" xfId="117" applyBorder="1"/>
    <xf numFmtId="0" fontId="21" fillId="0" borderId="14" xfId="117" applyBorder="1"/>
    <xf numFmtId="0" fontId="19" fillId="0" borderId="2" xfId="117" applyFont="1" applyFill="1" applyBorder="1" applyAlignment="1">
      <alignment horizontal="left" vertical="center"/>
    </xf>
    <xf numFmtId="0" fontId="19" fillId="0" borderId="7" xfId="117" applyFont="1" applyFill="1" applyBorder="1" applyAlignment="1">
      <alignment horizontal="left" vertical="center"/>
    </xf>
    <xf numFmtId="0" fontId="19" fillId="0" borderId="11" xfId="117" applyFont="1" applyFill="1" applyBorder="1" applyAlignment="1">
      <alignment horizontal="left" vertical="center"/>
    </xf>
    <xf numFmtId="0" fontId="13" fillId="0" borderId="0" xfId="117" applyFont="1"/>
    <xf numFmtId="0" fontId="63" fillId="0" borderId="0" xfId="117" applyFont="1"/>
    <xf numFmtId="0" fontId="41" fillId="0" borderId="0" xfId="117" applyFont="1" applyFill="1" applyBorder="1" applyAlignment="1">
      <alignment vertical="center"/>
    </xf>
    <xf numFmtId="0" fontId="51" fillId="0" borderId="9" xfId="0" applyFont="1" applyBorder="1" applyAlignment="1">
      <alignment horizontal="left"/>
    </xf>
    <xf numFmtId="0" fontId="51" fillId="0" borderId="5" xfId="0" applyFont="1" applyBorder="1" applyAlignment="1">
      <alignment horizontal="left"/>
    </xf>
    <xf numFmtId="0" fontId="36" fillId="0" borderId="0" xfId="0" applyFont="1" applyBorder="1"/>
    <xf numFmtId="164" fontId="35" fillId="0" borderId="10" xfId="1" applyNumberFormat="1" applyFont="1" applyBorder="1"/>
    <xf numFmtId="164" fontId="35" fillId="0" borderId="0" xfId="1" applyNumberFormat="1" applyFont="1" applyBorder="1"/>
    <xf numFmtId="164" fontId="35" fillId="0" borderId="8" xfId="1" applyNumberFormat="1" applyFont="1" applyBorder="1"/>
    <xf numFmtId="164" fontId="39" fillId="0" borderId="0" xfId="0" applyNumberFormat="1" applyFont="1" applyBorder="1"/>
    <xf numFmtId="164" fontId="18" fillId="0" borderId="0" xfId="0" applyNumberFormat="1" applyFont="1" applyBorder="1"/>
    <xf numFmtId="0" fontId="18" fillId="0" borderId="8" xfId="0" applyFont="1" applyBorder="1"/>
    <xf numFmtId="0" fontId="18" fillId="0" borderId="7" xfId="0" applyFont="1" applyFill="1" applyBorder="1"/>
    <xf numFmtId="0" fontId="39" fillId="0" borderId="0" xfId="0" applyFont="1" applyBorder="1"/>
    <xf numFmtId="0" fontId="35" fillId="0" borderId="8" xfId="0" applyFont="1" applyFill="1" applyBorder="1"/>
    <xf numFmtId="0" fontId="30" fillId="0" borderId="3" xfId="133" applyFont="1" applyFill="1" applyBorder="1"/>
    <xf numFmtId="0" fontId="35" fillId="0" borderId="0" xfId="0" quotePrefix="1" applyFont="1" applyFill="1" applyBorder="1" applyAlignment="1"/>
    <xf numFmtId="165" fontId="35" fillId="0" borderId="0" xfId="5" applyNumberFormat="1" applyFont="1" applyFill="1" applyBorder="1" applyAlignment="1"/>
    <xf numFmtId="0" fontId="8" fillId="0" borderId="0" xfId="0" applyFont="1"/>
    <xf numFmtId="9" fontId="8" fillId="0" borderId="0" xfId="8" applyFont="1"/>
    <xf numFmtId="0" fontId="8" fillId="0" borderId="2" xfId="0" applyFont="1" applyBorder="1"/>
    <xf numFmtId="164" fontId="8" fillId="0" borderId="0" xfId="1" applyNumberFormat="1" applyFont="1" applyBorder="1"/>
    <xf numFmtId="164" fontId="8" fillId="0" borderId="0" xfId="1" applyNumberFormat="1" applyFont="1" applyFill="1" applyBorder="1"/>
    <xf numFmtId="0" fontId="8" fillId="0" borderId="6" xfId="0" applyFont="1" applyBorder="1"/>
    <xf numFmtId="0" fontId="8" fillId="0" borderId="10" xfId="0" applyFont="1" applyBorder="1"/>
    <xf numFmtId="0" fontId="8" fillId="0" borderId="9" xfId="0" applyFont="1" applyBorder="1"/>
    <xf numFmtId="0" fontId="8" fillId="0" borderId="0" xfId="0" applyFont="1" applyBorder="1"/>
    <xf numFmtId="165" fontId="8" fillId="0" borderId="0" xfId="5" applyNumberFormat="1" applyFont="1" applyBorder="1"/>
    <xf numFmtId="165" fontId="8" fillId="0" borderId="0" xfId="5" applyNumberFormat="1" applyFont="1" applyFill="1" applyBorder="1"/>
    <xf numFmtId="166" fontId="8" fillId="0" borderId="9" xfId="5" applyNumberFormat="1" applyFont="1" applyFill="1" applyBorder="1"/>
    <xf numFmtId="166" fontId="8" fillId="0" borderId="0" xfId="5" applyNumberFormat="1" applyFont="1" applyFill="1" applyBorder="1"/>
    <xf numFmtId="0" fontId="8" fillId="6" borderId="0" xfId="0" applyFont="1" applyFill="1" applyAlignment="1">
      <alignment horizontal="center"/>
    </xf>
    <xf numFmtId="0" fontId="8" fillId="0" borderId="0" xfId="0" applyFont="1" applyFill="1" applyAlignment="1">
      <alignment horizontal="center"/>
    </xf>
    <xf numFmtId="9" fontId="39" fillId="0" borderId="0" xfId="8" applyFont="1"/>
    <xf numFmtId="0" fontId="8" fillId="0" borderId="3" xfId="0" applyFont="1" applyBorder="1"/>
    <xf numFmtId="164" fontId="18" fillId="0" borderId="8" xfId="1" applyNumberFormat="1" applyFont="1" applyFill="1" applyBorder="1"/>
    <xf numFmtId="164" fontId="18" fillId="0" borderId="10" xfId="1" applyNumberFormat="1" applyFont="1" applyFill="1" applyBorder="1"/>
    <xf numFmtId="0" fontId="18" fillId="0" borderId="0" xfId="0" applyFont="1" applyFill="1"/>
    <xf numFmtId="0" fontId="8" fillId="0" borderId="0" xfId="0" applyFont="1" applyFill="1"/>
    <xf numFmtId="164" fontId="8" fillId="0" borderId="0" xfId="0" applyNumberFormat="1" applyFont="1"/>
    <xf numFmtId="9" fontId="8" fillId="0" borderId="0" xfId="8" applyFont="1" applyFill="1"/>
    <xf numFmtId="164" fontId="8" fillId="0" borderId="15" xfId="1" applyNumberFormat="1" applyFont="1" applyBorder="1"/>
    <xf numFmtId="0" fontId="8" fillId="0" borderId="15" xfId="0" applyFont="1" applyBorder="1"/>
    <xf numFmtId="0" fontId="8" fillId="0" borderId="5" xfId="0" applyFont="1" applyBorder="1"/>
    <xf numFmtId="0" fontId="8" fillId="0" borderId="8" xfId="0" applyFont="1" applyBorder="1"/>
    <xf numFmtId="0" fontId="8" fillId="0" borderId="14" xfId="0" applyFont="1" applyBorder="1"/>
    <xf numFmtId="0" fontId="8" fillId="0" borderId="13" xfId="0" applyFont="1" applyBorder="1"/>
    <xf numFmtId="0" fontId="59" fillId="0" borderId="0" xfId="0" applyFont="1"/>
    <xf numFmtId="166" fontId="35" fillId="0" borderId="0" xfId="5" applyNumberFormat="1" applyFont="1" applyFill="1" applyBorder="1"/>
    <xf numFmtId="166" fontId="35" fillId="0" borderId="10" xfId="5" applyNumberFormat="1" applyFont="1" applyFill="1" applyBorder="1"/>
    <xf numFmtId="0" fontId="23" fillId="0" borderId="0" xfId="0" applyFont="1" applyAlignment="1">
      <alignment vertical="top"/>
    </xf>
    <xf numFmtId="0" fontId="30" fillId="0" borderId="4" xfId="117" applyFont="1" applyFill="1" applyBorder="1"/>
    <xf numFmtId="0" fontId="30" fillId="0" borderId="1" xfId="133" applyFont="1" applyFill="1" applyBorder="1"/>
    <xf numFmtId="0" fontId="54" fillId="0" borderId="1" xfId="133" applyFont="1" applyFill="1" applyBorder="1"/>
    <xf numFmtId="0" fontId="30" fillId="0" borderId="15" xfId="133" applyFont="1" applyFill="1" applyBorder="1"/>
    <xf numFmtId="0" fontId="30" fillId="0" borderId="4" xfId="133" applyFont="1" applyFill="1" applyBorder="1"/>
    <xf numFmtId="0" fontId="30" fillId="0" borderId="9" xfId="133" applyFont="1" applyFill="1" applyBorder="1"/>
    <xf numFmtId="0" fontId="13" fillId="0" borderId="0" xfId="133" applyFill="1" applyAlignment="1">
      <alignment horizontal="center"/>
    </xf>
    <xf numFmtId="0" fontId="54" fillId="0" borderId="15" xfId="133" applyFont="1" applyFill="1" applyBorder="1"/>
    <xf numFmtId="0" fontId="30" fillId="0" borderId="6" xfId="133" applyFont="1" applyFill="1" applyBorder="1"/>
    <xf numFmtId="0" fontId="30" fillId="0" borderId="5" xfId="133" applyFont="1" applyFill="1" applyBorder="1"/>
    <xf numFmtId="0" fontId="30" fillId="0" borderId="5" xfId="117" applyFont="1" applyFill="1" applyBorder="1"/>
    <xf numFmtId="0" fontId="51" fillId="0" borderId="6" xfId="0" applyFont="1" applyBorder="1" applyAlignment="1">
      <alignment horizontal="left"/>
    </xf>
    <xf numFmtId="0" fontId="65" fillId="0" borderId="3" xfId="117" applyFont="1" applyFill="1" applyBorder="1"/>
    <xf numFmtId="0" fontId="65" fillId="0" borderId="1" xfId="133" applyFont="1" applyFill="1" applyBorder="1"/>
    <xf numFmtId="0" fontId="65" fillId="0" borderId="4" xfId="133" applyFont="1" applyFill="1" applyBorder="1"/>
    <xf numFmtId="0" fontId="65" fillId="0" borderId="15" xfId="117" applyFont="1" applyFill="1" applyBorder="1"/>
    <xf numFmtId="0" fontId="54" fillId="0" borderId="4" xfId="133" applyFont="1" applyFill="1" applyBorder="1"/>
    <xf numFmtId="0" fontId="65" fillId="0" borderId="15" xfId="133" applyFont="1" applyFill="1" applyBorder="1"/>
    <xf numFmtId="168" fontId="39" fillId="0" borderId="0" xfId="0" applyNumberFormat="1" applyFont="1" applyFill="1" applyBorder="1"/>
    <xf numFmtId="165" fontId="17" fillId="0" borderId="0" xfId="5" applyNumberFormat="1" applyFont="1" applyFill="1"/>
    <xf numFmtId="0" fontId="8" fillId="0" borderId="8" xfId="117" applyFont="1" applyFill="1" applyBorder="1" applyAlignment="1"/>
    <xf numFmtId="0" fontId="8" fillId="0" borderId="0" xfId="0" applyFont="1" applyAlignment="1">
      <alignment horizontal="right"/>
    </xf>
    <xf numFmtId="0" fontId="8" fillId="0" borderId="5" xfId="117" applyFont="1" applyFill="1" applyBorder="1" applyAlignment="1"/>
    <xf numFmtId="0" fontId="8" fillId="0" borderId="14" xfId="117" applyFont="1" applyFill="1" applyBorder="1" applyAlignment="1"/>
    <xf numFmtId="0" fontId="8" fillId="0" borderId="0" xfId="117" applyFont="1" applyBorder="1" applyAlignment="1"/>
    <xf numFmtId="0" fontId="66" fillId="0" borderId="0" xfId="0" applyFont="1" applyFill="1" applyAlignment="1">
      <alignment horizontal="center"/>
    </xf>
    <xf numFmtId="0" fontId="49" fillId="0" borderId="1" xfId="117" applyFont="1" applyFill="1" applyBorder="1"/>
    <xf numFmtId="0" fontId="67" fillId="0" borderId="0" xfId="0" applyFont="1" applyFill="1" applyAlignment="1">
      <alignment horizontal="center"/>
    </xf>
    <xf numFmtId="0" fontId="49" fillId="0" borderId="4" xfId="117" applyFont="1" applyFill="1" applyBorder="1"/>
    <xf numFmtId="0" fontId="68" fillId="0" borderId="4" xfId="0" applyFont="1" applyFill="1" applyBorder="1" applyAlignment="1">
      <alignment horizontal="center"/>
    </xf>
    <xf numFmtId="0" fontId="49" fillId="0" borderId="3" xfId="117" applyFont="1" applyFill="1" applyBorder="1"/>
    <xf numFmtId="0" fontId="49" fillId="0" borderId="9" xfId="117" applyFont="1" applyFill="1" applyBorder="1"/>
    <xf numFmtId="0" fontId="67" fillId="0" borderId="4" xfId="0" applyFont="1" applyFill="1" applyBorder="1" applyAlignment="1">
      <alignment horizontal="center"/>
    </xf>
    <xf numFmtId="0" fontId="68" fillId="0" borderId="0" xfId="0" applyFont="1" applyFill="1" applyAlignment="1">
      <alignment horizontal="center"/>
    </xf>
    <xf numFmtId="0" fontId="49" fillId="0" borderId="3" xfId="0" applyFont="1" applyFill="1" applyBorder="1" applyAlignment="1">
      <alignment horizontal="left" vertical="center"/>
    </xf>
    <xf numFmtId="0" fontId="49" fillId="0" borderId="15" xfId="117" applyFont="1" applyFill="1" applyBorder="1"/>
    <xf numFmtId="0" fontId="49" fillId="0" borderId="2" xfId="117" applyFont="1" applyFill="1" applyBorder="1"/>
    <xf numFmtId="0" fontId="68" fillId="0" borderId="2" xfId="0" applyFont="1" applyFill="1" applyBorder="1" applyAlignment="1">
      <alignment horizontal="center"/>
    </xf>
    <xf numFmtId="0" fontId="69" fillId="0" borderId="0" xfId="117" applyFont="1"/>
    <xf numFmtId="0" fontId="49" fillId="0" borderId="1" xfId="0" applyFont="1" applyFill="1" applyBorder="1" applyAlignment="1">
      <alignment horizontal="left" vertical="center"/>
    </xf>
    <xf numFmtId="0" fontId="67" fillId="0" borderId="1" xfId="0" applyFont="1" applyFill="1" applyBorder="1" applyAlignment="1">
      <alignment horizontal="center"/>
    </xf>
    <xf numFmtId="0" fontId="67" fillId="0" borderId="3" xfId="0" applyFont="1" applyFill="1" applyBorder="1" applyAlignment="1">
      <alignment horizontal="center"/>
    </xf>
    <xf numFmtId="0" fontId="68" fillId="0" borderId="3" xfId="0" applyFont="1" applyFill="1" applyBorder="1" applyAlignment="1">
      <alignment horizontal="center"/>
    </xf>
    <xf numFmtId="0" fontId="49" fillId="0" borderId="3" xfId="117" applyFont="1" applyFill="1" applyBorder="1" applyAlignment="1">
      <alignment horizontal="center"/>
    </xf>
    <xf numFmtId="0" fontId="49" fillId="0" borderId="1" xfId="117" applyFont="1" applyFill="1" applyBorder="1" applyAlignment="1">
      <alignment horizontal="center"/>
    </xf>
    <xf numFmtId="0" fontId="49" fillId="0" borderId="4" xfId="117" applyFont="1" applyFill="1" applyBorder="1" applyAlignment="1">
      <alignment horizontal="center"/>
    </xf>
    <xf numFmtId="0" fontId="49" fillId="0" borderId="15" xfId="117" applyFont="1" applyFill="1" applyBorder="1" applyAlignment="1">
      <alignment horizontal="center"/>
    </xf>
    <xf numFmtId="0" fontId="46" fillId="0" borderId="0" xfId="117" applyFont="1"/>
    <xf numFmtId="0" fontId="68" fillId="0" borderId="1" xfId="0" applyFont="1" applyFill="1" applyBorder="1" applyAlignment="1">
      <alignment horizontal="center"/>
    </xf>
    <xf numFmtId="0" fontId="18" fillId="0" borderId="10" xfId="0" applyFont="1" applyBorder="1"/>
    <xf numFmtId="0" fontId="51" fillId="0" borderId="0" xfId="0" applyFont="1" applyBorder="1" applyAlignment="1">
      <alignment horizontal="left"/>
    </xf>
    <xf numFmtId="165" fontId="18" fillId="0" borderId="10" xfId="5" applyNumberFormat="1" applyFont="1" applyFill="1" applyBorder="1"/>
    <xf numFmtId="0" fontId="8" fillId="0" borderId="1" xfId="0" applyFont="1" applyBorder="1"/>
    <xf numFmtId="165" fontId="17" fillId="0" borderId="10" xfId="5" applyNumberFormat="1" applyFont="1" applyFill="1" applyBorder="1"/>
    <xf numFmtId="165" fontId="17" fillId="0" borderId="8" xfId="5" applyNumberFormat="1" applyFont="1" applyFill="1" applyBorder="1"/>
    <xf numFmtId="0" fontId="18" fillId="0" borderId="2" xfId="117" applyFont="1" applyFill="1" applyBorder="1" applyAlignment="1">
      <alignment horizontal="left" vertical="center"/>
    </xf>
    <xf numFmtId="0" fontId="18" fillId="0" borderId="7" xfId="117" applyFont="1" applyFill="1" applyBorder="1" applyAlignment="1">
      <alignment horizontal="left" vertical="center"/>
    </xf>
    <xf numFmtId="0" fontId="18" fillId="0" borderId="11" xfId="117" applyFont="1" applyFill="1" applyBorder="1" applyAlignment="1">
      <alignment horizontal="left" vertical="center"/>
    </xf>
    <xf numFmtId="0" fontId="17" fillId="0" borderId="0" xfId="0" applyFont="1" applyFill="1"/>
    <xf numFmtId="165" fontId="17" fillId="0" borderId="5" xfId="5" applyNumberFormat="1" applyFont="1" applyFill="1" applyBorder="1"/>
    <xf numFmtId="0" fontId="8" fillId="0" borderId="0" xfId="117" applyFont="1" applyFill="1" applyBorder="1" applyAlignment="1"/>
    <xf numFmtId="165" fontId="17" fillId="0" borderId="0" xfId="5" applyNumberFormat="1" applyFont="1" applyFill="1" applyBorder="1"/>
    <xf numFmtId="166" fontId="17" fillId="0" borderId="0" xfId="5" applyNumberFormat="1" applyFont="1" applyFill="1" applyBorder="1"/>
    <xf numFmtId="166" fontId="17" fillId="0" borderId="0" xfId="0" applyNumberFormat="1" applyFont="1" applyFill="1" applyBorder="1"/>
    <xf numFmtId="166" fontId="17" fillId="0" borderId="0" xfId="5" applyNumberFormat="1" applyFont="1" applyBorder="1"/>
    <xf numFmtId="166" fontId="17" fillId="0" borderId="8" xfId="5" applyNumberFormat="1" applyFont="1" applyBorder="1"/>
    <xf numFmtId="165" fontId="17" fillId="0" borderId="0" xfId="0" applyNumberFormat="1" applyFont="1" applyFill="1" applyBorder="1"/>
    <xf numFmtId="165" fontId="17" fillId="0" borderId="8" xfId="0" applyNumberFormat="1" applyFont="1" applyFill="1" applyBorder="1"/>
    <xf numFmtId="0" fontId="8" fillId="0" borderId="4" xfId="0" applyFont="1" applyBorder="1"/>
    <xf numFmtId="164" fontId="39" fillId="0" borderId="0" xfId="1" applyNumberFormat="1" applyFont="1" applyFill="1"/>
    <xf numFmtId="0" fontId="8" fillId="0" borderId="3" xfId="0" applyFont="1" applyFill="1" applyBorder="1"/>
    <xf numFmtId="0" fontId="8" fillId="0" borderId="9" xfId="0" applyFont="1" applyFill="1" applyBorder="1"/>
    <xf numFmtId="0" fontId="8" fillId="0" borderId="5" xfId="0" applyFont="1" applyFill="1" applyBorder="1"/>
    <xf numFmtId="164" fontId="8" fillId="0" borderId="2" xfId="0" applyNumberFormat="1" applyFont="1" applyFill="1" applyBorder="1"/>
    <xf numFmtId="164" fontId="8" fillId="0" borderId="7" xfId="0" applyNumberFormat="1" applyFont="1" applyFill="1" applyBorder="1"/>
    <xf numFmtId="166" fontId="17" fillId="0" borderId="10" xfId="5" applyNumberFormat="1" applyFont="1" applyFill="1" applyBorder="1"/>
    <xf numFmtId="166" fontId="17" fillId="0" borderId="8" xfId="5" applyNumberFormat="1" applyFont="1" applyFill="1" applyBorder="1"/>
    <xf numFmtId="0" fontId="8" fillId="0" borderId="2" xfId="0" applyFont="1" applyFill="1" applyBorder="1"/>
    <xf numFmtId="0" fontId="8" fillId="0" borderId="7" xfId="0" applyFont="1" applyFill="1" applyBorder="1"/>
    <xf numFmtId="164" fontId="8" fillId="0" borderId="0" xfId="0" applyNumberFormat="1" applyFont="1" applyFill="1"/>
    <xf numFmtId="164" fontId="8" fillId="0" borderId="8" xfId="0" applyNumberFormat="1" applyFont="1" applyFill="1" applyBorder="1"/>
    <xf numFmtId="164" fontId="8" fillId="0" borderId="0" xfId="1" quotePrefix="1" applyNumberFormat="1" applyFont="1" applyAlignment="1">
      <alignment horizontal="right"/>
    </xf>
    <xf numFmtId="0" fontId="8" fillId="0" borderId="6" xfId="0" applyFont="1" applyFill="1" applyBorder="1"/>
    <xf numFmtId="0" fontId="8" fillId="0" borderId="10" xfId="0" applyFont="1" applyFill="1" applyBorder="1"/>
    <xf numFmtId="164" fontId="8" fillId="0" borderId="6" xfId="0" applyNumberFormat="1" applyFont="1" applyFill="1" applyBorder="1"/>
    <xf numFmtId="164" fontId="8" fillId="0" borderId="10" xfId="0" applyNumberFormat="1" applyFont="1" applyFill="1" applyBorder="1"/>
    <xf numFmtId="164" fontId="8" fillId="0" borderId="9" xfId="0" applyNumberFormat="1" applyFont="1" applyFill="1" applyBorder="1"/>
    <xf numFmtId="164" fontId="8" fillId="0" borderId="0" xfId="0" applyNumberFormat="1" applyFont="1" applyFill="1" applyBorder="1"/>
    <xf numFmtId="164" fontId="8" fillId="0" borderId="5" xfId="0" applyNumberFormat="1" applyFont="1" applyFill="1" applyBorder="1"/>
    <xf numFmtId="165" fontId="8" fillId="0" borderId="6" xfId="5" applyNumberFormat="1" applyFont="1" applyFill="1" applyBorder="1"/>
    <xf numFmtId="165" fontId="8" fillId="0" borderId="10" xfId="5" applyNumberFormat="1" applyFont="1" applyFill="1" applyBorder="1"/>
    <xf numFmtId="165" fontId="8" fillId="0" borderId="9" xfId="5" applyNumberFormat="1" applyFont="1" applyFill="1" applyBorder="1"/>
    <xf numFmtId="165" fontId="8" fillId="0" borderId="5" xfId="5" applyNumberFormat="1" applyFont="1" applyFill="1" applyBorder="1"/>
    <xf numFmtId="165" fontId="8" fillId="0" borderId="8" xfId="5" applyNumberFormat="1" applyFont="1" applyFill="1" applyBorder="1"/>
    <xf numFmtId="0" fontId="8" fillId="6" borderId="10" xfId="0" applyFont="1" applyFill="1" applyBorder="1"/>
    <xf numFmtId="0" fontId="0" fillId="6" borderId="10" xfId="0" applyFill="1" applyBorder="1"/>
    <xf numFmtId="164" fontId="8" fillId="6" borderId="0" xfId="0" applyNumberFormat="1" applyFont="1" applyFill="1"/>
    <xf numFmtId="0" fontId="8" fillId="7" borderId="0" xfId="0" applyFont="1" applyFill="1"/>
    <xf numFmtId="164" fontId="8" fillId="7" borderId="0" xfId="0" applyNumberFormat="1" applyFont="1" applyFill="1" applyBorder="1"/>
    <xf numFmtId="0" fontId="8" fillId="7" borderId="0" xfId="0" applyFont="1" applyFill="1" applyAlignment="1">
      <alignment horizontal="center"/>
    </xf>
    <xf numFmtId="164" fontId="8" fillId="7" borderId="0" xfId="0" applyNumberFormat="1" applyFont="1" applyFill="1"/>
    <xf numFmtId="0" fontId="8" fillId="0" borderId="0" xfId="0" applyFont="1" applyAlignment="1">
      <alignment vertical="center" wrapText="1"/>
    </xf>
    <xf numFmtId="0" fontId="8" fillId="0" borderId="0" xfId="0" applyFont="1" applyAlignment="1">
      <alignment horizontal="right" vertical="center"/>
    </xf>
    <xf numFmtId="166" fontId="8" fillId="0" borderId="10" xfId="5" applyNumberFormat="1" applyFont="1" applyFill="1" applyBorder="1"/>
    <xf numFmtId="166" fontId="8" fillId="0" borderId="8" xfId="5" applyNumberFormat="1" applyFont="1" applyFill="1" applyBorder="1"/>
    <xf numFmtId="0" fontId="34" fillId="0" borderId="0" xfId="0" applyFont="1" applyFill="1"/>
    <xf numFmtId="14" fontId="0" fillId="3" borderId="0" xfId="0" applyNumberFormat="1" applyFill="1"/>
    <xf numFmtId="0" fontId="28" fillId="3" borderId="0" xfId="0" applyFont="1" applyFill="1"/>
    <xf numFmtId="0" fontId="8" fillId="0" borderId="5" xfId="117" applyFont="1" applyBorder="1" applyAlignment="1"/>
    <xf numFmtId="0" fontId="67" fillId="3" borderId="0" xfId="0" applyFont="1" applyFill="1"/>
    <xf numFmtId="0" fontId="17" fillId="0" borderId="0" xfId="0" applyFont="1" applyAlignment="1">
      <alignment horizontal="center"/>
    </xf>
    <xf numFmtId="0" fontId="35" fillId="0" borderId="3" xfId="0" applyFont="1" applyFill="1" applyBorder="1" applyAlignment="1">
      <alignment horizontal="right"/>
    </xf>
    <xf numFmtId="0" fontId="13" fillId="0" borderId="3" xfId="0" applyFont="1" applyBorder="1" applyAlignment="1">
      <alignment horizontal="right"/>
    </xf>
    <xf numFmtId="166" fontId="17" fillId="0" borderId="7" xfId="5" applyNumberFormat="1" applyFont="1" applyBorder="1"/>
    <xf numFmtId="0" fontId="40" fillId="0" borderId="6" xfId="117" applyFont="1" applyBorder="1"/>
    <xf numFmtId="0" fontId="21" fillId="0" borderId="10" xfId="117" applyBorder="1"/>
    <xf numFmtId="0" fontId="21" fillId="0" borderId="12" xfId="117" applyBorder="1"/>
    <xf numFmtId="0" fontId="35" fillId="0" borderId="9" xfId="117" applyFont="1" applyBorder="1"/>
    <xf numFmtId="0" fontId="65" fillId="0" borderId="4" xfId="117" applyFont="1" applyFill="1" applyBorder="1"/>
    <xf numFmtId="0" fontId="30" fillId="0" borderId="15" xfId="117" applyFont="1" applyFill="1" applyBorder="1"/>
    <xf numFmtId="0" fontId="30" fillId="0" borderId="11" xfId="117" applyFont="1" applyFill="1" applyBorder="1"/>
    <xf numFmtId="0" fontId="30" fillId="0" borderId="14" xfId="117" applyFont="1" applyFill="1" applyBorder="1"/>
    <xf numFmtId="0" fontId="66" fillId="0" borderId="8" xfId="0" applyFont="1" applyFill="1" applyBorder="1" applyAlignment="1">
      <alignment horizontal="center"/>
    </xf>
    <xf numFmtId="0" fontId="30" fillId="0" borderId="3" xfId="0" applyFont="1" applyFill="1" applyBorder="1" applyAlignment="1">
      <alignment horizontal="left" vertical="center"/>
    </xf>
    <xf numFmtId="0" fontId="30" fillId="0" borderId="13" xfId="117" applyFont="1" applyFill="1" applyBorder="1"/>
    <xf numFmtId="0" fontId="56" fillId="4" borderId="15" xfId="117" applyFont="1" applyFill="1" applyBorder="1" applyAlignment="1">
      <alignment vertical="center"/>
    </xf>
    <xf numFmtId="0" fontId="30" fillId="0" borderId="12" xfId="117" applyFont="1" applyBorder="1"/>
    <xf numFmtId="0" fontId="18" fillId="0" borderId="15" xfId="117" applyFont="1" applyFill="1" applyBorder="1" applyAlignment="1">
      <alignment horizontal="left" vertical="center"/>
    </xf>
    <xf numFmtId="0" fontId="5" fillId="0" borderId="5" xfId="117" applyFont="1" applyBorder="1"/>
    <xf numFmtId="0" fontId="13" fillId="0" borderId="3" xfId="0" applyFont="1" applyBorder="1"/>
    <xf numFmtId="165" fontId="16" fillId="0" borderId="8" xfId="5" applyNumberFormat="1" applyFont="1" applyFill="1" applyBorder="1"/>
    <xf numFmtId="0" fontId="42" fillId="0" borderId="0" xfId="0" applyFont="1" applyFill="1" applyAlignment="1">
      <alignment horizontal="right" vertical="center"/>
    </xf>
    <xf numFmtId="164" fontId="35" fillId="0" borderId="0" xfId="1" applyNumberFormat="1" applyFont="1" applyFill="1" applyBorder="1" applyAlignment="1"/>
    <xf numFmtId="0" fontId="33" fillId="0" borderId="0" xfId="117" applyFont="1" applyFill="1"/>
    <xf numFmtId="164" fontId="18" fillId="0" borderId="0" xfId="0" applyNumberFormat="1" applyFont="1" applyFill="1"/>
    <xf numFmtId="0" fontId="19" fillId="0" borderId="7" xfId="0" applyFont="1" applyFill="1" applyBorder="1"/>
    <xf numFmtId="165" fontId="18" fillId="0" borderId="8" xfId="5" applyNumberFormat="1" applyFont="1" applyFill="1" applyBorder="1"/>
    <xf numFmtId="170" fontId="18" fillId="0" borderId="0" xfId="0" applyNumberFormat="1" applyFont="1" applyFill="1"/>
    <xf numFmtId="166" fontId="18" fillId="0" borderId="8" xfId="5" applyNumberFormat="1" applyFont="1" applyFill="1" applyBorder="1"/>
    <xf numFmtId="166" fontId="18" fillId="0" borderId="10" xfId="5" applyNumberFormat="1" applyFont="1" applyFill="1" applyBorder="1"/>
    <xf numFmtId="0" fontId="65" fillId="0" borderId="3" xfId="133" applyFont="1" applyFill="1" applyBorder="1"/>
    <xf numFmtId="0" fontId="71" fillId="0" borderId="0" xfId="133" applyFont="1"/>
    <xf numFmtId="0" fontId="71" fillId="0" borderId="0" xfId="117" applyFont="1"/>
    <xf numFmtId="0" fontId="35" fillId="0" borderId="0" xfId="117" applyFont="1"/>
    <xf numFmtId="0" fontId="35" fillId="0" borderId="0" xfId="117" applyFont="1" applyBorder="1"/>
    <xf numFmtId="0" fontId="35" fillId="0" borderId="8" xfId="117" applyFont="1" applyBorder="1"/>
    <xf numFmtId="0" fontId="73" fillId="4" borderId="0" xfId="117" applyFont="1" applyFill="1" applyBorder="1" applyAlignment="1">
      <alignment vertical="center"/>
    </xf>
    <xf numFmtId="0" fontId="55" fillId="0" borderId="0" xfId="117" applyFont="1" applyFill="1" applyBorder="1" applyAlignment="1">
      <alignment horizontal="center"/>
    </xf>
    <xf numFmtId="0" fontId="54" fillId="0" borderId="1" xfId="133" applyFont="1" applyFill="1" applyBorder="1" applyAlignment="1">
      <alignment horizontal="left"/>
    </xf>
    <xf numFmtId="0" fontId="72" fillId="4" borderId="15" xfId="117" applyFont="1" applyFill="1" applyBorder="1" applyAlignment="1">
      <alignment horizontal="left" vertical="center"/>
    </xf>
    <xf numFmtId="0" fontId="67" fillId="0" borderId="1" xfId="117" applyFont="1" applyFill="1" applyBorder="1" applyAlignment="1">
      <alignment horizontal="left"/>
    </xf>
    <xf numFmtId="0" fontId="67" fillId="0" borderId="3" xfId="117" applyFont="1" applyFill="1" applyBorder="1" applyAlignment="1">
      <alignment horizontal="left"/>
    </xf>
    <xf numFmtId="0" fontId="67" fillId="0" borderId="4" xfId="117" applyFont="1" applyFill="1" applyBorder="1" applyAlignment="1">
      <alignment horizontal="left"/>
    </xf>
    <xf numFmtId="0" fontId="67" fillId="0" borderId="15" xfId="117" applyFont="1" applyFill="1" applyBorder="1" applyAlignment="1">
      <alignment horizontal="left"/>
    </xf>
    <xf numFmtId="0" fontId="67" fillId="0" borderId="1" xfId="133" applyFont="1" applyFill="1" applyBorder="1" applyAlignment="1">
      <alignment horizontal="left"/>
    </xf>
    <xf numFmtId="0" fontId="67" fillId="0" borderId="4" xfId="133" applyFont="1" applyFill="1" applyBorder="1" applyAlignment="1">
      <alignment horizontal="left"/>
    </xf>
    <xf numFmtId="0" fontId="67" fillId="0" borderId="15" xfId="133" applyFont="1" applyFill="1" applyBorder="1" applyAlignment="1">
      <alignment horizontal="left"/>
    </xf>
    <xf numFmtId="0" fontId="55" fillId="0" borderId="3" xfId="117" applyFont="1" applyFill="1" applyBorder="1" applyAlignment="1">
      <alignment horizontal="left"/>
    </xf>
    <xf numFmtId="0" fontId="55" fillId="0" borderId="1" xfId="133" applyFont="1" applyFill="1" applyBorder="1" applyAlignment="1">
      <alignment horizontal="left"/>
    </xf>
    <xf numFmtId="0" fontId="55" fillId="0" borderId="4" xfId="133" applyFont="1" applyFill="1" applyBorder="1" applyAlignment="1">
      <alignment horizontal="left"/>
    </xf>
    <xf numFmtId="0" fontId="54" fillId="0" borderId="3" xfId="133" applyFont="1" applyFill="1" applyBorder="1" applyAlignment="1">
      <alignment horizontal="left"/>
    </xf>
    <xf numFmtId="0" fontId="54" fillId="0" borderId="1" xfId="117" applyFont="1" applyFill="1" applyBorder="1" applyAlignment="1">
      <alignment horizontal="left"/>
    </xf>
    <xf numFmtId="0" fontId="55" fillId="0" borderId="3" xfId="133" applyFont="1" applyFill="1" applyBorder="1" applyAlignment="1">
      <alignment horizontal="left"/>
    </xf>
    <xf numFmtId="0" fontId="55" fillId="0" borderId="1" xfId="117" applyFont="1" applyFill="1" applyBorder="1" applyAlignment="1">
      <alignment horizontal="left"/>
    </xf>
    <xf numFmtId="0" fontId="56" fillId="4" borderId="0" xfId="117" applyFont="1" applyFill="1" applyBorder="1" applyAlignment="1">
      <alignment vertical="center"/>
    </xf>
    <xf numFmtId="0" fontId="49" fillId="0" borderId="0" xfId="117" applyFont="1" applyFill="1" applyBorder="1" applyAlignment="1">
      <alignment horizontal="center"/>
    </xf>
    <xf numFmtId="0" fontId="55" fillId="0" borderId="4" xfId="133" applyFont="1" applyFill="1" applyBorder="1"/>
    <xf numFmtId="0" fontId="55" fillId="0" borderId="4" xfId="117" applyFont="1" applyFill="1" applyBorder="1"/>
    <xf numFmtId="0" fontId="55" fillId="0" borderId="3" xfId="117" applyFont="1" applyFill="1" applyBorder="1"/>
    <xf numFmtId="0" fontId="55" fillId="0" borderId="1" xfId="117" applyFont="1" applyFill="1" applyBorder="1"/>
    <xf numFmtId="0" fontId="55" fillId="0" borderId="15" xfId="117" applyFont="1" applyFill="1" applyBorder="1"/>
    <xf numFmtId="0" fontId="55" fillId="0" borderId="1" xfId="133" applyFont="1" applyFill="1" applyBorder="1"/>
    <xf numFmtId="0" fontId="55" fillId="0" borderId="15" xfId="133" applyFont="1" applyFill="1" applyBorder="1"/>
    <xf numFmtId="0" fontId="55" fillId="0" borderId="3" xfId="133" applyFont="1" applyFill="1" applyBorder="1"/>
    <xf numFmtId="0" fontId="55" fillId="0" borderId="13" xfId="133" applyFont="1" applyFill="1" applyBorder="1"/>
    <xf numFmtId="0" fontId="55" fillId="0" borderId="12" xfId="133" applyFont="1" applyFill="1" applyBorder="1"/>
    <xf numFmtId="0" fontId="30" fillId="0" borderId="2" xfId="133" applyFont="1" applyFill="1" applyBorder="1"/>
    <xf numFmtId="0" fontId="30" fillId="0" borderId="2" xfId="117" applyFont="1" applyFill="1" applyBorder="1"/>
    <xf numFmtId="0" fontId="54" fillId="0" borderId="3" xfId="133" applyFont="1" applyFill="1" applyBorder="1"/>
    <xf numFmtId="0" fontId="69" fillId="0" borderId="1" xfId="133" applyFont="1" applyFill="1" applyBorder="1" applyAlignment="1">
      <alignment horizontal="left"/>
    </xf>
    <xf numFmtId="0" fontId="8" fillId="0" borderId="10" xfId="117" applyFont="1" applyFill="1" applyBorder="1" applyAlignment="1"/>
    <xf numFmtId="171" fontId="39" fillId="0" borderId="0" xfId="5" applyNumberFormat="1" applyFont="1"/>
    <xf numFmtId="171" fontId="18" fillId="0" borderId="0" xfId="5" applyNumberFormat="1" applyFont="1"/>
    <xf numFmtId="0" fontId="41" fillId="0" borderId="0" xfId="117" applyFont="1"/>
    <xf numFmtId="0" fontId="61" fillId="0" borderId="0" xfId="0" applyFont="1" applyBorder="1"/>
    <xf numFmtId="0" fontId="30" fillId="0" borderId="0" xfId="117" applyFont="1" applyFill="1" applyBorder="1"/>
    <xf numFmtId="0" fontId="61" fillId="0" borderId="0" xfId="0" applyFont="1" applyFill="1" applyBorder="1"/>
    <xf numFmtId="0" fontId="71" fillId="0" borderId="0" xfId="133" quotePrefix="1" applyFont="1"/>
    <xf numFmtId="0" fontId="8" fillId="0" borderId="8" xfId="117" applyFont="1" applyBorder="1" applyAlignment="1"/>
    <xf numFmtId="0" fontId="8" fillId="0" borderId="9" xfId="117" applyFont="1" applyFill="1" applyBorder="1" applyAlignment="1"/>
    <xf numFmtId="0" fontId="8" fillId="0" borderId="0" xfId="117" applyFont="1" applyFill="1"/>
    <xf numFmtId="0" fontId="8" fillId="0" borderId="0" xfId="117" quotePrefix="1" applyFont="1" applyFill="1"/>
    <xf numFmtId="168" fontId="39" fillId="0" borderId="0" xfId="1" applyNumberFormat="1" applyFont="1" applyFill="1" applyAlignment="1">
      <alignment horizontal="right"/>
    </xf>
    <xf numFmtId="164" fontId="8" fillId="0" borderId="0" xfId="0" applyNumberFormat="1" applyFont="1" applyBorder="1"/>
    <xf numFmtId="164" fontId="8" fillId="0" borderId="15" xfId="0" applyNumberFormat="1" applyFont="1" applyBorder="1"/>
    <xf numFmtId="44" fontId="17" fillId="0" borderId="0" xfId="5" applyNumberFormat="1" applyFont="1" applyFill="1" applyBorder="1"/>
    <xf numFmtId="0" fontId="0" fillId="0" borderId="0" xfId="0" quotePrefix="1"/>
    <xf numFmtId="164" fontId="8" fillId="0" borderId="10" xfId="1" applyNumberFormat="1" applyFont="1" applyBorder="1"/>
    <xf numFmtId="164" fontId="8" fillId="0" borderId="10" xfId="1" applyNumberFormat="1" applyFont="1" applyFill="1" applyBorder="1"/>
    <xf numFmtId="165" fontId="8" fillId="0" borderId="8" xfId="5" applyNumberFormat="1" applyFont="1" applyBorder="1"/>
    <xf numFmtId="0" fontId="42" fillId="0" borderId="0" xfId="0" applyFont="1" applyFill="1"/>
    <xf numFmtId="0" fontId="8" fillId="0" borderId="13" xfId="164" applyFont="1" applyFill="1" applyBorder="1" applyAlignment="1"/>
    <xf numFmtId="0" fontId="40" fillId="0" borderId="5" xfId="0" applyFont="1" applyFill="1" applyBorder="1"/>
    <xf numFmtId="0" fontId="40" fillId="0" borderId="8" xfId="0" applyFont="1" applyFill="1" applyBorder="1"/>
    <xf numFmtId="0" fontId="40" fillId="0" borderId="14" xfId="0" applyFont="1" applyFill="1" applyBorder="1"/>
    <xf numFmtId="0" fontId="40" fillId="0" borderId="2" xfId="0" applyFont="1" applyFill="1" applyBorder="1"/>
    <xf numFmtId="0" fontId="40" fillId="0" borderId="7" xfId="0" applyFont="1" applyFill="1" applyBorder="1"/>
    <xf numFmtId="0" fontId="42" fillId="0" borderId="0" xfId="0" applyFont="1" applyFill="1" applyAlignment="1">
      <alignment vertical="center"/>
    </xf>
    <xf numFmtId="0" fontId="35" fillId="0" borderId="10" xfId="0" quotePrefix="1" applyFont="1" applyFill="1" applyBorder="1" applyAlignment="1"/>
    <xf numFmtId="165" fontId="35" fillId="0" borderId="10" xfId="5" quotePrefix="1" applyNumberFormat="1" applyFont="1" applyFill="1" applyBorder="1" applyAlignment="1"/>
    <xf numFmtId="164" fontId="8" fillId="0" borderId="1" xfId="1" applyNumberFormat="1" applyFont="1" applyBorder="1"/>
    <xf numFmtId="0" fontId="8" fillId="0" borderId="11" xfId="0" applyFont="1" applyFill="1" applyBorder="1"/>
    <xf numFmtId="0" fontId="21" fillId="0" borderId="3" xfId="117" applyBorder="1"/>
    <xf numFmtId="0" fontId="49" fillId="0" borderId="5" xfId="117" applyFont="1" applyFill="1" applyBorder="1"/>
    <xf numFmtId="0" fontId="49" fillId="0" borderId="4" xfId="0" applyFont="1" applyFill="1" applyBorder="1" applyAlignment="1">
      <alignment horizontal="left" vertical="center"/>
    </xf>
    <xf numFmtId="0" fontId="49" fillId="0" borderId="14" xfId="117" applyFont="1" applyFill="1" applyBorder="1"/>
    <xf numFmtId="0" fontId="67" fillId="0" borderId="4" xfId="117" applyFont="1" applyFill="1" applyBorder="1" applyAlignment="1">
      <alignment horizontal="center"/>
    </xf>
    <xf numFmtId="0" fontId="67" fillId="0" borderId="14" xfId="0" applyFont="1" applyFill="1" applyBorder="1" applyAlignment="1">
      <alignment horizontal="center"/>
    </xf>
    <xf numFmtId="0" fontId="49" fillId="14" borderId="15" xfId="117" applyFont="1" applyFill="1" applyBorder="1"/>
    <xf numFmtId="0" fontId="65" fillId="14" borderId="15" xfId="117" applyFont="1" applyFill="1" applyBorder="1" applyAlignment="1">
      <alignment horizontal="center"/>
    </xf>
    <xf numFmtId="0" fontId="68" fillId="14" borderId="4" xfId="0" applyFont="1" applyFill="1" applyBorder="1" applyAlignment="1">
      <alignment horizontal="center"/>
    </xf>
    <xf numFmtId="43" fontId="8" fillId="0" borderId="0" xfId="0" applyNumberFormat="1" applyFont="1"/>
    <xf numFmtId="0" fontId="8" fillId="0" borderId="15" xfId="0" applyFont="1" applyFill="1" applyBorder="1"/>
    <xf numFmtId="0" fontId="55" fillId="3" borderId="0" xfId="0" applyFont="1" applyFill="1"/>
    <xf numFmtId="165" fontId="39" fillId="0" borderId="0" xfId="5" applyNumberFormat="1" applyFont="1"/>
    <xf numFmtId="0" fontId="41" fillId="0" borderId="0" xfId="0" applyFont="1"/>
    <xf numFmtId="0" fontId="81" fillId="0" borderId="0" xfId="0" applyFont="1" applyAlignment="1">
      <alignment horizontal="left" vertical="center" readingOrder="1"/>
    </xf>
    <xf numFmtId="164" fontId="59" fillId="0" borderId="0" xfId="1" quotePrefix="1" applyNumberFormat="1" applyFont="1" applyAlignment="1">
      <alignment horizontal="right"/>
    </xf>
    <xf numFmtId="164" fontId="59" fillId="0" borderId="0" xfId="0" applyNumberFormat="1" applyFont="1"/>
    <xf numFmtId="0" fontId="8" fillId="0" borderId="0" xfId="0" applyFont="1" applyAlignment="1">
      <alignment horizontal="left"/>
    </xf>
    <xf numFmtId="166" fontId="17" fillId="0" borderId="8" xfId="0" applyNumberFormat="1" applyFont="1" applyFill="1" applyBorder="1"/>
    <xf numFmtId="0" fontId="8" fillId="2" borderId="15" xfId="117" applyFont="1" applyFill="1" applyBorder="1" applyAlignment="1">
      <alignment horizontal="center"/>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2" xfId="0" applyFont="1" applyBorder="1"/>
    <xf numFmtId="165" fontId="16" fillId="0" borderId="5" xfId="5" applyNumberFormat="1" applyFont="1" applyFill="1" applyBorder="1"/>
    <xf numFmtId="0" fontId="59" fillId="0" borderId="0" xfId="122" quotePrefix="1" applyFont="1"/>
    <xf numFmtId="164" fontId="67" fillId="0" borderId="0" xfId="1" applyNumberFormat="1" applyFont="1" applyFill="1"/>
    <xf numFmtId="164" fontId="67" fillId="0" borderId="0" xfId="0" applyNumberFormat="1" applyFont="1" applyFill="1"/>
    <xf numFmtId="164" fontId="47" fillId="0" borderId="0" xfId="0" applyNumberFormat="1" applyFont="1" applyFill="1"/>
    <xf numFmtId="0" fontId="23" fillId="0" borderId="0" xfId="0" applyFont="1" applyFill="1" applyAlignment="1">
      <alignment vertical="top"/>
    </xf>
    <xf numFmtId="165" fontId="8" fillId="0" borderId="12" xfId="5" applyNumberFormat="1" applyFont="1" applyFill="1" applyBorder="1" applyAlignment="1"/>
    <xf numFmtId="0" fontId="8" fillId="0" borderId="12" xfId="117" applyFont="1" applyFill="1" applyBorder="1" applyAlignment="1"/>
    <xf numFmtId="0" fontId="83" fillId="0" borderId="6" xfId="0" applyFont="1" applyBorder="1"/>
    <xf numFmtId="0" fontId="8" fillId="0" borderId="6" xfId="0" applyFont="1" applyBorder="1" applyAlignment="1">
      <alignment horizontal="right"/>
    </xf>
    <xf numFmtId="0" fontId="8" fillId="0" borderId="5" xfId="0" applyFont="1" applyBorder="1" applyAlignment="1">
      <alignment horizontal="right"/>
    </xf>
    <xf numFmtId="0" fontId="8" fillId="0" borderId="2" xfId="0" applyFont="1" applyBorder="1" applyAlignment="1">
      <alignment horizontal="right"/>
    </xf>
    <xf numFmtId="0" fontId="0" fillId="6" borderId="6" xfId="0" applyFill="1" applyBorder="1"/>
    <xf numFmtId="164" fontId="8" fillId="6" borderId="9" xfId="0" applyNumberFormat="1" applyFont="1" applyFill="1" applyBorder="1"/>
    <xf numFmtId="164" fontId="8" fillId="7" borderId="9" xfId="0" applyNumberFormat="1" applyFont="1" applyFill="1" applyBorder="1"/>
    <xf numFmtId="9" fontId="8" fillId="0" borderId="9" xfId="8" applyFont="1" applyBorder="1"/>
    <xf numFmtId="164" fontId="8" fillId="0" borderId="9" xfId="0" applyNumberFormat="1" applyFont="1" applyBorder="1"/>
    <xf numFmtId="168" fontId="39" fillId="0" borderId="9" xfId="1" applyNumberFormat="1" applyFont="1" applyFill="1" applyBorder="1" applyAlignment="1">
      <alignment horizontal="right"/>
    </xf>
    <xf numFmtId="165" fontId="35" fillId="5" borderId="0" xfId="5" applyNumberFormat="1" applyFont="1" applyFill="1" applyBorder="1"/>
    <xf numFmtId="165" fontId="17" fillId="5" borderId="6" xfId="5" applyNumberFormat="1" applyFont="1" applyFill="1" applyBorder="1"/>
    <xf numFmtId="165" fontId="17" fillId="5" borderId="10" xfId="5" applyNumberFormat="1" applyFont="1" applyFill="1" applyBorder="1"/>
    <xf numFmtId="165" fontId="17" fillId="5" borderId="9" xfId="5" applyNumberFormat="1" applyFont="1" applyFill="1" applyBorder="1"/>
    <xf numFmtId="165" fontId="17" fillId="5" borderId="0" xfId="5" applyNumberFormat="1" applyFont="1" applyFill="1" applyBorder="1"/>
    <xf numFmtId="165" fontId="17" fillId="5" borderId="5" xfId="5" applyNumberFormat="1" applyFont="1" applyFill="1" applyBorder="1"/>
    <xf numFmtId="165" fontId="17" fillId="5" borderId="8" xfId="5" applyNumberFormat="1" applyFont="1" applyFill="1" applyBorder="1"/>
    <xf numFmtId="166" fontId="17" fillId="5" borderId="9" xfId="5" applyNumberFormat="1" applyFont="1" applyFill="1" applyBorder="1"/>
    <xf numFmtId="166" fontId="17" fillId="5" borderId="0" xfId="5" applyNumberFormat="1" applyFont="1" applyFill="1" applyBorder="1"/>
    <xf numFmtId="166" fontId="17" fillId="5" borderId="9" xfId="0" applyNumberFormat="1" applyFont="1" applyFill="1" applyBorder="1"/>
    <xf numFmtId="166" fontId="17" fillId="5" borderId="0" xfId="0" applyNumberFormat="1" applyFont="1" applyFill="1" applyBorder="1"/>
    <xf numFmtId="0" fontId="17" fillId="5" borderId="9" xfId="0" applyFont="1" applyFill="1" applyBorder="1"/>
    <xf numFmtId="0" fontId="17" fillId="5" borderId="0" xfId="0" applyFont="1" applyFill="1" applyBorder="1"/>
    <xf numFmtId="0" fontId="17" fillId="5" borderId="5" xfId="0" applyFont="1" applyFill="1" applyBorder="1"/>
    <xf numFmtId="0" fontId="17" fillId="5" borderId="8" xfId="0" applyFont="1" applyFill="1" applyBorder="1"/>
    <xf numFmtId="165" fontId="17" fillId="5" borderId="9" xfId="0" applyNumberFormat="1" applyFont="1" applyFill="1" applyBorder="1"/>
    <xf numFmtId="165" fontId="17" fillId="5" borderId="0" xfId="0" applyNumberFormat="1" applyFont="1" applyFill="1" applyBorder="1"/>
    <xf numFmtId="165" fontId="17" fillId="5" borderId="5" xfId="0" applyNumberFormat="1" applyFont="1" applyFill="1" applyBorder="1"/>
    <xf numFmtId="165" fontId="17" fillId="5" borderId="8" xfId="0" applyNumberFormat="1" applyFont="1" applyFill="1" applyBorder="1"/>
    <xf numFmtId="0" fontId="56" fillId="0" borderId="8" xfId="0" applyFont="1" applyBorder="1" applyAlignment="1">
      <alignment horizontal="right"/>
    </xf>
    <xf numFmtId="0" fontId="13" fillId="0" borderId="1" xfId="0" applyFont="1" applyBorder="1" applyAlignment="1">
      <alignment horizontal="right" indent="2"/>
    </xf>
    <xf numFmtId="0" fontId="13" fillId="0" borderId="3" xfId="0" applyFont="1" applyFill="1" applyBorder="1" applyAlignment="1">
      <alignment horizontal="right" indent="2"/>
    </xf>
    <xf numFmtId="0" fontId="13" fillId="0" borderId="3" xfId="0" applyFont="1" applyBorder="1" applyAlignment="1">
      <alignment horizontal="right" indent="2"/>
    </xf>
    <xf numFmtId="0" fontId="8" fillId="0" borderId="4" xfId="0" applyFont="1" applyBorder="1" applyAlignment="1">
      <alignment horizontal="right" indent="2"/>
    </xf>
    <xf numFmtId="0" fontId="17" fillId="0" borderId="0" xfId="0" applyFont="1" applyAlignment="1">
      <alignment horizontal="right"/>
    </xf>
    <xf numFmtId="0" fontId="13" fillId="0" borderId="4" xfId="0" applyFont="1" applyBorder="1" applyAlignment="1">
      <alignment horizontal="right" indent="2"/>
    </xf>
    <xf numFmtId="165" fontId="17" fillId="5" borderId="2" xfId="5" applyNumberFormat="1" applyFont="1" applyFill="1" applyBorder="1"/>
    <xf numFmtId="166" fontId="17" fillId="5" borderId="7" xfId="5" applyNumberFormat="1" applyFont="1" applyFill="1" applyBorder="1"/>
    <xf numFmtId="164" fontId="18" fillId="0" borderId="5" xfId="1" applyNumberFormat="1" applyFont="1" applyFill="1" applyBorder="1"/>
    <xf numFmtId="165" fontId="8" fillId="0" borderId="1" xfId="5" applyNumberFormat="1" applyFont="1" applyBorder="1"/>
    <xf numFmtId="0" fontId="40" fillId="0" borderId="11" xfId="0" applyFont="1" applyFill="1" applyBorder="1"/>
    <xf numFmtId="9" fontId="36" fillId="6" borderId="15" xfId="8" applyFont="1" applyFill="1" applyBorder="1"/>
    <xf numFmtId="0" fontId="32" fillId="16" borderId="15" xfId="122" applyFont="1" applyFill="1" applyBorder="1"/>
    <xf numFmtId="164" fontId="18" fillId="0" borderId="0" xfId="1" applyNumberFormat="1" applyFont="1" applyFill="1"/>
    <xf numFmtId="0" fontId="32" fillId="16" borderId="1" xfId="122" applyFont="1" applyFill="1" applyBorder="1"/>
    <xf numFmtId="0" fontId="28" fillId="0" borderId="0" xfId="0" applyFont="1" applyAlignment="1">
      <alignment horizontal="center"/>
    </xf>
    <xf numFmtId="0" fontId="2" fillId="9" borderId="0" xfId="0" applyFont="1" applyFill="1" applyAlignment="1">
      <alignment horizontal="center"/>
    </xf>
    <xf numFmtId="0" fontId="2" fillId="4" borderId="0" xfId="0" applyFont="1" applyFill="1" applyAlignment="1">
      <alignment horizontal="center"/>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xf numFmtId="0" fontId="2" fillId="13" borderId="0" xfId="0" applyFont="1" applyFill="1" applyAlignment="1">
      <alignment horizontal="center"/>
    </xf>
    <xf numFmtId="0" fontId="2" fillId="2" borderId="0" xfId="0" applyFont="1" applyFill="1" applyBorder="1" applyAlignment="1">
      <alignment horizontal="center"/>
    </xf>
    <xf numFmtId="164" fontId="53" fillId="0" borderId="0" xfId="0" applyNumberFormat="1" applyFont="1"/>
    <xf numFmtId="166" fontId="39" fillId="0" borderId="0" xfId="5" applyNumberFormat="1" applyFont="1" applyFill="1" applyBorder="1"/>
    <xf numFmtId="0" fontId="8" fillId="0" borderId="15" xfId="0" applyFont="1" applyBorder="1" applyAlignment="1">
      <alignment horizontal="left" indent="1"/>
    </xf>
    <xf numFmtId="0" fontId="8" fillId="0" borderId="15" xfId="0" applyFont="1" applyBorder="1" applyAlignment="1">
      <alignment horizontal="left" indent="2"/>
    </xf>
    <xf numFmtId="0" fontId="8" fillId="0" borderId="4" xfId="0" applyFont="1" applyBorder="1" applyAlignment="1">
      <alignment horizontal="right"/>
    </xf>
    <xf numFmtId="0" fontId="8" fillId="0" borderId="1" xfId="0" applyFont="1" applyBorder="1" applyAlignment="1">
      <alignment horizontal="right"/>
    </xf>
    <xf numFmtId="0" fontId="58" fillId="0" borderId="0" xfId="0" applyFont="1" applyFill="1" applyAlignment="1">
      <alignment horizontal="left"/>
    </xf>
    <xf numFmtId="165" fontId="8" fillId="0" borderId="15" xfId="5" applyNumberFormat="1" applyFont="1" applyBorder="1"/>
    <xf numFmtId="0" fontId="8" fillId="5" borderId="15" xfId="0" applyFont="1" applyFill="1" applyBorder="1" applyAlignment="1">
      <alignment horizontal="right" indent="1"/>
    </xf>
    <xf numFmtId="164" fontId="8" fillId="5" borderId="15" xfId="0" applyNumberFormat="1" applyFont="1" applyFill="1" applyBorder="1"/>
    <xf numFmtId="164" fontId="8" fillId="5" borderId="15" xfId="1" applyNumberFormat="1" applyFont="1" applyFill="1" applyBorder="1"/>
    <xf numFmtId="165" fontId="8" fillId="5" borderId="15" xfId="5" applyNumberFormat="1" applyFont="1" applyFill="1" applyBorder="1"/>
    <xf numFmtId="166" fontId="8" fillId="5" borderId="15" xfId="5" applyNumberFormat="1" applyFont="1" applyFill="1" applyBorder="1"/>
    <xf numFmtId="0" fontId="2" fillId="0" borderId="0" xfId="0" applyFont="1"/>
    <xf numFmtId="175" fontId="8" fillId="0" borderId="0" xfId="0" applyNumberFormat="1" applyFont="1"/>
    <xf numFmtId="9" fontId="17" fillId="0" borderId="0" xfId="8" applyFont="1" applyFill="1" applyBorder="1"/>
    <xf numFmtId="0" fontId="30" fillId="0" borderId="6" xfId="117" applyFont="1" applyFill="1" applyBorder="1"/>
    <xf numFmtId="44" fontId="39" fillId="0" borderId="0" xfId="0" applyNumberFormat="1" applyFont="1" applyFill="1"/>
    <xf numFmtId="165" fontId="39" fillId="0" borderId="0" xfId="0" applyNumberFormat="1" applyFont="1" applyFill="1"/>
    <xf numFmtId="0" fontId="84" fillId="0" borderId="0" xfId="0" applyFont="1"/>
    <xf numFmtId="0" fontId="39" fillId="0" borderId="0" xfId="0" applyFont="1" applyFill="1" applyBorder="1"/>
    <xf numFmtId="9" fontId="16" fillId="0" borderId="0" xfId="8" applyFont="1"/>
    <xf numFmtId="165" fontId="18" fillId="0" borderId="2" xfId="5" applyNumberFormat="1" applyFont="1" applyBorder="1"/>
    <xf numFmtId="165" fontId="18" fillId="0" borderId="7" xfId="5" applyNumberFormat="1" applyFont="1" applyBorder="1"/>
    <xf numFmtId="9" fontId="8" fillId="0" borderId="0" xfId="8" applyFont="1" applyBorder="1"/>
    <xf numFmtId="0" fontId="65" fillId="0" borderId="1" xfId="0" applyFont="1" applyBorder="1" applyAlignment="1">
      <alignment horizontal="center"/>
    </xf>
    <xf numFmtId="0" fontId="66" fillId="0" borderId="3" xfId="0" applyFont="1" applyFill="1" applyBorder="1" applyAlignment="1">
      <alignment horizontal="center"/>
    </xf>
    <xf numFmtId="0" fontId="30" fillId="3" borderId="1" xfId="133" applyFont="1" applyFill="1" applyBorder="1"/>
    <xf numFmtId="0" fontId="30" fillId="3" borderId="4" xfId="133" applyFont="1" applyFill="1" applyBorder="1"/>
    <xf numFmtId="0" fontId="30" fillId="3" borderId="3" xfId="133" applyFont="1" applyFill="1" applyBorder="1"/>
    <xf numFmtId="0" fontId="71" fillId="0" borderId="0" xfId="117" quotePrefix="1" applyFont="1"/>
    <xf numFmtId="0" fontId="66" fillId="0" borderId="4" xfId="0" applyFont="1" applyFill="1" applyBorder="1" applyAlignment="1">
      <alignment horizontal="center"/>
    </xf>
    <xf numFmtId="0" fontId="55" fillId="0" borderId="4" xfId="117" applyFont="1" applyFill="1" applyBorder="1" applyAlignment="1">
      <alignment horizontal="left"/>
    </xf>
    <xf numFmtId="0" fontId="30" fillId="0" borderId="12" xfId="117" applyFont="1" applyFill="1" applyBorder="1"/>
    <xf numFmtId="166" fontId="35" fillId="0" borderId="0" xfId="5" applyNumberFormat="1" applyFont="1" applyFill="1" applyBorder="1" applyAlignment="1"/>
    <xf numFmtId="171" fontId="39" fillId="0" borderId="0" xfId="5" applyNumberFormat="1" applyFont="1" applyBorder="1"/>
    <xf numFmtId="171" fontId="39" fillId="0" borderId="8" xfId="5" applyNumberFormat="1" applyFont="1" applyBorder="1"/>
    <xf numFmtId="0" fontId="58" fillId="17" borderId="0" xfId="0" applyFont="1" applyFill="1" applyAlignment="1">
      <alignment horizontal="left"/>
    </xf>
    <xf numFmtId="0" fontId="8" fillId="17" borderId="0" xfId="0" applyFont="1" applyFill="1"/>
    <xf numFmtId="0" fontId="60" fillId="0" borderId="0" xfId="0" applyFont="1" applyAlignment="1">
      <alignment horizontal="center"/>
    </xf>
    <xf numFmtId="0" fontId="60" fillId="0" borderId="0" xfId="0" applyFont="1" applyBorder="1" applyAlignment="1">
      <alignment horizontal="center"/>
    </xf>
    <xf numFmtId="0" fontId="56" fillId="0" borderId="0" xfId="0" applyFont="1" applyFill="1" applyAlignment="1">
      <alignment horizontal="left"/>
    </xf>
    <xf numFmtId="0" fontId="8" fillId="0" borderId="1" xfId="0" quotePrefix="1" applyFont="1" applyFill="1" applyBorder="1"/>
    <xf numFmtId="0" fontId="8" fillId="0" borderId="0" xfId="0" applyFont="1" applyFill="1" applyAlignment="1">
      <alignment horizontal="right"/>
    </xf>
    <xf numFmtId="0" fontId="8" fillId="0" borderId="1" xfId="0" applyFont="1" applyFill="1" applyBorder="1"/>
    <xf numFmtId="166" fontId="35" fillId="0" borderId="7" xfId="5" applyNumberFormat="1" applyFont="1" applyFill="1" applyBorder="1"/>
    <xf numFmtId="0" fontId="1" fillId="0" borderId="9" xfId="0" applyFont="1" applyFill="1" applyBorder="1"/>
    <xf numFmtId="0" fontId="8" fillId="7" borderId="13" xfId="0" applyFont="1" applyFill="1" applyBorder="1" applyAlignment="1">
      <alignment horizontal="center"/>
    </xf>
    <xf numFmtId="0" fontId="8" fillId="0" borderId="13" xfId="0" applyFont="1" applyBorder="1" applyAlignment="1">
      <alignment horizontal="center" vertical="center" wrapText="1"/>
    </xf>
    <xf numFmtId="0" fontId="8" fillId="0" borderId="13" xfId="0" applyFont="1" applyFill="1" applyBorder="1" applyAlignment="1">
      <alignment horizontal="center"/>
    </xf>
    <xf numFmtId="0" fontId="32" fillId="0" borderId="13" xfId="0" applyFont="1" applyBorder="1" applyAlignment="1">
      <alignment horizontal="center"/>
    </xf>
    <xf numFmtId="167" fontId="8" fillId="0" borderId="0" xfId="8" applyNumberFormat="1" applyFont="1" applyBorder="1"/>
    <xf numFmtId="164" fontId="39" fillId="0" borderId="0" xfId="0" applyNumberFormat="1" applyFont="1" applyFill="1"/>
    <xf numFmtId="0" fontId="8" fillId="0" borderId="12" xfId="0" applyFont="1" applyFill="1" applyBorder="1"/>
    <xf numFmtId="165" fontId="67" fillId="0" borderId="0" xfId="5" applyNumberFormat="1" applyFont="1" applyFill="1"/>
    <xf numFmtId="0" fontId="2" fillId="6" borderId="13" xfId="0" applyFont="1" applyFill="1" applyBorder="1" applyAlignment="1">
      <alignment horizontal="center"/>
    </xf>
    <xf numFmtId="0" fontId="2" fillId="15" borderId="13" xfId="0" applyFont="1" applyFill="1" applyBorder="1" applyAlignment="1">
      <alignment horizontal="center"/>
    </xf>
    <xf numFmtId="0" fontId="2" fillId="18" borderId="14" xfId="0" applyFont="1" applyFill="1" applyBorder="1" applyAlignment="1">
      <alignment horizontal="center"/>
    </xf>
    <xf numFmtId="0" fontId="2" fillId="17" borderId="17" xfId="0" applyFont="1" applyFill="1" applyBorder="1" applyAlignment="1">
      <alignment horizontal="center"/>
    </xf>
    <xf numFmtId="0" fontId="67" fillId="0" borderId="13" xfId="0" applyFont="1" applyFill="1" applyBorder="1" applyAlignment="1">
      <alignment horizontal="center"/>
    </xf>
    <xf numFmtId="0" fontId="68" fillId="14" borderId="3" xfId="0" applyFont="1" applyFill="1" applyBorder="1" applyAlignment="1">
      <alignment horizontal="center"/>
    </xf>
    <xf numFmtId="0" fontId="56" fillId="4" borderId="15" xfId="117" applyFont="1" applyFill="1" applyBorder="1" applyAlignment="1">
      <alignment horizontal="center" vertical="center"/>
    </xf>
    <xf numFmtId="0" fontId="55" fillId="0" borderId="10" xfId="0" applyFont="1" applyBorder="1" applyAlignment="1">
      <alignment horizontal="center"/>
    </xf>
    <xf numFmtId="0" fontId="55" fillId="0" borderId="0" xfId="0" applyFont="1" applyBorder="1" applyAlignment="1">
      <alignment horizontal="center"/>
    </xf>
    <xf numFmtId="0" fontId="55" fillId="0" borderId="8" xfId="0" applyFont="1" applyFill="1" applyBorder="1" applyAlignment="1">
      <alignment horizontal="center"/>
    </xf>
    <xf numFmtId="0" fontId="55" fillId="0" borderId="0" xfId="0" applyFont="1" applyFill="1" applyAlignment="1">
      <alignment horizontal="center"/>
    </xf>
    <xf numFmtId="0" fontId="55" fillId="0" borderId="12" xfId="0" applyFont="1" applyFill="1" applyBorder="1" applyAlignment="1">
      <alignment horizontal="center"/>
    </xf>
    <xf numFmtId="0" fontId="55" fillId="0" borderId="14" xfId="0" applyFont="1" applyFill="1" applyBorder="1" applyAlignment="1">
      <alignment horizontal="center"/>
    </xf>
    <xf numFmtId="0" fontId="66" fillId="0" borderId="3" xfId="0" applyFont="1" applyBorder="1" applyAlignment="1">
      <alignment horizontal="center"/>
    </xf>
    <xf numFmtId="0" fontId="65" fillId="0" borderId="3" xfId="0" applyFont="1" applyFill="1" applyBorder="1" applyAlignment="1">
      <alignment horizontal="center"/>
    </xf>
    <xf numFmtId="0" fontId="65" fillId="0" borderId="4" xfId="0" applyFont="1" applyBorder="1" applyAlignment="1">
      <alignment horizontal="center"/>
    </xf>
    <xf numFmtId="0" fontId="66" fillId="0" borderId="15" xfId="0" applyFont="1" applyFill="1" applyBorder="1" applyAlignment="1">
      <alignment horizontal="center"/>
    </xf>
    <xf numFmtId="0" fontId="65" fillId="0" borderId="15" xfId="0" applyFont="1" applyFill="1" applyBorder="1" applyAlignment="1">
      <alignment horizontal="center"/>
    </xf>
    <xf numFmtId="0" fontId="66" fillId="0" borderId="1" xfId="0" applyFont="1" applyFill="1" applyBorder="1" applyAlignment="1">
      <alignment horizontal="center"/>
    </xf>
    <xf numFmtId="0" fontId="65" fillId="0" borderId="1" xfId="0" applyFont="1" applyFill="1" applyBorder="1" applyAlignment="1">
      <alignment horizontal="center"/>
    </xf>
    <xf numFmtId="0" fontId="65" fillId="0" borderId="4" xfId="0" applyFont="1" applyFill="1" applyBorder="1" applyAlignment="1">
      <alignment horizontal="center"/>
    </xf>
    <xf numFmtId="0" fontId="65" fillId="0" borderId="3" xfId="0" applyFont="1" applyBorder="1" applyAlignment="1">
      <alignment horizontal="center"/>
    </xf>
    <xf numFmtId="0" fontId="55" fillId="0" borderId="13" xfId="0" applyFont="1" applyFill="1" applyBorder="1" applyAlignment="1">
      <alignment horizontal="center"/>
    </xf>
    <xf numFmtId="0" fontId="55" fillId="0" borderId="12" xfId="0" applyFont="1" applyBorder="1" applyAlignment="1">
      <alignment horizontal="center"/>
    </xf>
    <xf numFmtId="0" fontId="55" fillId="0" borderId="1" xfId="117" applyFont="1" applyFill="1" applyBorder="1" applyAlignment="1">
      <alignment horizontal="center"/>
    </xf>
    <xf numFmtId="0" fontId="55" fillId="0" borderId="4" xfId="117" applyFont="1" applyFill="1" applyBorder="1" applyAlignment="1">
      <alignment horizontal="center"/>
    </xf>
    <xf numFmtId="0" fontId="55" fillId="0" borderId="15" xfId="117" applyFont="1" applyFill="1" applyBorder="1" applyAlignment="1">
      <alignment horizontal="center"/>
    </xf>
    <xf numFmtId="0" fontId="55" fillId="0" borderId="3" xfId="117" applyFont="1" applyFill="1" applyBorder="1" applyAlignment="1">
      <alignment horizontal="center"/>
    </xf>
    <xf numFmtId="0" fontId="55" fillId="0" borderId="1" xfId="133" applyFont="1" applyFill="1" applyBorder="1" applyAlignment="1">
      <alignment horizontal="center"/>
    </xf>
    <xf numFmtId="0" fontId="55" fillId="0" borderId="4" xfId="133" applyFont="1" applyFill="1" applyBorder="1" applyAlignment="1">
      <alignment horizontal="center"/>
    </xf>
    <xf numFmtId="0" fontId="55" fillId="0" borderId="15" xfId="133" applyFont="1" applyFill="1" applyBorder="1" applyAlignment="1">
      <alignment horizontal="center"/>
    </xf>
    <xf numFmtId="3" fontId="55" fillId="0" borderId="0" xfId="0" applyNumberFormat="1" applyFont="1" applyFill="1" applyAlignment="1">
      <alignment horizontal="center"/>
    </xf>
    <xf numFmtId="164" fontId="8" fillId="0" borderId="18" xfId="0" applyNumberFormat="1" applyFont="1" applyFill="1" applyBorder="1"/>
    <xf numFmtId="164" fontId="8" fillId="0" borderId="16" xfId="0" applyNumberFormat="1" applyFont="1" applyFill="1" applyBorder="1"/>
    <xf numFmtId="0" fontId="2" fillId="5" borderId="19" xfId="0" applyFont="1" applyFill="1" applyBorder="1" applyAlignment="1">
      <alignment horizontal="center"/>
    </xf>
    <xf numFmtId="164" fontId="8" fillId="0" borderId="0" xfId="1" applyNumberFormat="1" applyFont="1" applyFill="1"/>
    <xf numFmtId="44" fontId="17" fillId="5" borderId="0" xfId="5" applyNumberFormat="1" applyFont="1" applyFill="1" applyBorder="1"/>
    <xf numFmtId="164" fontId="18" fillId="0" borderId="5" xfId="1" applyNumberFormat="1" applyFont="1" applyBorder="1"/>
    <xf numFmtId="166" fontId="18" fillId="0" borderId="5" xfId="5" applyNumberFormat="1" applyFont="1" applyBorder="1"/>
    <xf numFmtId="44" fontId="39" fillId="0" borderId="0" xfId="0" applyNumberFormat="1" applyFont="1" applyBorder="1"/>
    <xf numFmtId="0" fontId="51" fillId="0" borderId="9" xfId="0" applyFont="1" applyFill="1" applyBorder="1" applyAlignment="1">
      <alignment horizontal="left"/>
    </xf>
    <xf numFmtId="0" fontId="51" fillId="0" borderId="5" xfId="0" applyFont="1" applyFill="1" applyBorder="1" applyAlignment="1">
      <alignment horizontal="left"/>
    </xf>
    <xf numFmtId="164" fontId="39" fillId="0" borderId="0" xfId="1" applyNumberFormat="1" applyFont="1" applyBorder="1"/>
    <xf numFmtId="0" fontId="18" fillId="0" borderId="2" xfId="0" applyFont="1" applyBorder="1"/>
    <xf numFmtId="0" fontId="29" fillId="0" borderId="0" xfId="0" applyFont="1" applyFill="1"/>
    <xf numFmtId="43" fontId="18" fillId="0" borderId="0" xfId="0" applyNumberFormat="1" applyFont="1" applyFill="1"/>
    <xf numFmtId="0" fontId="39" fillId="0" borderId="0" xfId="0" applyFont="1" applyFill="1" applyAlignment="1">
      <alignment horizontal="right"/>
    </xf>
    <xf numFmtId="44" fontId="18" fillId="0" borderId="0" xfId="0" applyNumberFormat="1" applyFont="1" applyFill="1"/>
    <xf numFmtId="0" fontId="26" fillId="0" borderId="0" xfId="0" applyFont="1" applyFill="1"/>
    <xf numFmtId="0" fontId="36" fillId="0" borderId="0" xfId="0" applyFont="1" applyFill="1"/>
    <xf numFmtId="0" fontId="35" fillId="0" borderId="5" xfId="0" applyFont="1" applyFill="1" applyBorder="1"/>
    <xf numFmtId="0" fontId="35" fillId="0" borderId="14" xfId="0" applyFont="1" applyFill="1" applyBorder="1"/>
    <xf numFmtId="44" fontId="18" fillId="0" borderId="0" xfId="5" applyNumberFormat="1" applyFont="1" applyFill="1" applyBorder="1"/>
    <xf numFmtId="165" fontId="8" fillId="0" borderId="0" xfId="5" applyNumberFormat="1" applyFont="1" applyFill="1"/>
    <xf numFmtId="0" fontId="39" fillId="0" borderId="0" xfId="0" applyFont="1" applyBorder="1" applyAlignment="1">
      <alignment horizontal="center"/>
    </xf>
    <xf numFmtId="0" fontId="55" fillId="0" borderId="4" xfId="0" applyFont="1" applyFill="1" applyBorder="1" applyAlignment="1">
      <alignment horizontal="center"/>
    </xf>
    <xf numFmtId="164" fontId="35" fillId="0" borderId="12" xfId="1" applyNumberFormat="1" applyFont="1" applyFill="1" applyBorder="1"/>
    <xf numFmtId="164" fontId="35" fillId="0" borderId="13" xfId="1" applyNumberFormat="1" applyFont="1" applyFill="1" applyBorder="1"/>
    <xf numFmtId="164" fontId="35" fillId="0" borderId="14" xfId="1" applyNumberFormat="1" applyFont="1" applyFill="1" applyBorder="1"/>
    <xf numFmtId="165" fontId="35" fillId="0" borderId="13" xfId="5" applyNumberFormat="1" applyFont="1" applyFill="1" applyBorder="1"/>
    <xf numFmtId="9" fontId="8" fillId="0" borderId="13" xfId="8" applyFont="1" applyBorder="1"/>
    <xf numFmtId="164" fontId="8" fillId="0" borderId="12" xfId="1" applyNumberFormat="1" applyFont="1" applyBorder="1"/>
    <xf numFmtId="165" fontId="8" fillId="0" borderId="13" xfId="5" applyNumberFormat="1" applyFont="1" applyBorder="1"/>
    <xf numFmtId="165" fontId="8" fillId="0" borderId="14" xfId="5" applyNumberFormat="1" applyFont="1" applyBorder="1"/>
    <xf numFmtId="0" fontId="49" fillId="0" borderId="0" xfId="117" applyFont="1"/>
    <xf numFmtId="0" fontId="86" fillId="3" borderId="0" xfId="0" applyFont="1" applyFill="1" applyAlignment="1">
      <alignment horizontal="left" vertical="center" wrapText="1"/>
    </xf>
    <xf numFmtId="17" fontId="87" fillId="3" borderId="0" xfId="7" quotePrefix="1" applyNumberFormat="1" applyFont="1" applyFill="1" applyAlignment="1">
      <alignment horizontal="left"/>
    </xf>
    <xf numFmtId="0" fontId="23" fillId="3" borderId="0" xfId="0" applyFont="1" applyFill="1" applyAlignment="1" applyProtection="1">
      <alignment wrapText="1"/>
      <protection locked="0"/>
    </xf>
    <xf numFmtId="0" fontId="41" fillId="4" borderId="2" xfId="117" applyFont="1" applyFill="1" applyBorder="1" applyAlignment="1">
      <alignment horizontal="center" vertical="center"/>
    </xf>
    <xf numFmtId="0" fontId="41" fillId="4" borderId="7" xfId="117" applyFont="1" applyFill="1" applyBorder="1" applyAlignment="1">
      <alignment horizontal="center" vertical="center"/>
    </xf>
    <xf numFmtId="0" fontId="41" fillId="4" borderId="11" xfId="117" applyFont="1" applyFill="1" applyBorder="1" applyAlignment="1">
      <alignment horizontal="center" vertical="center"/>
    </xf>
    <xf numFmtId="0" fontId="59" fillId="0" borderId="6" xfId="117" applyFont="1" applyBorder="1" applyAlignment="1">
      <alignment horizontal="left" wrapText="1"/>
    </xf>
    <xf numFmtId="0" fontId="59" fillId="0" borderId="10" xfId="117" applyFont="1" applyBorder="1" applyAlignment="1">
      <alignment horizontal="left" wrapText="1"/>
    </xf>
    <xf numFmtId="0" fontId="59" fillId="0" borderId="12" xfId="117" applyFont="1" applyBorder="1" applyAlignment="1">
      <alignment horizontal="left" wrapText="1"/>
    </xf>
    <xf numFmtId="0" fontId="59" fillId="0" borderId="9" xfId="117" applyFont="1" applyBorder="1" applyAlignment="1">
      <alignment horizontal="left" wrapText="1"/>
    </xf>
    <xf numFmtId="0" fontId="59" fillId="0" borderId="0" xfId="117" applyFont="1" applyBorder="1" applyAlignment="1">
      <alignment horizontal="left" wrapText="1"/>
    </xf>
    <xf numFmtId="0" fontId="59" fillId="0" borderId="13" xfId="117" applyFont="1" applyBorder="1" applyAlignment="1">
      <alignment horizontal="left" wrapText="1"/>
    </xf>
    <xf numFmtId="0" fontId="49" fillId="0" borderId="1" xfId="117" applyFont="1" applyFill="1" applyBorder="1" applyAlignment="1">
      <alignment horizontal="center" vertical="center"/>
    </xf>
    <xf numFmtId="0" fontId="49" fillId="0" borderId="3" xfId="117" applyFont="1" applyFill="1" applyBorder="1" applyAlignment="1">
      <alignment horizontal="center" vertical="center"/>
    </xf>
    <xf numFmtId="0" fontId="49" fillId="0" borderId="4" xfId="117" applyFont="1" applyFill="1" applyBorder="1" applyAlignment="1">
      <alignment horizontal="center" vertical="center"/>
    </xf>
    <xf numFmtId="0" fontId="62" fillId="6" borderId="2" xfId="122" applyFont="1" applyFill="1" applyBorder="1" applyAlignment="1">
      <alignment horizontal="center"/>
    </xf>
    <xf numFmtId="0" fontId="62" fillId="6" borderId="7" xfId="122" applyFont="1" applyFill="1" applyBorder="1" applyAlignment="1">
      <alignment horizontal="center"/>
    </xf>
    <xf numFmtId="0" fontId="62" fillId="6" borderId="11" xfId="122" applyFont="1" applyFill="1" applyBorder="1" applyAlignment="1">
      <alignment horizontal="center"/>
    </xf>
    <xf numFmtId="0" fontId="48" fillId="6" borderId="2" xfId="122" applyFont="1" applyFill="1" applyBorder="1" applyAlignment="1">
      <alignment horizontal="center"/>
    </xf>
    <xf numFmtId="0" fontId="48" fillId="6" borderId="7" xfId="122" applyFont="1" applyFill="1" applyBorder="1" applyAlignment="1">
      <alignment horizontal="center"/>
    </xf>
    <xf numFmtId="0" fontId="48" fillId="6" borderId="11" xfId="122" applyFont="1" applyFill="1" applyBorder="1" applyAlignment="1">
      <alignment horizontal="center"/>
    </xf>
    <xf numFmtId="0" fontId="70" fillId="8" borderId="0" xfId="0" quotePrefix="1" applyFont="1" applyFill="1" applyBorder="1" applyAlignment="1">
      <alignment horizontal="center" vertical="center"/>
    </xf>
    <xf numFmtId="0" fontId="70" fillId="8" borderId="13" xfId="0" quotePrefix="1" applyFont="1" applyFill="1" applyBorder="1" applyAlignment="1">
      <alignment horizontal="center" vertical="center"/>
    </xf>
    <xf numFmtId="0" fontId="30" fillId="2" borderId="2" xfId="0" applyFont="1" applyFill="1" applyBorder="1" applyAlignment="1">
      <alignment horizontal="center" wrapText="1"/>
    </xf>
    <xf numFmtId="0" fontId="30" fillId="2" borderId="7" xfId="0" applyFont="1" applyFill="1" applyBorder="1" applyAlignment="1">
      <alignment horizontal="center" wrapText="1"/>
    </xf>
    <xf numFmtId="0" fontId="30" fillId="2" borderId="11" xfId="0" applyFont="1" applyFill="1" applyBorder="1" applyAlignment="1">
      <alignment horizontal="center" wrapText="1"/>
    </xf>
  </cellXfs>
  <cellStyles count="441">
    <cellStyle name="%" xfId="173" xr:uid="{00000000-0005-0000-0000-000000000000}"/>
    <cellStyle name="Comma" xfId="1" builtinId="3"/>
    <cellStyle name="Comma 2" xfId="2" xr:uid="{00000000-0005-0000-0000-000002000000}"/>
    <cellStyle name="Comma 2 2" xfId="128" xr:uid="{00000000-0005-0000-0000-000003000000}"/>
    <cellStyle name="Comma 2 2 2" xfId="162" xr:uid="{00000000-0005-0000-0000-000004000000}"/>
    <cellStyle name="Comma 3" xfId="3" xr:uid="{00000000-0005-0000-0000-000005000000}"/>
    <cellStyle name="Comma 3 2" xfId="127" xr:uid="{00000000-0005-0000-0000-000006000000}"/>
    <cellStyle name="Comma 3 2 2" xfId="163" xr:uid="{00000000-0005-0000-0000-000007000000}"/>
    <cellStyle name="Comma 3 2 3" xfId="165" xr:uid="{00000000-0005-0000-0000-000008000000}"/>
    <cellStyle name="Comma 4" xfId="4" xr:uid="{00000000-0005-0000-0000-000009000000}"/>
    <cellStyle name="Comma 5" xfId="118" xr:uid="{00000000-0005-0000-0000-00000A000000}"/>
    <cellStyle name="Comma 5 2" xfId="123" xr:uid="{00000000-0005-0000-0000-00000B000000}"/>
    <cellStyle name="Comma 5 2 2" xfId="174" xr:uid="{00000000-0005-0000-0000-00000C000000}"/>
    <cellStyle name="Comma 5 3" xfId="166" xr:uid="{00000000-0005-0000-0000-00000D000000}"/>
    <cellStyle name="Comma 6" xfId="121" xr:uid="{00000000-0005-0000-0000-00000E000000}"/>
    <cellStyle name="Comma 7" xfId="130" xr:uid="{00000000-0005-0000-0000-00000F000000}"/>
    <cellStyle name="Comma 8" xfId="170" xr:uid="{00000000-0005-0000-0000-000010000000}"/>
    <cellStyle name="Comma 9" xfId="175" xr:uid="{00000000-0005-0000-0000-000011000000}"/>
    <cellStyle name="Currency" xfId="5" builtinId="4"/>
    <cellStyle name="Currency 2" xfId="6" xr:uid="{00000000-0005-0000-0000-000013000000}"/>
    <cellStyle name="Currency 2 10" xfId="176" xr:uid="{00000000-0005-0000-0000-000014000000}"/>
    <cellStyle name="Currency 2 100" xfId="177" xr:uid="{00000000-0005-0000-0000-000015000000}"/>
    <cellStyle name="Currency 2 101" xfId="178" xr:uid="{00000000-0005-0000-0000-000016000000}"/>
    <cellStyle name="Currency 2 102" xfId="179" xr:uid="{00000000-0005-0000-0000-000017000000}"/>
    <cellStyle name="Currency 2 103" xfId="180" xr:uid="{00000000-0005-0000-0000-000018000000}"/>
    <cellStyle name="Currency 2 104" xfId="181" xr:uid="{00000000-0005-0000-0000-000019000000}"/>
    <cellStyle name="Currency 2 105" xfId="182" xr:uid="{00000000-0005-0000-0000-00001A000000}"/>
    <cellStyle name="Currency 2 106" xfId="183" xr:uid="{00000000-0005-0000-0000-00001B000000}"/>
    <cellStyle name="Currency 2 107" xfId="184" xr:uid="{00000000-0005-0000-0000-00001C000000}"/>
    <cellStyle name="Currency 2 108" xfId="185" xr:uid="{00000000-0005-0000-0000-00001D000000}"/>
    <cellStyle name="Currency 2 109" xfId="186" xr:uid="{00000000-0005-0000-0000-00001E000000}"/>
    <cellStyle name="Currency 2 11" xfId="187" xr:uid="{00000000-0005-0000-0000-00001F000000}"/>
    <cellStyle name="Currency 2 110" xfId="188" xr:uid="{00000000-0005-0000-0000-000020000000}"/>
    <cellStyle name="Currency 2 111" xfId="189" xr:uid="{00000000-0005-0000-0000-000021000000}"/>
    <cellStyle name="Currency 2 112" xfId="190" xr:uid="{00000000-0005-0000-0000-000022000000}"/>
    <cellStyle name="Currency 2 113" xfId="191" xr:uid="{00000000-0005-0000-0000-000023000000}"/>
    <cellStyle name="Currency 2 114" xfId="192" xr:uid="{00000000-0005-0000-0000-000024000000}"/>
    <cellStyle name="Currency 2 115" xfId="193" xr:uid="{00000000-0005-0000-0000-000025000000}"/>
    <cellStyle name="Currency 2 116" xfId="194" xr:uid="{00000000-0005-0000-0000-000026000000}"/>
    <cellStyle name="Currency 2 117" xfId="195" xr:uid="{00000000-0005-0000-0000-000027000000}"/>
    <cellStyle name="Currency 2 118" xfId="196" xr:uid="{00000000-0005-0000-0000-000028000000}"/>
    <cellStyle name="Currency 2 119" xfId="197" xr:uid="{00000000-0005-0000-0000-000029000000}"/>
    <cellStyle name="Currency 2 12" xfId="198" xr:uid="{00000000-0005-0000-0000-00002A000000}"/>
    <cellStyle name="Currency 2 120" xfId="199" xr:uid="{00000000-0005-0000-0000-00002B000000}"/>
    <cellStyle name="Currency 2 121" xfId="200" xr:uid="{00000000-0005-0000-0000-00002C000000}"/>
    <cellStyle name="Currency 2 122" xfId="201" xr:uid="{00000000-0005-0000-0000-00002D000000}"/>
    <cellStyle name="Currency 2 123" xfId="202" xr:uid="{00000000-0005-0000-0000-00002E000000}"/>
    <cellStyle name="Currency 2 124" xfId="203" xr:uid="{00000000-0005-0000-0000-00002F000000}"/>
    <cellStyle name="Currency 2 125" xfId="204" xr:uid="{00000000-0005-0000-0000-000030000000}"/>
    <cellStyle name="Currency 2 126" xfId="205" xr:uid="{00000000-0005-0000-0000-000031000000}"/>
    <cellStyle name="Currency 2 127" xfId="206" xr:uid="{00000000-0005-0000-0000-000032000000}"/>
    <cellStyle name="Currency 2 128" xfId="207" xr:uid="{00000000-0005-0000-0000-000033000000}"/>
    <cellStyle name="Currency 2 129" xfId="208" xr:uid="{00000000-0005-0000-0000-000034000000}"/>
    <cellStyle name="Currency 2 13" xfId="209" xr:uid="{00000000-0005-0000-0000-000035000000}"/>
    <cellStyle name="Currency 2 130" xfId="210" xr:uid="{00000000-0005-0000-0000-000036000000}"/>
    <cellStyle name="Currency 2 131" xfId="211" xr:uid="{00000000-0005-0000-0000-000037000000}"/>
    <cellStyle name="Currency 2 132" xfId="212" xr:uid="{00000000-0005-0000-0000-000038000000}"/>
    <cellStyle name="Currency 2 133" xfId="213" xr:uid="{00000000-0005-0000-0000-000039000000}"/>
    <cellStyle name="Currency 2 134" xfId="214" xr:uid="{00000000-0005-0000-0000-00003A000000}"/>
    <cellStyle name="Currency 2 135" xfId="215" xr:uid="{00000000-0005-0000-0000-00003B000000}"/>
    <cellStyle name="Currency 2 136" xfId="216" xr:uid="{00000000-0005-0000-0000-00003C000000}"/>
    <cellStyle name="Currency 2 137" xfId="217" xr:uid="{00000000-0005-0000-0000-00003D000000}"/>
    <cellStyle name="Currency 2 138" xfId="218" xr:uid="{00000000-0005-0000-0000-00003E000000}"/>
    <cellStyle name="Currency 2 139" xfId="219" xr:uid="{00000000-0005-0000-0000-00003F000000}"/>
    <cellStyle name="Currency 2 14" xfId="220" xr:uid="{00000000-0005-0000-0000-000040000000}"/>
    <cellStyle name="Currency 2 140" xfId="221" xr:uid="{00000000-0005-0000-0000-000041000000}"/>
    <cellStyle name="Currency 2 141" xfId="222" xr:uid="{00000000-0005-0000-0000-000042000000}"/>
    <cellStyle name="Currency 2 142" xfId="223" xr:uid="{00000000-0005-0000-0000-000043000000}"/>
    <cellStyle name="Currency 2 143" xfId="224" xr:uid="{00000000-0005-0000-0000-000044000000}"/>
    <cellStyle name="Currency 2 144" xfId="225" xr:uid="{00000000-0005-0000-0000-000045000000}"/>
    <cellStyle name="Currency 2 145" xfId="226" xr:uid="{00000000-0005-0000-0000-000046000000}"/>
    <cellStyle name="Currency 2 146" xfId="227" xr:uid="{00000000-0005-0000-0000-000047000000}"/>
    <cellStyle name="Currency 2 147" xfId="228" xr:uid="{00000000-0005-0000-0000-000048000000}"/>
    <cellStyle name="Currency 2 148" xfId="229" xr:uid="{00000000-0005-0000-0000-000049000000}"/>
    <cellStyle name="Currency 2 149" xfId="230" xr:uid="{00000000-0005-0000-0000-00004A000000}"/>
    <cellStyle name="Currency 2 15" xfId="231" xr:uid="{00000000-0005-0000-0000-00004B000000}"/>
    <cellStyle name="Currency 2 150" xfId="232" xr:uid="{00000000-0005-0000-0000-00004C000000}"/>
    <cellStyle name="Currency 2 151" xfId="233" xr:uid="{00000000-0005-0000-0000-00004D000000}"/>
    <cellStyle name="Currency 2 152" xfId="234" xr:uid="{00000000-0005-0000-0000-00004E000000}"/>
    <cellStyle name="Currency 2 153" xfId="235" xr:uid="{00000000-0005-0000-0000-00004F000000}"/>
    <cellStyle name="Currency 2 154" xfId="236" xr:uid="{00000000-0005-0000-0000-000050000000}"/>
    <cellStyle name="Currency 2 155" xfId="237" xr:uid="{00000000-0005-0000-0000-000051000000}"/>
    <cellStyle name="Currency 2 156" xfId="238" xr:uid="{00000000-0005-0000-0000-000052000000}"/>
    <cellStyle name="Currency 2 157" xfId="239" xr:uid="{00000000-0005-0000-0000-000053000000}"/>
    <cellStyle name="Currency 2 158" xfId="240" xr:uid="{00000000-0005-0000-0000-000054000000}"/>
    <cellStyle name="Currency 2 159" xfId="241" xr:uid="{00000000-0005-0000-0000-000055000000}"/>
    <cellStyle name="Currency 2 16" xfId="242" xr:uid="{00000000-0005-0000-0000-000056000000}"/>
    <cellStyle name="Currency 2 160" xfId="243" xr:uid="{00000000-0005-0000-0000-000057000000}"/>
    <cellStyle name="Currency 2 161" xfId="244" xr:uid="{00000000-0005-0000-0000-000058000000}"/>
    <cellStyle name="Currency 2 162" xfId="245" xr:uid="{00000000-0005-0000-0000-000059000000}"/>
    <cellStyle name="Currency 2 163" xfId="246" xr:uid="{00000000-0005-0000-0000-00005A000000}"/>
    <cellStyle name="Currency 2 164" xfId="247" xr:uid="{00000000-0005-0000-0000-00005B000000}"/>
    <cellStyle name="Currency 2 165" xfId="248" xr:uid="{00000000-0005-0000-0000-00005C000000}"/>
    <cellStyle name="Currency 2 166" xfId="249" xr:uid="{00000000-0005-0000-0000-00005D000000}"/>
    <cellStyle name="Currency 2 167" xfId="250" xr:uid="{00000000-0005-0000-0000-00005E000000}"/>
    <cellStyle name="Currency 2 168" xfId="251" xr:uid="{00000000-0005-0000-0000-00005F000000}"/>
    <cellStyle name="Currency 2 169" xfId="252" xr:uid="{00000000-0005-0000-0000-000060000000}"/>
    <cellStyle name="Currency 2 17" xfId="253" xr:uid="{00000000-0005-0000-0000-000061000000}"/>
    <cellStyle name="Currency 2 170" xfId="254" xr:uid="{00000000-0005-0000-0000-000062000000}"/>
    <cellStyle name="Currency 2 171" xfId="255" xr:uid="{00000000-0005-0000-0000-000063000000}"/>
    <cellStyle name="Currency 2 172" xfId="256" xr:uid="{00000000-0005-0000-0000-000064000000}"/>
    <cellStyle name="Currency 2 173" xfId="257" xr:uid="{00000000-0005-0000-0000-000065000000}"/>
    <cellStyle name="Currency 2 174" xfId="258" xr:uid="{00000000-0005-0000-0000-000066000000}"/>
    <cellStyle name="Currency 2 175" xfId="259" xr:uid="{00000000-0005-0000-0000-000067000000}"/>
    <cellStyle name="Currency 2 176" xfId="260" xr:uid="{00000000-0005-0000-0000-000068000000}"/>
    <cellStyle name="Currency 2 177" xfId="261" xr:uid="{00000000-0005-0000-0000-000069000000}"/>
    <cellStyle name="Currency 2 178" xfId="262" xr:uid="{00000000-0005-0000-0000-00006A000000}"/>
    <cellStyle name="Currency 2 179" xfId="263" xr:uid="{00000000-0005-0000-0000-00006B000000}"/>
    <cellStyle name="Currency 2 18" xfId="264" xr:uid="{00000000-0005-0000-0000-00006C000000}"/>
    <cellStyle name="Currency 2 180" xfId="265" xr:uid="{00000000-0005-0000-0000-00006D000000}"/>
    <cellStyle name="Currency 2 181" xfId="266" xr:uid="{00000000-0005-0000-0000-00006E000000}"/>
    <cellStyle name="Currency 2 182" xfId="267" xr:uid="{00000000-0005-0000-0000-00006F000000}"/>
    <cellStyle name="Currency 2 183" xfId="268" xr:uid="{00000000-0005-0000-0000-000070000000}"/>
    <cellStyle name="Currency 2 184" xfId="269" xr:uid="{00000000-0005-0000-0000-000071000000}"/>
    <cellStyle name="Currency 2 185" xfId="270" xr:uid="{00000000-0005-0000-0000-000072000000}"/>
    <cellStyle name="Currency 2 186" xfId="271" xr:uid="{00000000-0005-0000-0000-000073000000}"/>
    <cellStyle name="Currency 2 187" xfId="272" xr:uid="{00000000-0005-0000-0000-000074000000}"/>
    <cellStyle name="Currency 2 188" xfId="273" xr:uid="{00000000-0005-0000-0000-000075000000}"/>
    <cellStyle name="Currency 2 189" xfId="274" xr:uid="{00000000-0005-0000-0000-000076000000}"/>
    <cellStyle name="Currency 2 19" xfId="275" xr:uid="{00000000-0005-0000-0000-000077000000}"/>
    <cellStyle name="Currency 2 190" xfId="276" xr:uid="{00000000-0005-0000-0000-000078000000}"/>
    <cellStyle name="Currency 2 191" xfId="277" xr:uid="{00000000-0005-0000-0000-000079000000}"/>
    <cellStyle name="Currency 2 192" xfId="278" xr:uid="{00000000-0005-0000-0000-00007A000000}"/>
    <cellStyle name="Currency 2 193" xfId="279" xr:uid="{00000000-0005-0000-0000-00007B000000}"/>
    <cellStyle name="Currency 2 194" xfId="280" xr:uid="{00000000-0005-0000-0000-00007C000000}"/>
    <cellStyle name="Currency 2 195" xfId="281" xr:uid="{00000000-0005-0000-0000-00007D000000}"/>
    <cellStyle name="Currency 2 196" xfId="282" xr:uid="{00000000-0005-0000-0000-00007E000000}"/>
    <cellStyle name="Currency 2 197" xfId="283" xr:uid="{00000000-0005-0000-0000-00007F000000}"/>
    <cellStyle name="Currency 2 198" xfId="284" xr:uid="{00000000-0005-0000-0000-000080000000}"/>
    <cellStyle name="Currency 2 199" xfId="285" xr:uid="{00000000-0005-0000-0000-000081000000}"/>
    <cellStyle name="Currency 2 2" xfId="286" xr:uid="{00000000-0005-0000-0000-000082000000}"/>
    <cellStyle name="Currency 2 20" xfId="287" xr:uid="{00000000-0005-0000-0000-000083000000}"/>
    <cellStyle name="Currency 2 200" xfId="288" xr:uid="{00000000-0005-0000-0000-000084000000}"/>
    <cellStyle name="Currency 2 201" xfId="289" xr:uid="{00000000-0005-0000-0000-000085000000}"/>
    <cellStyle name="Currency 2 202" xfId="290" xr:uid="{00000000-0005-0000-0000-000086000000}"/>
    <cellStyle name="Currency 2 203" xfId="291" xr:uid="{00000000-0005-0000-0000-000087000000}"/>
    <cellStyle name="Currency 2 204" xfId="292" xr:uid="{00000000-0005-0000-0000-000088000000}"/>
    <cellStyle name="Currency 2 205" xfId="293" xr:uid="{00000000-0005-0000-0000-000089000000}"/>
    <cellStyle name="Currency 2 206" xfId="294" xr:uid="{00000000-0005-0000-0000-00008A000000}"/>
    <cellStyle name="Currency 2 207" xfId="295" xr:uid="{00000000-0005-0000-0000-00008B000000}"/>
    <cellStyle name="Currency 2 208" xfId="296" xr:uid="{00000000-0005-0000-0000-00008C000000}"/>
    <cellStyle name="Currency 2 209" xfId="297" xr:uid="{00000000-0005-0000-0000-00008D000000}"/>
    <cellStyle name="Currency 2 21" xfId="298" xr:uid="{00000000-0005-0000-0000-00008E000000}"/>
    <cellStyle name="Currency 2 210" xfId="299" xr:uid="{00000000-0005-0000-0000-00008F000000}"/>
    <cellStyle name="Currency 2 211" xfId="300" xr:uid="{00000000-0005-0000-0000-000090000000}"/>
    <cellStyle name="Currency 2 212" xfId="301" xr:uid="{00000000-0005-0000-0000-000091000000}"/>
    <cellStyle name="Currency 2 213" xfId="302" xr:uid="{00000000-0005-0000-0000-000092000000}"/>
    <cellStyle name="Currency 2 214" xfId="303" xr:uid="{00000000-0005-0000-0000-000093000000}"/>
    <cellStyle name="Currency 2 215" xfId="304" xr:uid="{00000000-0005-0000-0000-000094000000}"/>
    <cellStyle name="Currency 2 216" xfId="305" xr:uid="{00000000-0005-0000-0000-000095000000}"/>
    <cellStyle name="Currency 2 217" xfId="306" xr:uid="{00000000-0005-0000-0000-000096000000}"/>
    <cellStyle name="Currency 2 218" xfId="307" xr:uid="{00000000-0005-0000-0000-000097000000}"/>
    <cellStyle name="Currency 2 219" xfId="308" xr:uid="{00000000-0005-0000-0000-000098000000}"/>
    <cellStyle name="Currency 2 22" xfId="309" xr:uid="{00000000-0005-0000-0000-000099000000}"/>
    <cellStyle name="Currency 2 220" xfId="310" xr:uid="{00000000-0005-0000-0000-00009A000000}"/>
    <cellStyle name="Currency 2 221" xfId="311" xr:uid="{00000000-0005-0000-0000-00009B000000}"/>
    <cellStyle name="Currency 2 222" xfId="312" xr:uid="{00000000-0005-0000-0000-00009C000000}"/>
    <cellStyle name="Currency 2 223" xfId="313" xr:uid="{00000000-0005-0000-0000-00009D000000}"/>
    <cellStyle name="Currency 2 224" xfId="314" xr:uid="{00000000-0005-0000-0000-00009E000000}"/>
    <cellStyle name="Currency 2 225" xfId="315" xr:uid="{00000000-0005-0000-0000-00009F000000}"/>
    <cellStyle name="Currency 2 226" xfId="316" xr:uid="{00000000-0005-0000-0000-0000A0000000}"/>
    <cellStyle name="Currency 2 227" xfId="317" xr:uid="{00000000-0005-0000-0000-0000A1000000}"/>
    <cellStyle name="Currency 2 228" xfId="318" xr:uid="{00000000-0005-0000-0000-0000A2000000}"/>
    <cellStyle name="Currency 2 229" xfId="319" xr:uid="{00000000-0005-0000-0000-0000A3000000}"/>
    <cellStyle name="Currency 2 23" xfId="320" xr:uid="{00000000-0005-0000-0000-0000A4000000}"/>
    <cellStyle name="Currency 2 230" xfId="321" xr:uid="{00000000-0005-0000-0000-0000A5000000}"/>
    <cellStyle name="Currency 2 231" xfId="322" xr:uid="{00000000-0005-0000-0000-0000A6000000}"/>
    <cellStyle name="Currency 2 232" xfId="323" xr:uid="{00000000-0005-0000-0000-0000A7000000}"/>
    <cellStyle name="Currency 2 233" xfId="324" xr:uid="{00000000-0005-0000-0000-0000A8000000}"/>
    <cellStyle name="Currency 2 234" xfId="325" xr:uid="{00000000-0005-0000-0000-0000A9000000}"/>
    <cellStyle name="Currency 2 235" xfId="326" xr:uid="{00000000-0005-0000-0000-0000AA000000}"/>
    <cellStyle name="Currency 2 236" xfId="327" xr:uid="{00000000-0005-0000-0000-0000AB000000}"/>
    <cellStyle name="Currency 2 237" xfId="328" xr:uid="{00000000-0005-0000-0000-0000AC000000}"/>
    <cellStyle name="Currency 2 238" xfId="329" xr:uid="{00000000-0005-0000-0000-0000AD000000}"/>
    <cellStyle name="Currency 2 239" xfId="330" xr:uid="{00000000-0005-0000-0000-0000AE000000}"/>
    <cellStyle name="Currency 2 24" xfId="331" xr:uid="{00000000-0005-0000-0000-0000AF000000}"/>
    <cellStyle name="Currency 2 240" xfId="332" xr:uid="{00000000-0005-0000-0000-0000B0000000}"/>
    <cellStyle name="Currency 2 241" xfId="333" xr:uid="{00000000-0005-0000-0000-0000B1000000}"/>
    <cellStyle name="Currency 2 242" xfId="334" xr:uid="{00000000-0005-0000-0000-0000B2000000}"/>
    <cellStyle name="Currency 2 243" xfId="335" xr:uid="{00000000-0005-0000-0000-0000B3000000}"/>
    <cellStyle name="Currency 2 244" xfId="336" xr:uid="{00000000-0005-0000-0000-0000B4000000}"/>
    <cellStyle name="Currency 2 245" xfId="337" xr:uid="{00000000-0005-0000-0000-0000B5000000}"/>
    <cellStyle name="Currency 2 246" xfId="338" xr:uid="{00000000-0005-0000-0000-0000B6000000}"/>
    <cellStyle name="Currency 2 247" xfId="339" xr:uid="{00000000-0005-0000-0000-0000B7000000}"/>
    <cellStyle name="Currency 2 248" xfId="340" xr:uid="{00000000-0005-0000-0000-0000B8000000}"/>
    <cellStyle name="Currency 2 249" xfId="341" xr:uid="{00000000-0005-0000-0000-0000B9000000}"/>
    <cellStyle name="Currency 2 25" xfId="342" xr:uid="{00000000-0005-0000-0000-0000BA000000}"/>
    <cellStyle name="Currency 2 250" xfId="343" xr:uid="{00000000-0005-0000-0000-0000BB000000}"/>
    <cellStyle name="Currency 2 251" xfId="344" xr:uid="{00000000-0005-0000-0000-0000BC000000}"/>
    <cellStyle name="Currency 2 252" xfId="345" xr:uid="{00000000-0005-0000-0000-0000BD000000}"/>
    <cellStyle name="Currency 2 253" xfId="346" xr:uid="{00000000-0005-0000-0000-0000BE000000}"/>
    <cellStyle name="Currency 2 254" xfId="347" xr:uid="{00000000-0005-0000-0000-0000BF000000}"/>
    <cellStyle name="Currency 2 26" xfId="348" xr:uid="{00000000-0005-0000-0000-0000C0000000}"/>
    <cellStyle name="Currency 2 27" xfId="349" xr:uid="{00000000-0005-0000-0000-0000C1000000}"/>
    <cellStyle name="Currency 2 28" xfId="350" xr:uid="{00000000-0005-0000-0000-0000C2000000}"/>
    <cellStyle name="Currency 2 29" xfId="351" xr:uid="{00000000-0005-0000-0000-0000C3000000}"/>
    <cellStyle name="Currency 2 3" xfId="352" xr:uid="{00000000-0005-0000-0000-0000C4000000}"/>
    <cellStyle name="Currency 2 30" xfId="353" xr:uid="{00000000-0005-0000-0000-0000C5000000}"/>
    <cellStyle name="Currency 2 31" xfId="354" xr:uid="{00000000-0005-0000-0000-0000C6000000}"/>
    <cellStyle name="Currency 2 32" xfId="355" xr:uid="{00000000-0005-0000-0000-0000C7000000}"/>
    <cellStyle name="Currency 2 33" xfId="356" xr:uid="{00000000-0005-0000-0000-0000C8000000}"/>
    <cellStyle name="Currency 2 34" xfId="357" xr:uid="{00000000-0005-0000-0000-0000C9000000}"/>
    <cellStyle name="Currency 2 35" xfId="358" xr:uid="{00000000-0005-0000-0000-0000CA000000}"/>
    <cellStyle name="Currency 2 36" xfId="359" xr:uid="{00000000-0005-0000-0000-0000CB000000}"/>
    <cellStyle name="Currency 2 37" xfId="360" xr:uid="{00000000-0005-0000-0000-0000CC000000}"/>
    <cellStyle name="Currency 2 38" xfId="361" xr:uid="{00000000-0005-0000-0000-0000CD000000}"/>
    <cellStyle name="Currency 2 39" xfId="362" xr:uid="{00000000-0005-0000-0000-0000CE000000}"/>
    <cellStyle name="Currency 2 4" xfId="363" xr:uid="{00000000-0005-0000-0000-0000CF000000}"/>
    <cellStyle name="Currency 2 40" xfId="364" xr:uid="{00000000-0005-0000-0000-0000D0000000}"/>
    <cellStyle name="Currency 2 41" xfId="365" xr:uid="{00000000-0005-0000-0000-0000D1000000}"/>
    <cellStyle name="Currency 2 42" xfId="366" xr:uid="{00000000-0005-0000-0000-0000D2000000}"/>
    <cellStyle name="Currency 2 43" xfId="367" xr:uid="{00000000-0005-0000-0000-0000D3000000}"/>
    <cellStyle name="Currency 2 44" xfId="368" xr:uid="{00000000-0005-0000-0000-0000D4000000}"/>
    <cellStyle name="Currency 2 45" xfId="369" xr:uid="{00000000-0005-0000-0000-0000D5000000}"/>
    <cellStyle name="Currency 2 46" xfId="370" xr:uid="{00000000-0005-0000-0000-0000D6000000}"/>
    <cellStyle name="Currency 2 47" xfId="371" xr:uid="{00000000-0005-0000-0000-0000D7000000}"/>
    <cellStyle name="Currency 2 48" xfId="372" xr:uid="{00000000-0005-0000-0000-0000D8000000}"/>
    <cellStyle name="Currency 2 49" xfId="373" xr:uid="{00000000-0005-0000-0000-0000D9000000}"/>
    <cellStyle name="Currency 2 5" xfId="374" xr:uid="{00000000-0005-0000-0000-0000DA000000}"/>
    <cellStyle name="Currency 2 50" xfId="375" xr:uid="{00000000-0005-0000-0000-0000DB000000}"/>
    <cellStyle name="Currency 2 51" xfId="376" xr:uid="{00000000-0005-0000-0000-0000DC000000}"/>
    <cellStyle name="Currency 2 52" xfId="377" xr:uid="{00000000-0005-0000-0000-0000DD000000}"/>
    <cellStyle name="Currency 2 53" xfId="378" xr:uid="{00000000-0005-0000-0000-0000DE000000}"/>
    <cellStyle name="Currency 2 54" xfId="379" xr:uid="{00000000-0005-0000-0000-0000DF000000}"/>
    <cellStyle name="Currency 2 55" xfId="380" xr:uid="{00000000-0005-0000-0000-0000E0000000}"/>
    <cellStyle name="Currency 2 56" xfId="381" xr:uid="{00000000-0005-0000-0000-0000E1000000}"/>
    <cellStyle name="Currency 2 57" xfId="382" xr:uid="{00000000-0005-0000-0000-0000E2000000}"/>
    <cellStyle name="Currency 2 58" xfId="383" xr:uid="{00000000-0005-0000-0000-0000E3000000}"/>
    <cellStyle name="Currency 2 59" xfId="384" xr:uid="{00000000-0005-0000-0000-0000E4000000}"/>
    <cellStyle name="Currency 2 6" xfId="385" xr:uid="{00000000-0005-0000-0000-0000E5000000}"/>
    <cellStyle name="Currency 2 60" xfId="386" xr:uid="{00000000-0005-0000-0000-0000E6000000}"/>
    <cellStyle name="Currency 2 61" xfId="387" xr:uid="{00000000-0005-0000-0000-0000E7000000}"/>
    <cellStyle name="Currency 2 62" xfId="388" xr:uid="{00000000-0005-0000-0000-0000E8000000}"/>
    <cellStyle name="Currency 2 63" xfId="389" xr:uid="{00000000-0005-0000-0000-0000E9000000}"/>
    <cellStyle name="Currency 2 64" xfId="390" xr:uid="{00000000-0005-0000-0000-0000EA000000}"/>
    <cellStyle name="Currency 2 65" xfId="391" xr:uid="{00000000-0005-0000-0000-0000EB000000}"/>
    <cellStyle name="Currency 2 66" xfId="392" xr:uid="{00000000-0005-0000-0000-0000EC000000}"/>
    <cellStyle name="Currency 2 67" xfId="393" xr:uid="{00000000-0005-0000-0000-0000ED000000}"/>
    <cellStyle name="Currency 2 68" xfId="394" xr:uid="{00000000-0005-0000-0000-0000EE000000}"/>
    <cellStyle name="Currency 2 69" xfId="395" xr:uid="{00000000-0005-0000-0000-0000EF000000}"/>
    <cellStyle name="Currency 2 7" xfId="396" xr:uid="{00000000-0005-0000-0000-0000F0000000}"/>
    <cellStyle name="Currency 2 70" xfId="397" xr:uid="{00000000-0005-0000-0000-0000F1000000}"/>
    <cellStyle name="Currency 2 71" xfId="398" xr:uid="{00000000-0005-0000-0000-0000F2000000}"/>
    <cellStyle name="Currency 2 72" xfId="399" xr:uid="{00000000-0005-0000-0000-0000F3000000}"/>
    <cellStyle name="Currency 2 73" xfId="400" xr:uid="{00000000-0005-0000-0000-0000F4000000}"/>
    <cellStyle name="Currency 2 74" xfId="401" xr:uid="{00000000-0005-0000-0000-0000F5000000}"/>
    <cellStyle name="Currency 2 75" xfId="402" xr:uid="{00000000-0005-0000-0000-0000F6000000}"/>
    <cellStyle name="Currency 2 76" xfId="403" xr:uid="{00000000-0005-0000-0000-0000F7000000}"/>
    <cellStyle name="Currency 2 77" xfId="404" xr:uid="{00000000-0005-0000-0000-0000F8000000}"/>
    <cellStyle name="Currency 2 78" xfId="405" xr:uid="{00000000-0005-0000-0000-0000F9000000}"/>
    <cellStyle name="Currency 2 79" xfId="406" xr:uid="{00000000-0005-0000-0000-0000FA000000}"/>
    <cellStyle name="Currency 2 8" xfId="407" xr:uid="{00000000-0005-0000-0000-0000FB000000}"/>
    <cellStyle name="Currency 2 80" xfId="408" xr:uid="{00000000-0005-0000-0000-0000FC000000}"/>
    <cellStyle name="Currency 2 81" xfId="409" xr:uid="{00000000-0005-0000-0000-0000FD000000}"/>
    <cellStyle name="Currency 2 82" xfId="410" xr:uid="{00000000-0005-0000-0000-0000FE000000}"/>
    <cellStyle name="Currency 2 83" xfId="411" xr:uid="{00000000-0005-0000-0000-0000FF000000}"/>
    <cellStyle name="Currency 2 84" xfId="412" xr:uid="{00000000-0005-0000-0000-000000010000}"/>
    <cellStyle name="Currency 2 85" xfId="413" xr:uid="{00000000-0005-0000-0000-000001010000}"/>
    <cellStyle name="Currency 2 86" xfId="414" xr:uid="{00000000-0005-0000-0000-000002010000}"/>
    <cellStyle name="Currency 2 87" xfId="415" xr:uid="{00000000-0005-0000-0000-000003010000}"/>
    <cellStyle name="Currency 2 88" xfId="416" xr:uid="{00000000-0005-0000-0000-000004010000}"/>
    <cellStyle name="Currency 2 89" xfId="417" xr:uid="{00000000-0005-0000-0000-000005010000}"/>
    <cellStyle name="Currency 2 9" xfId="418" xr:uid="{00000000-0005-0000-0000-000006010000}"/>
    <cellStyle name="Currency 2 90" xfId="419" xr:uid="{00000000-0005-0000-0000-000007010000}"/>
    <cellStyle name="Currency 2 91" xfId="420" xr:uid="{00000000-0005-0000-0000-000008010000}"/>
    <cellStyle name="Currency 2 92" xfId="421" xr:uid="{00000000-0005-0000-0000-000009010000}"/>
    <cellStyle name="Currency 2 93" xfId="422" xr:uid="{00000000-0005-0000-0000-00000A010000}"/>
    <cellStyle name="Currency 2 94" xfId="423" xr:uid="{00000000-0005-0000-0000-00000B010000}"/>
    <cellStyle name="Currency 2 95" xfId="424" xr:uid="{00000000-0005-0000-0000-00000C010000}"/>
    <cellStyle name="Currency 2 96" xfId="425" xr:uid="{00000000-0005-0000-0000-00000D010000}"/>
    <cellStyle name="Currency 2 97" xfId="426" xr:uid="{00000000-0005-0000-0000-00000E010000}"/>
    <cellStyle name="Currency 2 98" xfId="427" xr:uid="{00000000-0005-0000-0000-00000F010000}"/>
    <cellStyle name="Currency 2 99" xfId="428" xr:uid="{00000000-0005-0000-0000-000010010000}"/>
    <cellStyle name="Currency 3" xfId="119" xr:uid="{00000000-0005-0000-0000-000011010000}"/>
    <cellStyle name="Currency 3 2" xfId="124" xr:uid="{00000000-0005-0000-0000-000012010000}"/>
    <cellStyle name="Currency 3 2 2" xfId="429" xr:uid="{00000000-0005-0000-0000-000013010000}"/>
    <cellStyle name="Currency 3 3" xfId="430" xr:uid="{00000000-0005-0000-0000-000014010000}"/>
    <cellStyle name="Currency 4" xfId="131" xr:uid="{00000000-0005-0000-0000-000015010000}"/>
    <cellStyle name="Currency 5" xfId="171" xr:uid="{00000000-0005-0000-0000-000016010000}"/>
    <cellStyle name="Date" xfId="431" xr:uid="{00000000-0005-0000-0000-000017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7" builtinId="9" hidden="1"/>
    <cellStyle name="Followed Hyperlink" xfId="168" builtinId="9" hidden="1"/>
    <cellStyle name="Heading 2 2" xfId="432" xr:uid="{00000000-0005-0000-0000-00009D010000}"/>
    <cellStyle name="Heading 3 2" xfId="433" xr:uid="{00000000-0005-0000-0000-00009E010000}"/>
    <cellStyle name="Hyperlink 2" xfId="151" xr:uid="{00000000-0005-0000-0000-00009F010000}"/>
    <cellStyle name="Normal" xfId="0" builtinId="0"/>
    <cellStyle name="Normal - Style1" xfId="434" xr:uid="{00000000-0005-0000-0000-0000A1010000}"/>
    <cellStyle name="Normal 2" xfId="7" xr:uid="{00000000-0005-0000-0000-0000A2010000}"/>
    <cellStyle name="Normal 3" xfId="117" xr:uid="{00000000-0005-0000-0000-0000A3010000}"/>
    <cellStyle name="Normal 3 2" xfId="122" xr:uid="{00000000-0005-0000-0000-0000A4010000}"/>
    <cellStyle name="Normal 3 2 2" xfId="125" xr:uid="{00000000-0005-0000-0000-0000A5010000}"/>
    <cellStyle name="Normal 3 2 2 2" xfId="164" xr:uid="{00000000-0005-0000-0000-0000A6010000}"/>
    <cellStyle name="Normal 3 2 3" xfId="435" xr:uid="{00000000-0005-0000-0000-0000A7010000}"/>
    <cellStyle name="Normal 3 3" xfId="126" xr:uid="{00000000-0005-0000-0000-0000A8010000}"/>
    <cellStyle name="Normal 3 3 2" xfId="436" xr:uid="{00000000-0005-0000-0000-0000A9010000}"/>
    <cellStyle name="Normal 3 4" xfId="133" xr:uid="{00000000-0005-0000-0000-0000AA010000}"/>
    <cellStyle name="Normal 3 5" xfId="160" xr:uid="{00000000-0005-0000-0000-0000AB010000}"/>
    <cellStyle name="Normal 4" xfId="120" xr:uid="{00000000-0005-0000-0000-0000AC010000}"/>
    <cellStyle name="Normal 5" xfId="129" xr:uid="{00000000-0005-0000-0000-0000AD010000}"/>
    <cellStyle name="Normal 6" xfId="134" xr:uid="{00000000-0005-0000-0000-0000AE010000}"/>
    <cellStyle name="Normal 6 2" xfId="437" xr:uid="{00000000-0005-0000-0000-0000AF010000}"/>
    <cellStyle name="Normal 7" xfId="169" xr:uid="{00000000-0005-0000-0000-0000B0010000}"/>
    <cellStyle name="Percent" xfId="8" builtinId="5"/>
    <cellStyle name="Percent 2" xfId="9" xr:uid="{00000000-0005-0000-0000-0000B2010000}"/>
    <cellStyle name="Percent 3" xfId="132" xr:uid="{00000000-0005-0000-0000-0000B3010000}"/>
    <cellStyle name="Percent 4" xfId="135" xr:uid="{00000000-0005-0000-0000-0000B4010000}"/>
    <cellStyle name="Percent 4 2" xfId="438" xr:uid="{00000000-0005-0000-0000-0000B5010000}"/>
    <cellStyle name="Percent 5" xfId="172" xr:uid="{00000000-0005-0000-0000-0000B6010000}"/>
    <cellStyle name="Style 1" xfId="439" xr:uid="{00000000-0005-0000-0000-0000B7010000}"/>
    <cellStyle name="Volume" xfId="440" xr:uid="{00000000-0005-0000-0000-0000B8010000}"/>
  </cellStyles>
  <dxfs count="2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s>
  <tableStyles count="0" defaultTableStyle="TableStyleMedium9" defaultPivotStyle="PivotStyleLight16"/>
  <colors>
    <mruColors>
      <color rgb="FFCCFFCC"/>
      <color rgb="FFCCFFFF"/>
      <color rgb="FF99FF33"/>
      <color rgb="FFFFFFCC"/>
      <color rgb="FFFFCCCC"/>
      <color rgb="FFE6FEF6"/>
      <color rgb="FF3244F2"/>
      <color rgb="FFC0F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BE-BA4D-B8B7-4DE6850AF434}"/>
                </c:ext>
              </c:extLst>
            </c:dLbl>
            <c:dLbl>
              <c:idx val="1"/>
              <c:layout>
                <c:manualLayout>
                  <c:x val="2.2222222222222199E-2"/>
                  <c:y val="-9.2592592592592601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E-BA4D-B8B7-4DE6850AF434}"/>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'Products x segment'!$B$32:$B$34</c:f>
              <c:strCache>
                <c:ptCount val="3"/>
                <c:pt idx="0">
                  <c:v>Telecom</c:v>
                </c:pt>
                <c:pt idx="1">
                  <c:v>Cloud</c:v>
                </c:pt>
                <c:pt idx="2">
                  <c:v>Enterprise</c:v>
                </c:pt>
              </c:strCache>
            </c:strRef>
          </c:cat>
          <c:val>
            <c:numRef>
              <c:f>'Products x segment'!$N$32:$N$34</c:f>
              <c:numCache>
                <c:formatCode>_(* #,##0_);_(* \(#,##0\);_(* "-"??_);_(@_)</c:formatCode>
                <c:ptCount val="3"/>
                <c:pt idx="0">
                  <c:v>0</c:v>
                </c:pt>
                <c:pt idx="1">
                  <c:v>0</c:v>
                </c:pt>
                <c:pt idx="2">
                  <c:v>0</c:v>
                </c:pt>
              </c:numCache>
            </c:numRef>
          </c:val>
          <c:extLst>
            <c:ext xmlns:c16="http://schemas.microsoft.com/office/drawing/2014/chart" uri="{C3380CC4-5D6E-409C-BE32-E72D297353CC}">
              <c16:uniqueId val="{00000002-28BE-BA4D-B8B7-4DE6850AF434}"/>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8586214111809"/>
          <c:y val="3.5766284295518598E-2"/>
          <c:w val="0.82582543362373229"/>
          <c:h val="0.8523798229910875"/>
        </c:manualLayout>
      </c:layout>
      <c:lineChart>
        <c:grouping val="standard"/>
        <c:varyColors val="0"/>
        <c:ser>
          <c:idx val="2"/>
          <c:order val="0"/>
          <c:tx>
            <c:strRef>
              <c:f>Summary!$B$386</c:f>
              <c:strCache>
                <c:ptCount val="1"/>
                <c:pt idx="0">
                  <c:v>100 m  100G SR2, SR4  QSFP28</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Summary!$C$386:$M$386</c:f>
              <c:numCache>
                <c:formatCode>_("$"* #,##0_);_("$"* \(#,##0\);_("$"* "-"??_);_(@_)</c:formatCode>
                <c:ptCount val="11"/>
                <c:pt idx="0">
                  <c:v>258.09426618771823</c:v>
                </c:pt>
                <c:pt idx="1">
                  <c:v>182.02277386466108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5E2-914D-9780-0F3F5FB47860}"/>
            </c:ext>
          </c:extLst>
        </c:ser>
        <c:ser>
          <c:idx val="3"/>
          <c:order val="1"/>
          <c:tx>
            <c:strRef>
              <c:f>Summary!$B$387</c:f>
              <c:strCache>
                <c:ptCount val="1"/>
                <c:pt idx="0">
                  <c:v>100 m  100G QSFP28 MM Duplex</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Summary!$C$387:$M$387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65E2-914D-9780-0F3F5FB47860}"/>
            </c:ext>
          </c:extLst>
        </c:ser>
        <c:ser>
          <c:idx val="4"/>
          <c:order val="2"/>
          <c:tx>
            <c:strRef>
              <c:f>Summary!$B$388</c:f>
              <c:strCache>
                <c:ptCount val="1"/>
                <c:pt idx="0">
                  <c:v>300 m  100G QSFP28  eSR4</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Summary!$C$388:$M$388</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65E2-914D-9780-0F3F5FB47860}"/>
            </c:ext>
          </c:extLst>
        </c:ser>
        <c:dLbls>
          <c:showLegendKey val="0"/>
          <c:showVal val="0"/>
          <c:showCatName val="0"/>
          <c:showSerName val="0"/>
          <c:showPercent val="0"/>
          <c:showBubbleSize val="0"/>
        </c:dLbls>
        <c:marker val="1"/>
        <c:smooth val="0"/>
        <c:axId val="132736896"/>
        <c:axId val="132738432"/>
      </c:lineChart>
      <c:catAx>
        <c:axId val="132736896"/>
        <c:scaling>
          <c:orientation val="minMax"/>
        </c:scaling>
        <c:delete val="0"/>
        <c:axPos val="b"/>
        <c:numFmt formatCode="General" sourceLinked="1"/>
        <c:majorTickMark val="out"/>
        <c:minorTickMark val="none"/>
        <c:tickLblPos val="nextTo"/>
        <c:txPr>
          <a:bodyPr/>
          <a:lstStyle/>
          <a:p>
            <a:pPr>
              <a:defRPr sz="1100"/>
            </a:pPr>
            <a:endParaRPr lang="en-US"/>
          </a:p>
        </c:txPr>
        <c:crossAx val="132738432"/>
        <c:crosses val="autoZero"/>
        <c:auto val="1"/>
        <c:lblAlgn val="ctr"/>
        <c:lblOffset val="100"/>
        <c:noMultiLvlLbl val="0"/>
      </c:catAx>
      <c:valAx>
        <c:axId val="132738432"/>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6878718658461209E-2"/>
              <c:y val="0.38912298227147679"/>
            </c:manualLayout>
          </c:layout>
          <c:overlay val="0"/>
        </c:title>
        <c:numFmt formatCode="&quot;$&quot;#,##0" sourceLinked="0"/>
        <c:majorTickMark val="out"/>
        <c:minorTickMark val="none"/>
        <c:tickLblPos val="nextTo"/>
        <c:txPr>
          <a:bodyPr/>
          <a:lstStyle/>
          <a:p>
            <a:pPr>
              <a:defRPr sz="1200"/>
            </a:pPr>
            <a:endParaRPr lang="en-US"/>
          </a:p>
        </c:txPr>
        <c:crossAx val="132736896"/>
        <c:crosses val="autoZero"/>
        <c:crossBetween val="between"/>
      </c:valAx>
    </c:plotArea>
    <c:legend>
      <c:legendPos val="t"/>
      <c:layout>
        <c:manualLayout>
          <c:xMode val="edge"/>
          <c:yMode val="edge"/>
          <c:x val="0.61847762549219165"/>
          <c:y val="4.6658610278654936E-2"/>
          <c:w val="0.35215332939678884"/>
          <c:h val="0.35953089786339548"/>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5377290285891"/>
          <c:y val="4.3751134432091006E-2"/>
          <c:w val="0.83633763989259313"/>
          <c:h val="0.85713486951690254"/>
        </c:manualLayout>
      </c:layout>
      <c:lineChart>
        <c:grouping val="standard"/>
        <c:varyColors val="0"/>
        <c:ser>
          <c:idx val="0"/>
          <c:order val="0"/>
          <c:tx>
            <c:strRef>
              <c:f>Summary!$B$472</c:f>
              <c:strCache>
                <c:ptCount val="1"/>
                <c:pt idx="0">
                  <c:v>100G PSM4_500 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Summary!$C$472:$M$472</c:f>
              <c:numCache>
                <c:formatCode>_("$"* #,##0_);_("$"* \(#,##0\);_("$"* "-"??_);_(@_)</c:formatCode>
                <c:ptCount val="11"/>
                <c:pt idx="0">
                  <c:v>337.41687156790022</c:v>
                </c:pt>
                <c:pt idx="1">
                  <c:v>222.65569307558187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455-2A45-B2C8-6267A3389E6C}"/>
            </c:ext>
          </c:extLst>
        </c:ser>
        <c:ser>
          <c:idx val="7"/>
          <c:order val="1"/>
          <c:tx>
            <c:strRef>
              <c:f>Summary!$B$473</c:f>
              <c:strCache>
                <c:ptCount val="1"/>
                <c:pt idx="0">
                  <c:v>100G DR_500m_QSFP28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Summary!$C$473:$M$473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6DB7-6449-97D8-C194F1CD0C91}"/>
            </c:ext>
          </c:extLst>
        </c:ser>
        <c:ser>
          <c:idx val="8"/>
          <c:order val="2"/>
          <c:tx>
            <c:strRef>
              <c:f>Summary!$B$474</c:f>
              <c:strCache>
                <c:ptCount val="1"/>
                <c:pt idx="0">
                  <c:v>100G CWDM4-subspec_500 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Summary!$C$474:$M$474</c:f>
              <c:numCache>
                <c:formatCode>_("$"* #,##0_);_("$"* \(#,##0\);_("$"* "-"??_);_(@_)</c:formatCode>
                <c:ptCount val="11"/>
                <c:pt idx="0">
                  <c:v>625</c:v>
                </c:pt>
                <c:pt idx="1">
                  <c:v>450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6DB7-6449-97D8-C194F1CD0C91}"/>
            </c:ext>
          </c:extLst>
        </c:ser>
        <c:ser>
          <c:idx val="5"/>
          <c:order val="3"/>
          <c:tx>
            <c:strRef>
              <c:f>Summary!$B$475</c:f>
              <c:strCache>
                <c:ptCount val="1"/>
                <c:pt idx="0">
                  <c:v>100G CWDM4_2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Summary!$C$475:$M$475</c:f>
              <c:numCache>
                <c:formatCode>_("$"* #,##0_);_("$"* \(#,##0\);_("$"* "-"??_);_(@_)</c:formatCode>
                <c:ptCount val="11"/>
                <c:pt idx="0">
                  <c:v>825</c:v>
                </c:pt>
                <c:pt idx="1">
                  <c:v>650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D455-2A45-B2C8-6267A3389E6C}"/>
            </c:ext>
          </c:extLst>
        </c:ser>
        <c:ser>
          <c:idx val="9"/>
          <c:order val="4"/>
          <c:tx>
            <c:strRef>
              <c:f>Summary!$B$476</c:f>
              <c:strCache>
                <c:ptCount val="1"/>
                <c:pt idx="0">
                  <c:v>100G FR, DR+_2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Summary!$C$476:$M$476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6DB7-6449-97D8-C194F1CD0C91}"/>
            </c:ext>
          </c:extLst>
        </c:ser>
        <c:ser>
          <c:idx val="1"/>
          <c:order val="5"/>
          <c:tx>
            <c:strRef>
              <c:f>Summary!$B$477</c:f>
              <c:strCache>
                <c:ptCount val="1"/>
                <c:pt idx="0">
                  <c:v>100G LR4_10 km_CFP</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Summary!$C$477:$M$477</c:f>
              <c:numCache>
                <c:formatCode>_("$"* #,##0_);_("$"* \(#,##0\);_("$"* "-"??_);_(@_)</c:formatCode>
                <c:ptCount val="11"/>
                <c:pt idx="0">
                  <c:v>3527.8709620331333</c:v>
                </c:pt>
                <c:pt idx="1">
                  <c:v>2768.0701132780364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D455-2A45-B2C8-6267A3389E6C}"/>
            </c:ext>
          </c:extLst>
        </c:ser>
        <c:ser>
          <c:idx val="2"/>
          <c:order val="6"/>
          <c:tx>
            <c:strRef>
              <c:f>Summary!$B$478</c:f>
              <c:strCache>
                <c:ptCount val="1"/>
                <c:pt idx="0">
                  <c:v>100G LR4_10 km_CFP2/4</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Summary!$C$478:$M$478</c:f>
              <c:numCache>
                <c:formatCode>_("$"* #,##0_);_("$"* \(#,##0\);_("$"* "-"??_);_(@_)</c:formatCode>
                <c:ptCount val="11"/>
                <c:pt idx="0">
                  <c:v>2882.5268681316725</c:v>
                </c:pt>
                <c:pt idx="1">
                  <c:v>2140.3307221126156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D455-2A45-B2C8-6267A3389E6C}"/>
            </c:ext>
          </c:extLst>
        </c:ser>
        <c:ser>
          <c:idx val="3"/>
          <c:order val="7"/>
          <c:tx>
            <c:strRef>
              <c:f>Summary!$B$479</c:f>
              <c:strCache>
                <c:ptCount val="1"/>
                <c:pt idx="0">
                  <c:v>100G LR4 and LR1_10 km_QSFP28</c:v>
                </c:pt>
              </c:strCache>
            </c:strRef>
          </c:tx>
          <c:marker>
            <c:symbol val="square"/>
            <c:size val="5"/>
          </c:marker>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Summary!$C$479:$M$479</c:f>
              <c:numCache>
                <c:formatCode>_("$"* #,##0_);_("$"* \(#,##0\);_("$"* "-"??_);_(@_)</c:formatCode>
                <c:ptCount val="11"/>
                <c:pt idx="0">
                  <c:v>1938.1501024552811</c:v>
                </c:pt>
                <c:pt idx="1">
                  <c:v>1200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D455-2A45-B2C8-6267A3389E6C}"/>
            </c:ext>
          </c:extLst>
        </c:ser>
        <c:ser>
          <c:idx val="10"/>
          <c:order val="8"/>
          <c:tx>
            <c:strRef>
              <c:f>Summary!$B$480</c:f>
              <c:strCache>
                <c:ptCount val="1"/>
                <c:pt idx="0">
                  <c:v>100G 4WDM10_10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Summary!$C$480:$M$480</c:f>
              <c:numCache>
                <c:formatCode>_("$"* #,##0_);_("$"* \(#,##0\);_("$"* "-"??_);_(@_)</c:formatCode>
                <c:ptCount val="11"/>
                <c:pt idx="0">
                  <c:v>0</c:v>
                </c:pt>
                <c:pt idx="1">
                  <c:v>500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6DB7-6449-97D8-C194F1CD0C91}"/>
            </c:ext>
          </c:extLst>
        </c:ser>
        <c:ser>
          <c:idx val="6"/>
          <c:order val="9"/>
          <c:tx>
            <c:strRef>
              <c:f>Summary!$B$481</c:f>
              <c:strCache>
                <c:ptCount val="1"/>
                <c:pt idx="0">
                  <c:v>100G 4WDM20_20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Summary!$C$481:$M$481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D455-2A45-B2C8-6267A3389E6C}"/>
            </c:ext>
          </c:extLst>
        </c:ser>
        <c:ser>
          <c:idx val="4"/>
          <c:order val="10"/>
          <c:tx>
            <c:strRef>
              <c:f>Summary!$B$482</c:f>
              <c:strCache>
                <c:ptCount val="1"/>
                <c:pt idx="0">
                  <c:v>100G ER4-Lite_30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Summary!$C$482:$M$482</c:f>
              <c:numCache>
                <c:formatCode>_("$"* #,##0_);_("$"* \(#,##0\);_("$"* "-"??_);_(@_)</c:formatCode>
                <c:ptCount val="11"/>
                <c:pt idx="0">
                  <c:v>0</c:v>
                </c:pt>
                <c:pt idx="1">
                  <c:v>3487.2423945044161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F05-E843-84B8-791173DE1B5D}"/>
            </c:ext>
          </c:extLst>
        </c:ser>
        <c:ser>
          <c:idx val="11"/>
          <c:order val="11"/>
          <c:tx>
            <c:strRef>
              <c:f>Summary!$B$483</c:f>
              <c:strCache>
                <c:ptCount val="1"/>
                <c:pt idx="0">
                  <c:v>100G ER4_40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Summary!$C$483:$M$483</c:f>
              <c:numCache>
                <c:formatCode>_("$"* #,##0_);_("$"* \(#,##0\);_("$"* "-"??_);_(@_)</c:formatCode>
                <c:ptCount val="11"/>
                <c:pt idx="0">
                  <c:v>8992.3604525403425</c:v>
                </c:pt>
                <c:pt idx="1">
                  <c:v>6675.4855675304152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186-7847-86D2-43B0860D890F}"/>
            </c:ext>
          </c:extLst>
        </c:ser>
        <c:ser>
          <c:idx val="12"/>
          <c:order val="12"/>
          <c:tx>
            <c:strRef>
              <c:f>Summary!$B$484</c:f>
              <c:strCache>
                <c:ptCount val="1"/>
                <c:pt idx="0">
                  <c:v>100G ZR4_80 km_QSFP28</c:v>
                </c:pt>
              </c:strCache>
            </c:strRef>
          </c:tx>
          <c:cat>
            <c:numRef>
              <c:f>Summary!$C$471:$M$471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Summary!$C$484:$M$484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186-7847-86D2-43B0860D890F}"/>
            </c:ext>
          </c:extLst>
        </c:ser>
        <c:dLbls>
          <c:showLegendKey val="0"/>
          <c:showVal val="0"/>
          <c:showCatName val="0"/>
          <c:showSerName val="0"/>
          <c:showPercent val="0"/>
          <c:showBubbleSize val="0"/>
        </c:dLbls>
        <c:marker val="1"/>
        <c:smooth val="0"/>
        <c:axId val="132950272"/>
        <c:axId val="132841472"/>
      </c:lineChart>
      <c:catAx>
        <c:axId val="132950272"/>
        <c:scaling>
          <c:orientation val="minMax"/>
        </c:scaling>
        <c:delete val="0"/>
        <c:axPos val="b"/>
        <c:numFmt formatCode="General" sourceLinked="1"/>
        <c:majorTickMark val="out"/>
        <c:minorTickMark val="none"/>
        <c:tickLblPos val="nextTo"/>
        <c:txPr>
          <a:bodyPr/>
          <a:lstStyle/>
          <a:p>
            <a:pPr>
              <a:defRPr sz="1100"/>
            </a:pPr>
            <a:endParaRPr lang="en-US"/>
          </a:p>
        </c:txPr>
        <c:crossAx val="132841472"/>
        <c:crosses val="autoZero"/>
        <c:auto val="1"/>
        <c:lblAlgn val="ctr"/>
        <c:lblOffset val="100"/>
        <c:noMultiLvlLbl val="0"/>
      </c:catAx>
      <c:valAx>
        <c:axId val="132841472"/>
        <c:scaling>
          <c:orientation val="minMax"/>
          <c:min val="0"/>
        </c:scaling>
        <c:delete val="0"/>
        <c:axPos val="l"/>
        <c:majorGridlines/>
        <c:title>
          <c:tx>
            <c:rich>
              <a:bodyPr rot="-5400000" vert="horz"/>
              <a:lstStyle/>
              <a:p>
                <a:pPr>
                  <a:defRPr sz="1400"/>
                </a:pPr>
                <a:r>
                  <a:rPr lang="en-US" sz="1400"/>
                  <a:t>A.S.P.s</a:t>
                </a:r>
              </a:p>
            </c:rich>
          </c:tx>
          <c:overlay val="0"/>
        </c:title>
        <c:numFmt formatCode="&quot;$&quot;#,##0" sourceLinked="0"/>
        <c:majorTickMark val="out"/>
        <c:minorTickMark val="none"/>
        <c:tickLblPos val="nextTo"/>
        <c:txPr>
          <a:bodyPr/>
          <a:lstStyle/>
          <a:p>
            <a:pPr>
              <a:defRPr sz="1100"/>
            </a:pPr>
            <a:endParaRPr lang="en-US"/>
          </a:p>
        </c:txPr>
        <c:crossAx val="132950272"/>
        <c:crosses val="autoZero"/>
        <c:crossBetween val="between"/>
        <c:majorUnit val="1000"/>
      </c:valAx>
    </c:plotArea>
    <c:legend>
      <c:legendPos val="t"/>
      <c:layout>
        <c:manualLayout>
          <c:xMode val="edge"/>
          <c:yMode val="edge"/>
          <c:x val="0.46093466727330473"/>
          <c:y val="7.0469303553456417E-2"/>
          <c:w val="0.46953832325297468"/>
          <c:h val="0.59533248986263476"/>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567056913174"/>
          <c:y val="3.778602565976448E-2"/>
          <c:w val="0.82462256352084295"/>
          <c:h val="0.88510706586246157"/>
        </c:manualLayout>
      </c:layout>
      <c:lineChart>
        <c:grouping val="standard"/>
        <c:varyColors val="0"/>
        <c:ser>
          <c:idx val="4"/>
          <c:order val="0"/>
          <c:tx>
            <c:strRef>
              <c:f>Summary!$B$614</c:f>
              <c:strCache>
                <c:ptCount val="1"/>
                <c:pt idx="0">
                  <c:v>2x200 (400G-SR8)</c:v>
                </c:pt>
              </c:strCache>
            </c:strRef>
          </c:tx>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Summary!$E$614:$M$614</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9009-5347-B4AF-9FED4C00316F}"/>
            </c:ext>
          </c:extLst>
        </c:ser>
        <c:ser>
          <c:idx val="2"/>
          <c:order val="1"/>
          <c:tx>
            <c:strRef>
              <c:f>Summary!$B$615</c:f>
              <c:strCache>
                <c:ptCount val="1"/>
                <c:pt idx="0">
                  <c:v>400G SR4</c:v>
                </c:pt>
              </c:strCache>
            </c:strRef>
          </c:tx>
          <c:spPr>
            <a:ln>
              <a:solidFill>
                <a:schemeClr val="accent2"/>
              </a:solidFill>
            </a:ln>
          </c:spPr>
          <c:marker>
            <c:spPr>
              <a:solidFill>
                <a:schemeClr val="accent2"/>
              </a:solidFill>
              <a:ln>
                <a:solidFill>
                  <a:schemeClr val="accent2"/>
                </a:solidFill>
              </a:ln>
            </c:spPr>
          </c:marker>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Summary!$E$615:$M$615</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DCD4-1B4A-BF00-DACF0025900F}"/>
            </c:ext>
          </c:extLst>
        </c:ser>
        <c:ser>
          <c:idx val="0"/>
          <c:order val="2"/>
          <c:tx>
            <c:strRef>
              <c:f>Summary!$B$616</c:f>
              <c:strCache>
                <c:ptCount val="1"/>
                <c:pt idx="0">
                  <c:v>400G DR4</c:v>
                </c:pt>
              </c:strCache>
            </c:strRef>
          </c:tx>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Summary!$E$616:$M$616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DCD4-1B4A-BF00-DACF0025900F}"/>
            </c:ext>
          </c:extLst>
        </c:ser>
        <c:ser>
          <c:idx val="5"/>
          <c:order val="3"/>
          <c:tx>
            <c:strRef>
              <c:f>Summary!$B$617</c:f>
              <c:strCache>
                <c:ptCount val="1"/>
                <c:pt idx="0">
                  <c:v>2x(200G FR4)</c:v>
                </c:pt>
              </c:strCache>
            </c:strRef>
          </c:tx>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Summary!$E$617:$M$617</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9009-5347-B4AF-9FED4C00316F}"/>
            </c:ext>
          </c:extLst>
        </c:ser>
        <c:ser>
          <c:idx val="1"/>
          <c:order val="4"/>
          <c:tx>
            <c:strRef>
              <c:f>Summary!$B$618</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Summary!$E$618:$M$618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DCD4-1B4A-BF00-DACF0025900F}"/>
            </c:ext>
          </c:extLst>
        </c:ser>
        <c:ser>
          <c:idx val="3"/>
          <c:order val="5"/>
          <c:tx>
            <c:strRef>
              <c:f>Summary!$B$619</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Summary!$E$613:$M$613</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Summary!$E$619:$M$619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DCD4-1B4A-BF00-DACF0025900F}"/>
            </c:ext>
          </c:extLst>
        </c:ser>
        <c:dLbls>
          <c:showLegendKey val="0"/>
          <c:showVal val="0"/>
          <c:showCatName val="0"/>
          <c:showSerName val="0"/>
          <c:showPercent val="0"/>
          <c:showBubbleSize val="0"/>
        </c:dLbls>
        <c:marker val="1"/>
        <c:smooth val="0"/>
        <c:axId val="132876544"/>
        <c:axId val="132878720"/>
      </c:lineChart>
      <c:catAx>
        <c:axId val="132876544"/>
        <c:scaling>
          <c:orientation val="minMax"/>
        </c:scaling>
        <c:delete val="0"/>
        <c:axPos val="b"/>
        <c:numFmt formatCode="General" sourceLinked="1"/>
        <c:majorTickMark val="out"/>
        <c:minorTickMark val="none"/>
        <c:tickLblPos val="nextTo"/>
        <c:txPr>
          <a:bodyPr/>
          <a:lstStyle/>
          <a:p>
            <a:pPr>
              <a:defRPr sz="1000"/>
            </a:pPr>
            <a:endParaRPr lang="en-US"/>
          </a:p>
        </c:txPr>
        <c:crossAx val="132878720"/>
        <c:crosses val="autoZero"/>
        <c:auto val="1"/>
        <c:lblAlgn val="ctr"/>
        <c:lblOffset val="100"/>
        <c:noMultiLvlLbl val="0"/>
      </c:catAx>
      <c:valAx>
        <c:axId val="132878720"/>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2876544"/>
        <c:crosses val="autoZero"/>
        <c:crossBetween val="between"/>
        <c:majorUnit val="1000000"/>
      </c:valAx>
    </c:plotArea>
    <c:legend>
      <c:legendPos val="t"/>
      <c:layout>
        <c:manualLayout>
          <c:xMode val="edge"/>
          <c:yMode val="edge"/>
          <c:x val="0.20565082577760882"/>
          <c:y val="8.4609887847297921E-2"/>
          <c:w val="0.25886263461575026"/>
          <c:h val="0.5177720514516946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42321290293454"/>
          <c:y val="0.18404227725592476"/>
          <c:w val="0.7873671252066341"/>
          <c:h val="0.72109136680229713"/>
        </c:manualLayout>
      </c:layout>
      <c:lineChart>
        <c:grouping val="standard"/>
        <c:varyColors val="0"/>
        <c:ser>
          <c:idx val="0"/>
          <c:order val="0"/>
          <c:tx>
            <c:strRef>
              <c:f>Summary!$B$222</c:f>
              <c:strCache>
                <c:ptCount val="1"/>
                <c:pt idx="0">
                  <c:v>10G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Summary!$C$222:$M$222</c:f>
              <c:numCache>
                <c:formatCode>_(* #,##0_);_(* \(#,##0\);_(* "-"??_);_(@_)</c:formatCode>
                <c:ptCount val="11"/>
                <c:pt idx="0">
                  <c:v>7045433</c:v>
                </c:pt>
                <c:pt idx="1">
                  <c:v>7253278.0999999996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A7E-4C49-8F73-1D034969DEF4}"/>
            </c:ext>
          </c:extLst>
        </c:ser>
        <c:ser>
          <c:idx val="2"/>
          <c:order val="1"/>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Summary!$C$223:$M$223</c:f>
              <c:numCache>
                <c:formatCode>_(* #,##0_);_(* \(#,##0\);_(* "-"??_);_(@_)</c:formatCode>
                <c:ptCount val="11"/>
                <c:pt idx="0">
                  <c:v>4548</c:v>
                </c:pt>
                <c:pt idx="1">
                  <c:v>17462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A7E-4C49-8F73-1D034969DEF4}"/>
            </c:ext>
          </c:extLst>
        </c:ser>
        <c:ser>
          <c:idx val="3"/>
          <c:order val="2"/>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Summary!$C$224:$M$224</c:f>
              <c:numCache>
                <c:formatCode>_(* #,##0_);_(* \(#,##0\);_(* "-"??_);_(@_)</c:formatCode>
                <c:ptCount val="11"/>
                <c:pt idx="0">
                  <c:v>1623570</c:v>
                </c:pt>
                <c:pt idx="1">
                  <c:v>1853294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A7E-4C49-8F73-1D034969DEF4}"/>
            </c:ext>
          </c:extLst>
        </c:ser>
        <c:ser>
          <c:idx val="5"/>
          <c:order val="3"/>
          <c:tx>
            <c:strRef>
              <c:f>Summary!$B$225</c:f>
              <c:strCache>
                <c:ptCount val="1"/>
                <c:pt idx="0">
                  <c:v>50G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Summary!$C$225:$M$225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A7E-4C49-8F73-1D034969DEF4}"/>
            </c:ext>
          </c:extLst>
        </c:ser>
        <c:ser>
          <c:idx val="1"/>
          <c:order val="4"/>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Summary!$C$226:$M$226</c:f>
              <c:numCache>
                <c:formatCode>_(* #,##0_);_(* \(#,##0\);_(* "-"??_);_(@_)</c:formatCode>
                <c:ptCount val="11"/>
                <c:pt idx="0">
                  <c:v>620129</c:v>
                </c:pt>
                <c:pt idx="1">
                  <c:v>2249516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A7E-4C49-8F73-1D034969DEF4}"/>
            </c:ext>
          </c:extLst>
        </c:ser>
        <c:ser>
          <c:idx val="6"/>
          <c:order val="5"/>
          <c:tx>
            <c:strRef>
              <c:f>Summary!$B$227</c:f>
              <c:strCache>
                <c:ptCount val="1"/>
                <c:pt idx="0">
                  <c:v>200G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Summary!$C$227:$M$227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A7E-4C49-8F73-1D034969DEF4}"/>
            </c:ext>
          </c:extLst>
        </c:ser>
        <c:ser>
          <c:idx val="4"/>
          <c:order val="6"/>
          <c:tx>
            <c:strRef>
              <c:f>Summary!$B$228</c:f>
              <c:strCache>
                <c:ptCount val="1"/>
                <c:pt idx="0">
                  <c:v>400G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Summary!$C$228:$M$228</c:f>
              <c:numCache>
                <c:formatCode>_(* #,##0_);_(* \(#,##0\);_(* "-"??_);_(@_)</c:formatCode>
                <c:ptCount val="11"/>
                <c:pt idx="1">
                  <c:v>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A7E-4C49-8F73-1D034969DEF4}"/>
            </c:ext>
          </c:extLst>
        </c:ser>
        <c:ser>
          <c:idx val="7"/>
          <c:order val="7"/>
          <c:tx>
            <c:strRef>
              <c:f>Summary!$B$229</c:f>
              <c:strCache>
                <c:ptCount val="1"/>
                <c:pt idx="0">
                  <c:v>800G SMF</c:v>
                </c:pt>
              </c:strCache>
            </c:strRef>
          </c:tx>
          <c:spPr>
            <a:ln>
              <a:solidFill>
                <a:srgbClr val="00B050"/>
              </a:solidFill>
            </a:ln>
          </c:spPr>
          <c:marker>
            <c:spPr>
              <a:ln>
                <a:solidFill>
                  <a:srgbClr val="00B050"/>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Summary!$C$229:$M$229</c:f>
              <c:numCache>
                <c:formatCode>_(* #,##0_);_(* \(#,##0\);_(* "-"??_);_(@_)</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0-ED1D-1745-83C4-6B6B5D37EAFC}"/>
            </c:ext>
          </c:extLst>
        </c:ser>
        <c:ser>
          <c:idx val="8"/>
          <c:order val="8"/>
          <c:tx>
            <c:strRef>
              <c:f>Summary!$B$230</c:f>
              <c:strCache>
                <c:ptCount val="1"/>
                <c:pt idx="0">
                  <c:v>1.6T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Summary!$C$230:$M$230</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F5DC-614F-908B-6FA812754D1B}"/>
            </c:ext>
          </c:extLst>
        </c:ser>
        <c:dLbls>
          <c:showLegendKey val="0"/>
          <c:showVal val="0"/>
          <c:showCatName val="0"/>
          <c:showSerName val="0"/>
          <c:showPercent val="0"/>
          <c:showBubbleSize val="0"/>
        </c:dLbls>
        <c:marker val="1"/>
        <c:smooth val="0"/>
        <c:axId val="133110016"/>
        <c:axId val="133115904"/>
      </c:lineChart>
      <c:catAx>
        <c:axId val="133110016"/>
        <c:scaling>
          <c:orientation val="minMax"/>
        </c:scaling>
        <c:delete val="0"/>
        <c:axPos val="b"/>
        <c:numFmt formatCode="General" sourceLinked="1"/>
        <c:majorTickMark val="out"/>
        <c:minorTickMark val="none"/>
        <c:tickLblPos val="nextTo"/>
        <c:txPr>
          <a:bodyPr/>
          <a:lstStyle/>
          <a:p>
            <a:pPr>
              <a:defRPr sz="1000"/>
            </a:pPr>
            <a:endParaRPr lang="en-US"/>
          </a:p>
        </c:txPr>
        <c:crossAx val="133115904"/>
        <c:crosses val="autoZero"/>
        <c:auto val="1"/>
        <c:lblAlgn val="ctr"/>
        <c:lblOffset val="100"/>
        <c:noMultiLvlLbl val="0"/>
      </c:catAx>
      <c:valAx>
        <c:axId val="133115904"/>
        <c:scaling>
          <c:orientation val="minMax"/>
          <c:min val="0"/>
        </c:scaling>
        <c:delete val="0"/>
        <c:axPos val="l"/>
        <c:majorGridlines/>
        <c:title>
          <c:tx>
            <c:rich>
              <a:bodyPr/>
              <a:lstStyle/>
              <a:p>
                <a:pPr>
                  <a:defRPr sz="1200"/>
                </a:pPr>
                <a:r>
                  <a:rPr lang="en-US" sz="1200"/>
                  <a:t>Shipments (Units)</a:t>
                </a:r>
              </a:p>
            </c:rich>
          </c:tx>
          <c:layout>
            <c:manualLayout>
              <c:xMode val="edge"/>
              <c:yMode val="edge"/>
              <c:x val="2.3462327726077124E-2"/>
              <c:y val="0.28239084591574548"/>
            </c:manualLayout>
          </c:layout>
          <c:overlay val="0"/>
        </c:title>
        <c:numFmt formatCode="_(* #,##0_);_(* \(#,##0\);_(* &quot;-&quot;??_);_(@_)" sourceLinked="1"/>
        <c:majorTickMark val="out"/>
        <c:minorTickMark val="none"/>
        <c:tickLblPos val="nextTo"/>
        <c:txPr>
          <a:bodyPr/>
          <a:lstStyle/>
          <a:p>
            <a:pPr>
              <a:defRPr sz="1000"/>
            </a:pPr>
            <a:endParaRPr lang="en-US"/>
          </a:p>
        </c:txPr>
        <c:crossAx val="133110016"/>
        <c:crosses val="autoZero"/>
        <c:crossBetween val="between"/>
        <c:majorUnit val="2000000"/>
        <c:minorUnit val="40000"/>
      </c:valAx>
    </c:plotArea>
    <c:legend>
      <c:legendPos val="t"/>
      <c:layout>
        <c:manualLayout>
          <c:xMode val="edge"/>
          <c:yMode val="edge"/>
          <c:x val="0.22953034291704424"/>
          <c:y val="3.2017165564869429E-2"/>
          <c:w val="0.67262626110428281"/>
          <c:h val="0.136172693485781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096058806194"/>
          <c:y val="5.6855167637838613E-2"/>
          <c:w val="0.847492240784677"/>
          <c:h val="0.85122126856446434"/>
        </c:manualLayout>
      </c:layout>
      <c:lineChart>
        <c:grouping val="standard"/>
        <c:varyColors val="0"/>
        <c:ser>
          <c:idx val="0"/>
          <c:order val="0"/>
          <c:tx>
            <c:strRef>
              <c:f>Summary!$B$295</c:f>
              <c:strCache>
                <c:ptCount val="1"/>
                <c:pt idx="0">
                  <c:v>&lt;10G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Summary!$C$295:$M$295</c:f>
              <c:numCache>
                <c:formatCode>0%</c:formatCode>
                <c:ptCount val="11"/>
                <c:pt idx="0">
                  <c:v>0.37511818939959324</c:v>
                </c:pt>
                <c:pt idx="1">
                  <c:v>0.2960701521301668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81F-DA49-8B03-69DF76182AAB}"/>
            </c:ext>
          </c:extLst>
        </c:ser>
        <c:ser>
          <c:idx val="1"/>
          <c:order val="1"/>
          <c:tx>
            <c:strRef>
              <c:f>Summary!$B$296</c:f>
              <c:strCache>
                <c:ptCount val="1"/>
                <c:pt idx="0">
                  <c:v>10G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Summary!$C$296:$M$296</c:f>
              <c:numCache>
                <c:formatCode>0%</c:formatCode>
                <c:ptCount val="11"/>
                <c:pt idx="0">
                  <c:v>0.59913931153889233</c:v>
                </c:pt>
                <c:pt idx="1">
                  <c:v>0.62527752748127097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81F-DA49-8B03-69DF76182AAB}"/>
            </c:ext>
          </c:extLst>
        </c:ser>
        <c:ser>
          <c:idx val="2"/>
          <c:order val="2"/>
          <c:tx>
            <c:strRef>
              <c:f>Summary!$B$297</c:f>
              <c:strCache>
                <c:ptCount val="1"/>
                <c:pt idx="0">
                  <c:v>25G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Summary!$C$297:$M$297</c:f>
              <c:numCache>
                <c:formatCode>0%</c:formatCode>
                <c:ptCount val="11"/>
                <c:pt idx="0">
                  <c:v>2.5742499061514355E-2</c:v>
                </c:pt>
                <c:pt idx="1">
                  <c:v>7.8649983067619847E-2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81F-DA49-8B03-69DF76182AAB}"/>
            </c:ext>
          </c:extLst>
        </c:ser>
        <c:ser>
          <c:idx val="3"/>
          <c:order val="3"/>
          <c:tx>
            <c:strRef>
              <c:f>Summary!$B$298</c:f>
              <c:strCache>
                <c:ptCount val="1"/>
                <c:pt idx="0">
                  <c:v>50G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Summary!$C$298:$M$298</c:f>
              <c:numCache>
                <c:formatCode>0%</c:formatCode>
                <c:ptCount val="11"/>
                <c:pt idx="0">
                  <c:v>0</c:v>
                </c:pt>
                <c:pt idx="1">
                  <c:v>2.1534867110560769E-6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81F-DA49-8B03-69DF76182AAB}"/>
            </c:ext>
          </c:extLst>
        </c:ser>
        <c:ser>
          <c:idx val="4"/>
          <c:order val="4"/>
          <c:tx>
            <c:strRef>
              <c:f>Summary!$B$299</c:f>
              <c:strCache>
                <c:ptCount val="1"/>
                <c:pt idx="0">
                  <c:v>100G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Summary!$C$299:$M$299</c:f>
              <c:numCache>
                <c:formatCode>0%</c:formatCode>
                <c:ptCount val="11"/>
                <c:pt idx="0">
                  <c:v>0</c:v>
                </c:pt>
                <c:pt idx="1">
                  <c:v>1.8383423143161633E-7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8F2-DB4C-A0B8-52577B658713}"/>
            </c:ext>
          </c:extLst>
        </c:ser>
        <c:ser>
          <c:idx val="5"/>
          <c:order val="5"/>
          <c:tx>
            <c:strRef>
              <c:f>Summary!$B$300</c:f>
              <c:strCache>
                <c:ptCount val="1"/>
                <c:pt idx="0">
                  <c:v>200G</c:v>
                </c:pt>
              </c:strCache>
            </c:strRef>
          </c:tx>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Summary!$C$300:$M$300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69-DA46-B293-8E7B7CD503C4}"/>
            </c:ext>
          </c:extLst>
        </c:ser>
        <c:dLbls>
          <c:showLegendKey val="0"/>
          <c:showVal val="0"/>
          <c:showCatName val="0"/>
          <c:showSerName val="0"/>
          <c:showPercent val="0"/>
          <c:showBubbleSize val="0"/>
        </c:dLbls>
        <c:marker val="1"/>
        <c:smooth val="0"/>
        <c:axId val="133159168"/>
        <c:axId val="133169152"/>
      </c:lineChart>
      <c:catAx>
        <c:axId val="133159168"/>
        <c:scaling>
          <c:orientation val="minMax"/>
        </c:scaling>
        <c:delete val="0"/>
        <c:axPos val="b"/>
        <c:numFmt formatCode="General" sourceLinked="1"/>
        <c:majorTickMark val="out"/>
        <c:minorTickMark val="none"/>
        <c:tickLblPos val="nextTo"/>
        <c:txPr>
          <a:bodyPr/>
          <a:lstStyle/>
          <a:p>
            <a:pPr>
              <a:defRPr sz="1200"/>
            </a:pPr>
            <a:endParaRPr lang="en-US"/>
          </a:p>
        </c:txPr>
        <c:crossAx val="133169152"/>
        <c:crosses val="autoZero"/>
        <c:auto val="1"/>
        <c:lblAlgn val="ctr"/>
        <c:lblOffset val="100"/>
        <c:noMultiLvlLbl val="0"/>
      </c:catAx>
      <c:valAx>
        <c:axId val="133169152"/>
        <c:scaling>
          <c:orientation val="minMax"/>
          <c:max val="0.75"/>
          <c:min val="0"/>
        </c:scaling>
        <c:delete val="0"/>
        <c:axPos val="l"/>
        <c:majorGridlines/>
        <c:title>
          <c:tx>
            <c:rich>
              <a:bodyPr rot="-5400000" vert="horz"/>
              <a:lstStyle/>
              <a:p>
                <a:pPr>
                  <a:defRPr sz="1200" b="1"/>
                </a:pPr>
                <a:r>
                  <a:rPr lang="en-US" sz="1200" b="1"/>
                  <a:t>Percent of Total Modules Shipped</a:t>
                </a:r>
              </a:p>
            </c:rich>
          </c:tx>
          <c:layout>
            <c:manualLayout>
              <c:xMode val="edge"/>
              <c:yMode val="edge"/>
              <c:x val="2.4329020275974299E-2"/>
              <c:y val="0.18415878595864901"/>
            </c:manualLayout>
          </c:layout>
          <c:overlay val="0"/>
        </c:title>
        <c:numFmt formatCode="0%" sourceLinked="1"/>
        <c:majorTickMark val="out"/>
        <c:minorTickMark val="none"/>
        <c:tickLblPos val="nextTo"/>
        <c:crossAx val="133159168"/>
        <c:crosses val="autoZero"/>
        <c:crossBetween val="between"/>
      </c:valAx>
    </c:plotArea>
    <c:legend>
      <c:legendPos val="t"/>
      <c:layout>
        <c:manualLayout>
          <c:xMode val="edge"/>
          <c:yMode val="edge"/>
          <c:x val="0.47255662561492601"/>
          <c:y val="4.0970565442059965E-2"/>
          <c:w val="0.52744337438507405"/>
          <c:h val="7.922980095716547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19116978526157"/>
          <c:y val="4.2437647091752607E-2"/>
          <c:w val="0.84499471704530182"/>
          <c:h val="0.83264656323092701"/>
        </c:manualLayout>
      </c:layout>
      <c:lineChart>
        <c:grouping val="standard"/>
        <c:varyColors val="0"/>
        <c:ser>
          <c:idx val="2"/>
          <c:order val="0"/>
          <c:tx>
            <c:strRef>
              <c:f>Summary!$B$573</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Summary!$E$572:$M$572</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Summary!$E$573:$M$573</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C1AA-FB41-BF06-38DEF12B2A04}"/>
            </c:ext>
          </c:extLst>
        </c:ser>
        <c:ser>
          <c:idx val="3"/>
          <c:order val="1"/>
          <c:tx>
            <c:strRef>
              <c:f>Summary!$B$574</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Summary!$E$572:$M$572</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Summary!$E$574:$M$574</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C1AA-FB41-BF06-38DEF12B2A04}"/>
            </c:ext>
          </c:extLst>
        </c:ser>
        <c:dLbls>
          <c:showLegendKey val="0"/>
          <c:showVal val="0"/>
          <c:showCatName val="0"/>
          <c:showSerName val="0"/>
          <c:showPercent val="0"/>
          <c:showBubbleSize val="0"/>
        </c:dLbls>
        <c:marker val="1"/>
        <c:smooth val="0"/>
        <c:axId val="133306240"/>
        <c:axId val="133312512"/>
      </c:lineChart>
      <c:catAx>
        <c:axId val="133306240"/>
        <c:scaling>
          <c:orientation val="minMax"/>
        </c:scaling>
        <c:delete val="0"/>
        <c:axPos val="b"/>
        <c:numFmt formatCode="General" sourceLinked="1"/>
        <c:majorTickMark val="out"/>
        <c:minorTickMark val="none"/>
        <c:tickLblPos val="nextTo"/>
        <c:txPr>
          <a:bodyPr/>
          <a:lstStyle/>
          <a:p>
            <a:pPr>
              <a:defRPr sz="1000"/>
            </a:pPr>
            <a:endParaRPr lang="en-US"/>
          </a:p>
        </c:txPr>
        <c:crossAx val="133312512"/>
        <c:crosses val="autoZero"/>
        <c:auto val="1"/>
        <c:lblAlgn val="ctr"/>
        <c:lblOffset val="100"/>
        <c:noMultiLvlLbl val="0"/>
      </c:catAx>
      <c:valAx>
        <c:axId val="13331251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_(* #,##0_);_(* \(#,##0\);_(* &quot;-&quot;??_);_(@_)" sourceLinked="1"/>
        <c:majorTickMark val="out"/>
        <c:minorTickMark val="none"/>
        <c:tickLblPos val="nextTo"/>
        <c:txPr>
          <a:bodyPr/>
          <a:lstStyle/>
          <a:p>
            <a:pPr>
              <a:defRPr sz="1000"/>
            </a:pPr>
            <a:endParaRPr lang="en-US"/>
          </a:p>
        </c:txPr>
        <c:crossAx val="133306240"/>
        <c:crosses val="autoZero"/>
        <c:crossBetween val="between"/>
        <c:majorUnit val="500000"/>
      </c:valAx>
    </c:plotArea>
    <c:legend>
      <c:legendPos val="t"/>
      <c:layout>
        <c:manualLayout>
          <c:xMode val="edge"/>
          <c:yMode val="edge"/>
          <c:x val="0.21665150585317014"/>
          <c:y val="0.10215844312590842"/>
          <c:w val="0.33482952626928653"/>
          <c:h val="0.205034877047740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MMF vs SMF - All Modules</a:t>
            </a:r>
          </a:p>
        </c:rich>
      </c:tx>
      <c:overlay val="0"/>
    </c:title>
    <c:autoTitleDeleted val="0"/>
    <c:plotArea>
      <c:layout>
        <c:manualLayout>
          <c:layoutTarget val="inner"/>
          <c:xMode val="edge"/>
          <c:yMode val="edge"/>
          <c:x val="7.9823800076012461E-2"/>
          <c:y val="0.17144738361468323"/>
          <c:w val="0.90655526742312142"/>
          <c:h val="0.72018099405713021"/>
        </c:manualLayout>
      </c:layout>
      <c:barChart>
        <c:barDir val="col"/>
        <c:grouping val="percentStacked"/>
        <c:varyColors val="0"/>
        <c:ser>
          <c:idx val="1"/>
          <c:order val="0"/>
          <c:tx>
            <c:strRef>
              <c:f>Summary!$B$246</c:f>
              <c:strCache>
                <c:ptCount val="1"/>
                <c:pt idx="0">
                  <c:v>Percent  MMF</c:v>
                </c:pt>
              </c:strCache>
            </c:strRef>
          </c:tx>
          <c:spPr>
            <a:solidFill>
              <a:schemeClr val="accent1"/>
            </a:solidFill>
          </c:spPr>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Summary!$C$246:$M$246</c:f>
              <c:numCache>
                <c:formatCode>0%</c:formatCode>
                <c:ptCount val="11"/>
                <c:pt idx="0">
                  <c:v>0.49223811974149628</c:v>
                </c:pt>
                <c:pt idx="1">
                  <c:v>0.51759665005603139</c:v>
                </c:pt>
              </c:numCache>
            </c:numRef>
          </c:val>
          <c:extLst>
            <c:ext xmlns:c16="http://schemas.microsoft.com/office/drawing/2014/chart" uri="{C3380CC4-5D6E-409C-BE32-E72D297353CC}">
              <c16:uniqueId val="{00000000-FC00-084B-B2B8-2C9898FD03FC}"/>
            </c:ext>
          </c:extLst>
        </c:ser>
        <c:ser>
          <c:idx val="0"/>
          <c:order val="1"/>
          <c:tx>
            <c:strRef>
              <c:f>Summary!$B$247</c:f>
              <c:strCache>
                <c:ptCount val="1"/>
                <c:pt idx="0">
                  <c:v>Percent  SMF</c:v>
                </c:pt>
              </c:strCache>
            </c:strRef>
          </c:tx>
          <c:spPr>
            <a:solidFill>
              <a:schemeClr val="accent2"/>
            </a:solidFill>
          </c:spPr>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Summary!$C$247:$M$247</c:f>
              <c:numCache>
                <c:formatCode>0%</c:formatCode>
                <c:ptCount val="11"/>
                <c:pt idx="0">
                  <c:v>0.50776188025850366</c:v>
                </c:pt>
                <c:pt idx="1">
                  <c:v>0.48240334994396855</c:v>
                </c:pt>
              </c:numCache>
            </c:numRef>
          </c:val>
          <c:extLst>
            <c:ext xmlns:c16="http://schemas.microsoft.com/office/drawing/2014/chart" uri="{C3380CC4-5D6E-409C-BE32-E72D297353CC}">
              <c16:uniqueId val="{00000000-B0B7-6F4B-8ADD-64C8B9B91F16}"/>
            </c:ext>
          </c:extLst>
        </c:ser>
        <c:dLbls>
          <c:showLegendKey val="0"/>
          <c:showVal val="0"/>
          <c:showCatName val="0"/>
          <c:showSerName val="0"/>
          <c:showPercent val="0"/>
          <c:showBubbleSize val="0"/>
        </c:dLbls>
        <c:gapWidth val="150"/>
        <c:overlap val="100"/>
        <c:axId val="133339008"/>
        <c:axId val="133340544"/>
      </c:barChart>
      <c:catAx>
        <c:axId val="133339008"/>
        <c:scaling>
          <c:orientation val="minMax"/>
        </c:scaling>
        <c:delete val="0"/>
        <c:axPos val="b"/>
        <c:numFmt formatCode="General" sourceLinked="1"/>
        <c:majorTickMark val="out"/>
        <c:minorTickMark val="none"/>
        <c:tickLblPos val="nextTo"/>
        <c:crossAx val="133340544"/>
        <c:crosses val="autoZero"/>
        <c:auto val="1"/>
        <c:lblAlgn val="ctr"/>
        <c:lblOffset val="100"/>
        <c:noMultiLvlLbl val="0"/>
      </c:catAx>
      <c:valAx>
        <c:axId val="133340544"/>
        <c:scaling>
          <c:orientation val="minMax"/>
        </c:scaling>
        <c:delete val="0"/>
        <c:axPos val="l"/>
        <c:majorGridlines/>
        <c:numFmt formatCode="0%" sourceLinked="1"/>
        <c:majorTickMark val="out"/>
        <c:minorTickMark val="none"/>
        <c:tickLblPos val="nextTo"/>
        <c:crossAx val="133339008"/>
        <c:crosses val="autoZero"/>
        <c:crossBetween val="between"/>
      </c:valAx>
    </c:plotArea>
    <c:legend>
      <c:legendPos val="r"/>
      <c:layout>
        <c:manualLayout>
          <c:xMode val="edge"/>
          <c:yMode val="edge"/>
          <c:x val="0.73444548283958089"/>
          <c:y val="0.26182278739748632"/>
          <c:w val="0.15975129797235127"/>
          <c:h val="0.16551133042256366"/>
        </c:manualLayout>
      </c:layout>
      <c:overlay val="0"/>
      <c:spPr>
        <a:solidFill>
          <a:sysClr val="window" lastClr="FFFFFF"/>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81044258781"/>
          <c:y val="5.530659146732407E-2"/>
          <c:w val="0.74542245196449697"/>
          <c:h val="0.82930913938073236"/>
        </c:manualLayout>
      </c:layout>
      <c:barChart>
        <c:barDir val="col"/>
        <c:grouping val="percentStacked"/>
        <c:varyColors val="0"/>
        <c:ser>
          <c:idx val="0"/>
          <c:order val="0"/>
          <c:tx>
            <c:strRef>
              <c:f>Summary!$B$233</c:f>
              <c:strCache>
                <c:ptCount val="1"/>
                <c:pt idx="0">
                  <c:v>1G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Summary!$C$233:$M$233</c:f>
              <c:numCache>
                <c:formatCode>0%</c:formatCode>
                <c:ptCount val="11"/>
                <c:pt idx="0">
                  <c:v>0.37511818939959324</c:v>
                </c:pt>
                <c:pt idx="1">
                  <c:v>0.2960701521301668</c:v>
                </c:pt>
              </c:numCache>
            </c:numRef>
          </c:val>
          <c:extLst>
            <c:ext xmlns:c16="http://schemas.microsoft.com/office/drawing/2014/chart" uri="{C3380CC4-5D6E-409C-BE32-E72D297353CC}">
              <c16:uniqueId val="{00000000-82D6-1E46-83C4-8721F7697AF7}"/>
            </c:ext>
          </c:extLst>
        </c:ser>
        <c:ser>
          <c:idx val="1"/>
          <c:order val="1"/>
          <c:tx>
            <c:strRef>
              <c:f>Summary!$B$234</c:f>
              <c:strCache>
                <c:ptCount val="1"/>
                <c:pt idx="0">
                  <c:v>10G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Summary!$C$234:$M$234</c:f>
              <c:numCache>
                <c:formatCode>0%</c:formatCode>
                <c:ptCount val="11"/>
                <c:pt idx="0">
                  <c:v>0.51196179202262815</c:v>
                </c:pt>
                <c:pt idx="1">
                  <c:v>0.52379682980572895</c:v>
                </c:pt>
              </c:numCache>
            </c:numRef>
          </c:val>
          <c:extLst>
            <c:ext xmlns:c16="http://schemas.microsoft.com/office/drawing/2014/chart" uri="{C3380CC4-5D6E-409C-BE32-E72D297353CC}">
              <c16:uniqueId val="{00000001-82D6-1E46-83C4-8721F7697AF7}"/>
            </c:ext>
          </c:extLst>
        </c:ser>
        <c:ser>
          <c:idx val="2"/>
          <c:order val="2"/>
          <c:tx>
            <c:strRef>
              <c:f>Summary!$B$235</c:f>
              <c:strCache>
                <c:ptCount val="1"/>
                <c:pt idx="0">
                  <c:v>25G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Summary!$C$235:$M$235</c:f>
              <c:numCache>
                <c:formatCode>0%</c:formatCode>
                <c:ptCount val="11"/>
                <c:pt idx="0">
                  <c:v>3.2332125828659351E-4</c:v>
                </c:pt>
                <c:pt idx="1">
                  <c:v>2.976197420778683E-3</c:v>
                </c:pt>
              </c:numCache>
            </c:numRef>
          </c:val>
          <c:extLst>
            <c:ext xmlns:c16="http://schemas.microsoft.com/office/drawing/2014/chart" uri="{C3380CC4-5D6E-409C-BE32-E72D297353CC}">
              <c16:uniqueId val="{00000002-82D6-1E46-83C4-8721F7697AF7}"/>
            </c:ext>
          </c:extLst>
        </c:ser>
        <c:ser>
          <c:idx val="3"/>
          <c:order val="3"/>
          <c:tx>
            <c:strRef>
              <c:f>Summary!$B$236</c:f>
              <c:strCache>
                <c:ptCount val="1"/>
                <c:pt idx="0">
                  <c:v>40G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Summary!$C$236:$M$236</c:f>
              <c:numCache>
                <c:formatCode>0%</c:formatCode>
                <c:ptCount val="11"/>
                <c:pt idx="0">
                  <c:v>8.7177519516264138E-2</c:v>
                </c:pt>
                <c:pt idx="1">
                  <c:v>0.10148069767554208</c:v>
                </c:pt>
              </c:numCache>
            </c:numRef>
          </c:val>
          <c:extLst>
            <c:ext xmlns:c16="http://schemas.microsoft.com/office/drawing/2014/chart" uri="{C3380CC4-5D6E-409C-BE32-E72D297353CC}">
              <c16:uniqueId val="{00000003-82D6-1E46-83C4-8721F7697AF7}"/>
            </c:ext>
          </c:extLst>
        </c:ser>
        <c:ser>
          <c:idx val="4"/>
          <c:order val="4"/>
          <c:tx>
            <c:strRef>
              <c:f>Summary!$B$237</c:f>
              <c:strCache>
                <c:ptCount val="1"/>
                <c:pt idx="0">
                  <c:v>50G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Summary!$C$237:$M$237</c:f>
              <c:numCache>
                <c:formatCode>0%</c:formatCode>
                <c:ptCount val="11"/>
                <c:pt idx="0">
                  <c:v>0</c:v>
                </c:pt>
                <c:pt idx="1">
                  <c:v>0</c:v>
                </c:pt>
              </c:numCache>
            </c:numRef>
          </c:val>
          <c:extLst>
            <c:ext xmlns:c16="http://schemas.microsoft.com/office/drawing/2014/chart" uri="{C3380CC4-5D6E-409C-BE32-E72D297353CC}">
              <c16:uniqueId val="{00000004-82D6-1E46-83C4-8721F7697AF7}"/>
            </c:ext>
          </c:extLst>
        </c:ser>
        <c:ser>
          <c:idx val="5"/>
          <c:order val="5"/>
          <c:tx>
            <c:strRef>
              <c:f>Summary!$B$238</c:f>
              <c:strCache>
                <c:ptCount val="1"/>
                <c:pt idx="0">
                  <c:v>100G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Summary!$C$238:$M$238</c:f>
              <c:numCache>
                <c:formatCode>0%</c:formatCode>
                <c:ptCount val="11"/>
                <c:pt idx="0">
                  <c:v>2.5419177803227763E-2</c:v>
                </c:pt>
                <c:pt idx="1">
                  <c:v>7.5673785646841157E-2</c:v>
                </c:pt>
              </c:numCache>
            </c:numRef>
          </c:val>
          <c:extLst>
            <c:ext xmlns:c16="http://schemas.microsoft.com/office/drawing/2014/chart" uri="{C3380CC4-5D6E-409C-BE32-E72D297353CC}">
              <c16:uniqueId val="{00000005-82D6-1E46-83C4-8721F7697AF7}"/>
            </c:ext>
          </c:extLst>
        </c:ser>
        <c:ser>
          <c:idx val="6"/>
          <c:order val="6"/>
          <c:tx>
            <c:strRef>
              <c:f>Summary!$B$239</c:f>
              <c:strCache>
                <c:ptCount val="1"/>
                <c:pt idx="0">
                  <c:v>200G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Summary!$C$239:$M$239</c:f>
              <c:numCache>
                <c:formatCode>0%</c:formatCode>
                <c:ptCount val="11"/>
                <c:pt idx="0">
                  <c:v>0</c:v>
                </c:pt>
                <c:pt idx="1">
                  <c:v>0</c:v>
                </c:pt>
              </c:numCache>
            </c:numRef>
          </c:val>
          <c:extLst>
            <c:ext xmlns:c16="http://schemas.microsoft.com/office/drawing/2014/chart" uri="{C3380CC4-5D6E-409C-BE32-E72D297353CC}">
              <c16:uniqueId val="{00000006-82D6-1E46-83C4-8721F7697AF7}"/>
            </c:ext>
          </c:extLst>
        </c:ser>
        <c:ser>
          <c:idx val="7"/>
          <c:order val="7"/>
          <c:tx>
            <c:strRef>
              <c:f>Summary!$B$240</c:f>
              <c:strCache>
                <c:ptCount val="1"/>
                <c:pt idx="0">
                  <c:v>400G </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Summary!$C$240:$M$240</c:f>
              <c:numCache>
                <c:formatCode>0%</c:formatCode>
                <c:ptCount val="11"/>
                <c:pt idx="0">
                  <c:v>0</c:v>
                </c:pt>
                <c:pt idx="1">
                  <c:v>2.3373209424876932E-6</c:v>
                </c:pt>
              </c:numCache>
            </c:numRef>
          </c:val>
          <c:extLst>
            <c:ext xmlns:c16="http://schemas.microsoft.com/office/drawing/2014/chart" uri="{C3380CC4-5D6E-409C-BE32-E72D297353CC}">
              <c16:uniqueId val="{00000007-82D6-1E46-83C4-8721F7697AF7}"/>
            </c:ext>
          </c:extLst>
        </c:ser>
        <c:ser>
          <c:idx val="8"/>
          <c:order val="8"/>
          <c:tx>
            <c:strRef>
              <c:f>Summary!$B$241</c:f>
              <c:strCache>
                <c:ptCount val="1"/>
                <c:pt idx="0">
                  <c:v>800G</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Summary!$C$241:$M$241</c:f>
              <c:numCache>
                <c:formatCode>0%</c:formatCode>
                <c:ptCount val="11"/>
                <c:pt idx="0">
                  <c:v>0</c:v>
                </c:pt>
                <c:pt idx="1">
                  <c:v>0</c:v>
                </c:pt>
              </c:numCache>
            </c:numRef>
          </c:val>
          <c:extLst>
            <c:ext xmlns:c16="http://schemas.microsoft.com/office/drawing/2014/chart" uri="{C3380CC4-5D6E-409C-BE32-E72D297353CC}">
              <c16:uniqueId val="{00000000-C0C2-D547-86B6-4B4FD9184421}"/>
            </c:ext>
          </c:extLst>
        </c:ser>
        <c:ser>
          <c:idx val="9"/>
          <c:order val="9"/>
          <c:tx>
            <c:strRef>
              <c:f>Summary!$B$242</c:f>
              <c:strCache>
                <c:ptCount val="1"/>
                <c:pt idx="0">
                  <c:v>1.6T</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Summary!$C$242:$M$242</c:f>
              <c:numCache>
                <c:formatCode>0.0%</c:formatCode>
                <c:ptCount val="11"/>
                <c:pt idx="0" formatCode="0%">
                  <c:v>0</c:v>
                </c:pt>
                <c:pt idx="1">
                  <c:v>0</c:v>
                </c:pt>
              </c:numCache>
            </c:numRef>
          </c:val>
          <c:extLst>
            <c:ext xmlns:c16="http://schemas.microsoft.com/office/drawing/2014/chart" uri="{C3380CC4-5D6E-409C-BE32-E72D297353CC}">
              <c16:uniqueId val="{00000000-A4E7-9246-82C6-0A1006443E18}"/>
            </c:ext>
          </c:extLst>
        </c:ser>
        <c:dLbls>
          <c:showLegendKey val="0"/>
          <c:showVal val="0"/>
          <c:showCatName val="0"/>
          <c:showSerName val="0"/>
          <c:showPercent val="0"/>
          <c:showBubbleSize val="0"/>
        </c:dLbls>
        <c:gapWidth val="150"/>
        <c:overlap val="100"/>
        <c:axId val="133470848"/>
        <c:axId val="133370240"/>
      </c:barChart>
      <c:catAx>
        <c:axId val="133470848"/>
        <c:scaling>
          <c:orientation val="minMax"/>
        </c:scaling>
        <c:delete val="0"/>
        <c:axPos val="b"/>
        <c:numFmt formatCode="0" sourceLinked="0"/>
        <c:majorTickMark val="out"/>
        <c:minorTickMark val="none"/>
        <c:tickLblPos val="nextTo"/>
        <c:crossAx val="133370240"/>
        <c:crosses val="autoZero"/>
        <c:auto val="1"/>
        <c:lblAlgn val="ctr"/>
        <c:lblOffset val="100"/>
        <c:noMultiLvlLbl val="0"/>
      </c:catAx>
      <c:valAx>
        <c:axId val="133370240"/>
        <c:scaling>
          <c:orientation val="minMax"/>
        </c:scaling>
        <c:delete val="0"/>
        <c:axPos val="l"/>
        <c:majorGridlines/>
        <c:title>
          <c:tx>
            <c:rich>
              <a:bodyPr rot="-5400000" vert="horz"/>
              <a:lstStyle/>
              <a:p>
                <a:pPr>
                  <a:defRPr/>
                </a:pPr>
                <a:r>
                  <a:rPr lang="en-US"/>
                  <a:t>Modules by speed, percent of total</a:t>
                </a:r>
              </a:p>
            </c:rich>
          </c:tx>
          <c:overlay val="0"/>
        </c:title>
        <c:numFmt formatCode="0%" sourceLinked="1"/>
        <c:majorTickMark val="out"/>
        <c:minorTickMark val="none"/>
        <c:tickLblPos val="nextTo"/>
        <c:crossAx val="133470848"/>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- 100</a:t>
            </a:r>
            <a:r>
              <a:rPr lang="en-US" sz="1600"/>
              <a:t>G to 800G speed</a:t>
            </a:r>
            <a:r>
              <a:rPr lang="en-US" sz="1600" baseline="0"/>
              <a:t> modules only</a:t>
            </a:r>
            <a:endParaRPr lang="en-US" sz="1600"/>
          </a:p>
        </c:rich>
      </c:tx>
      <c:overlay val="0"/>
    </c:title>
    <c:autoTitleDeleted val="0"/>
    <c:plotArea>
      <c:layout>
        <c:manualLayout>
          <c:layoutTarget val="inner"/>
          <c:xMode val="edge"/>
          <c:yMode val="edge"/>
          <c:x val="8.5003368831769593E-2"/>
          <c:y val="0.13132858667616301"/>
          <c:w val="0.869650948803813"/>
          <c:h val="0.77758084531418303"/>
        </c:manualLayout>
      </c:layout>
      <c:barChart>
        <c:barDir val="col"/>
        <c:grouping val="percentStacked"/>
        <c:varyColors val="0"/>
        <c:ser>
          <c:idx val="0"/>
          <c:order val="0"/>
          <c:tx>
            <c:strRef>
              <c:f>Summary!$B$252</c:f>
              <c:strCache>
                <c:ptCount val="1"/>
                <c:pt idx="0">
                  <c:v>Percent  MMF</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Summary!$C$252:$M$252</c:f>
              <c:numCache>
                <c:formatCode>0%</c:formatCode>
                <c:ptCount val="11"/>
                <c:pt idx="0">
                  <c:v>0.32548484288153845</c:v>
                </c:pt>
                <c:pt idx="1">
                  <c:v>0.21931517407643517</c:v>
                </c:pt>
              </c:numCache>
            </c:numRef>
          </c:val>
          <c:extLst>
            <c:ext xmlns:c16="http://schemas.microsoft.com/office/drawing/2014/chart" uri="{C3380CC4-5D6E-409C-BE32-E72D297353CC}">
              <c16:uniqueId val="{00000000-8F85-3040-B1A6-83576B3BDD17}"/>
            </c:ext>
          </c:extLst>
        </c:ser>
        <c:ser>
          <c:idx val="1"/>
          <c:order val="1"/>
          <c:tx>
            <c:strRef>
              <c:f>Summary!$B$253</c:f>
              <c:strCache>
                <c:ptCount val="1"/>
                <c:pt idx="0">
                  <c:v>Percent  SMF</c:v>
                </c:pt>
              </c:strCache>
            </c:strRef>
          </c:tx>
          <c:invertIfNegative val="0"/>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Summary!$C$253:$M$253</c:f>
              <c:numCache>
                <c:formatCode>0%</c:formatCode>
                <c:ptCount val="11"/>
                <c:pt idx="0">
                  <c:v>0.67451515711846155</c:v>
                </c:pt>
                <c:pt idx="1">
                  <c:v>0.78068482592356481</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33384064"/>
        <c:axId val="133385600"/>
      </c:barChart>
      <c:catAx>
        <c:axId val="133384064"/>
        <c:scaling>
          <c:orientation val="minMax"/>
        </c:scaling>
        <c:delete val="0"/>
        <c:axPos val="b"/>
        <c:numFmt formatCode="General" sourceLinked="1"/>
        <c:majorTickMark val="out"/>
        <c:minorTickMark val="none"/>
        <c:tickLblPos val="nextTo"/>
        <c:txPr>
          <a:bodyPr/>
          <a:lstStyle/>
          <a:p>
            <a:pPr>
              <a:defRPr sz="1050"/>
            </a:pPr>
            <a:endParaRPr lang="en-US"/>
          </a:p>
        </c:txPr>
        <c:crossAx val="133385600"/>
        <c:crosses val="autoZero"/>
        <c:auto val="1"/>
        <c:lblAlgn val="ctr"/>
        <c:lblOffset val="100"/>
        <c:noMultiLvlLbl val="0"/>
      </c:catAx>
      <c:valAx>
        <c:axId val="133385600"/>
        <c:scaling>
          <c:orientation val="minMax"/>
        </c:scaling>
        <c:delete val="0"/>
        <c:axPos val="l"/>
        <c:majorGridlines/>
        <c:numFmt formatCode="0%" sourceLinked="1"/>
        <c:majorTickMark val="out"/>
        <c:minorTickMark val="none"/>
        <c:tickLblPos val="nextTo"/>
        <c:crossAx val="133384064"/>
        <c:crosses val="autoZero"/>
        <c:crossBetween val="between"/>
      </c:valAx>
    </c:plotArea>
    <c:legend>
      <c:legendPos val="r"/>
      <c:layout>
        <c:manualLayout>
          <c:xMode val="edge"/>
          <c:yMode val="edge"/>
          <c:x val="0.69999467597689791"/>
          <c:y val="0.23764092121584685"/>
          <c:w val="0.20636986272358801"/>
          <c:h val="0.1744982409113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95132795036061E-2"/>
          <c:y val="4.2572879691112293E-2"/>
          <c:w val="0.75179531258835197"/>
          <c:h val="0.82513998304365133"/>
        </c:manualLayout>
      </c:layout>
      <c:lineChart>
        <c:grouping val="standard"/>
        <c:varyColors val="0"/>
        <c:ser>
          <c:idx val="0"/>
          <c:order val="0"/>
          <c:tx>
            <c:strRef>
              <c:f>Summary!$B$233</c:f>
              <c:strCache>
                <c:ptCount val="1"/>
                <c:pt idx="0">
                  <c:v>1G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Summary!$C$233:$M$233</c:f>
              <c:numCache>
                <c:formatCode>0%</c:formatCode>
                <c:ptCount val="11"/>
                <c:pt idx="0">
                  <c:v>0.37511818939959324</c:v>
                </c:pt>
                <c:pt idx="1">
                  <c:v>0.2960701521301668</c:v>
                </c:pt>
              </c:numCache>
            </c:numRef>
          </c:val>
          <c:smooth val="0"/>
          <c:extLst>
            <c:ext xmlns:c16="http://schemas.microsoft.com/office/drawing/2014/chart" uri="{C3380CC4-5D6E-409C-BE32-E72D297353CC}">
              <c16:uniqueId val="{00000000-088D-964D-97E6-E2D2F0394620}"/>
            </c:ext>
          </c:extLst>
        </c:ser>
        <c:ser>
          <c:idx val="1"/>
          <c:order val="1"/>
          <c:tx>
            <c:strRef>
              <c:f>Summary!$B$234</c:f>
              <c:strCache>
                <c:ptCount val="1"/>
                <c:pt idx="0">
                  <c:v>10G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Summary!$C$234:$M$234</c:f>
              <c:numCache>
                <c:formatCode>0%</c:formatCode>
                <c:ptCount val="11"/>
                <c:pt idx="0">
                  <c:v>0.51196179202262815</c:v>
                </c:pt>
                <c:pt idx="1">
                  <c:v>0.52379682980572895</c:v>
                </c:pt>
              </c:numCache>
            </c:numRef>
          </c:val>
          <c:smooth val="0"/>
          <c:extLst>
            <c:ext xmlns:c16="http://schemas.microsoft.com/office/drawing/2014/chart" uri="{C3380CC4-5D6E-409C-BE32-E72D297353CC}">
              <c16:uniqueId val="{00000001-088D-964D-97E6-E2D2F0394620}"/>
            </c:ext>
          </c:extLst>
        </c:ser>
        <c:ser>
          <c:idx val="2"/>
          <c:order val="2"/>
          <c:tx>
            <c:strRef>
              <c:f>Summary!$B$235</c:f>
              <c:strCache>
                <c:ptCount val="1"/>
                <c:pt idx="0">
                  <c:v>25G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Summary!$C$235:$M$235</c:f>
              <c:numCache>
                <c:formatCode>0%</c:formatCode>
                <c:ptCount val="11"/>
                <c:pt idx="0">
                  <c:v>3.2332125828659351E-4</c:v>
                </c:pt>
                <c:pt idx="1">
                  <c:v>2.976197420778683E-3</c:v>
                </c:pt>
              </c:numCache>
            </c:numRef>
          </c:val>
          <c:smooth val="0"/>
          <c:extLst>
            <c:ext xmlns:c16="http://schemas.microsoft.com/office/drawing/2014/chart" uri="{C3380CC4-5D6E-409C-BE32-E72D297353CC}">
              <c16:uniqueId val="{00000002-088D-964D-97E6-E2D2F0394620}"/>
            </c:ext>
          </c:extLst>
        </c:ser>
        <c:ser>
          <c:idx val="3"/>
          <c:order val="3"/>
          <c:tx>
            <c:strRef>
              <c:f>Summary!$B$236</c:f>
              <c:strCache>
                <c:ptCount val="1"/>
                <c:pt idx="0">
                  <c:v>40G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Summary!$C$236:$M$236</c:f>
              <c:numCache>
                <c:formatCode>0%</c:formatCode>
                <c:ptCount val="11"/>
                <c:pt idx="0">
                  <c:v>8.7177519516264138E-2</c:v>
                </c:pt>
                <c:pt idx="1">
                  <c:v>0.10148069767554208</c:v>
                </c:pt>
              </c:numCache>
            </c:numRef>
          </c:val>
          <c:smooth val="0"/>
          <c:extLst>
            <c:ext xmlns:c16="http://schemas.microsoft.com/office/drawing/2014/chart" uri="{C3380CC4-5D6E-409C-BE32-E72D297353CC}">
              <c16:uniqueId val="{00000003-088D-964D-97E6-E2D2F0394620}"/>
            </c:ext>
          </c:extLst>
        </c:ser>
        <c:ser>
          <c:idx val="4"/>
          <c:order val="4"/>
          <c:tx>
            <c:strRef>
              <c:f>Summary!$B$237</c:f>
              <c:strCache>
                <c:ptCount val="1"/>
                <c:pt idx="0">
                  <c:v>50G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Summary!$C$237:$M$237</c:f>
              <c:numCache>
                <c:formatCode>0%</c:formatCode>
                <c:ptCount val="11"/>
                <c:pt idx="0">
                  <c:v>0</c:v>
                </c:pt>
                <c:pt idx="1">
                  <c:v>0</c:v>
                </c:pt>
              </c:numCache>
            </c:numRef>
          </c:val>
          <c:smooth val="0"/>
          <c:extLst>
            <c:ext xmlns:c16="http://schemas.microsoft.com/office/drawing/2014/chart" uri="{C3380CC4-5D6E-409C-BE32-E72D297353CC}">
              <c16:uniqueId val="{00000004-088D-964D-97E6-E2D2F0394620}"/>
            </c:ext>
          </c:extLst>
        </c:ser>
        <c:ser>
          <c:idx val="5"/>
          <c:order val="5"/>
          <c:tx>
            <c:strRef>
              <c:f>Summary!$B$238</c:f>
              <c:strCache>
                <c:ptCount val="1"/>
                <c:pt idx="0">
                  <c:v>100G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Summary!$C$238:$M$238</c:f>
              <c:numCache>
                <c:formatCode>0%</c:formatCode>
                <c:ptCount val="11"/>
                <c:pt idx="0">
                  <c:v>2.5419177803227763E-2</c:v>
                </c:pt>
                <c:pt idx="1">
                  <c:v>7.5673785646841157E-2</c:v>
                </c:pt>
              </c:numCache>
            </c:numRef>
          </c:val>
          <c:smooth val="0"/>
          <c:extLst>
            <c:ext xmlns:c16="http://schemas.microsoft.com/office/drawing/2014/chart" uri="{C3380CC4-5D6E-409C-BE32-E72D297353CC}">
              <c16:uniqueId val="{00000005-088D-964D-97E6-E2D2F0394620}"/>
            </c:ext>
          </c:extLst>
        </c:ser>
        <c:ser>
          <c:idx val="6"/>
          <c:order val="6"/>
          <c:tx>
            <c:strRef>
              <c:f>Summary!$B$239</c:f>
              <c:strCache>
                <c:ptCount val="1"/>
                <c:pt idx="0">
                  <c:v>200G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Summary!$C$239:$M$239</c:f>
              <c:numCache>
                <c:formatCode>0%</c:formatCode>
                <c:ptCount val="11"/>
                <c:pt idx="0">
                  <c:v>0</c:v>
                </c:pt>
                <c:pt idx="1">
                  <c:v>0</c:v>
                </c:pt>
              </c:numCache>
            </c:numRef>
          </c:val>
          <c:smooth val="0"/>
          <c:extLst>
            <c:ext xmlns:c16="http://schemas.microsoft.com/office/drawing/2014/chart" uri="{C3380CC4-5D6E-409C-BE32-E72D297353CC}">
              <c16:uniqueId val="{00000006-088D-964D-97E6-E2D2F0394620}"/>
            </c:ext>
          </c:extLst>
        </c:ser>
        <c:ser>
          <c:idx val="7"/>
          <c:order val="7"/>
          <c:tx>
            <c:strRef>
              <c:f>Summary!$B$240</c:f>
              <c:strCache>
                <c:ptCount val="1"/>
                <c:pt idx="0">
                  <c:v>400G </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Summary!$C$240:$M$240</c:f>
              <c:numCache>
                <c:formatCode>0%</c:formatCode>
                <c:ptCount val="11"/>
                <c:pt idx="0">
                  <c:v>0</c:v>
                </c:pt>
                <c:pt idx="1">
                  <c:v>2.3373209424876932E-6</c:v>
                </c:pt>
              </c:numCache>
            </c:numRef>
          </c:val>
          <c:smooth val="0"/>
          <c:extLst>
            <c:ext xmlns:c16="http://schemas.microsoft.com/office/drawing/2014/chart" uri="{C3380CC4-5D6E-409C-BE32-E72D297353CC}">
              <c16:uniqueId val="{00000007-088D-964D-97E6-E2D2F0394620}"/>
            </c:ext>
          </c:extLst>
        </c:ser>
        <c:ser>
          <c:idx val="8"/>
          <c:order val="8"/>
          <c:tx>
            <c:strRef>
              <c:f>Summary!$B$241</c:f>
              <c:strCache>
                <c:ptCount val="1"/>
                <c:pt idx="0">
                  <c:v>800G</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Summary!$C$241:$M$241</c:f>
              <c:numCache>
                <c:formatCode>0%</c:formatCode>
                <c:ptCount val="11"/>
                <c:pt idx="0">
                  <c:v>0</c:v>
                </c:pt>
                <c:pt idx="1">
                  <c:v>0</c:v>
                </c:pt>
              </c:numCache>
            </c:numRef>
          </c:val>
          <c:smooth val="0"/>
          <c:extLst>
            <c:ext xmlns:c16="http://schemas.microsoft.com/office/drawing/2014/chart" uri="{C3380CC4-5D6E-409C-BE32-E72D297353CC}">
              <c16:uniqueId val="{00000000-DFC4-0546-8C70-452B3502A0CF}"/>
            </c:ext>
          </c:extLst>
        </c:ser>
        <c:ser>
          <c:idx val="9"/>
          <c:order val="9"/>
          <c:tx>
            <c:strRef>
              <c:f>Summary!$B$242</c:f>
              <c:strCache>
                <c:ptCount val="1"/>
                <c:pt idx="0">
                  <c:v>1.6T</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Summary!$C$242:$M$242</c:f>
              <c:numCache>
                <c:formatCode>0.0%</c:formatCode>
                <c:ptCount val="11"/>
                <c:pt idx="0" formatCode="0%">
                  <c:v>0</c:v>
                </c:pt>
                <c:pt idx="1">
                  <c:v>0</c:v>
                </c:pt>
              </c:numCache>
            </c:numRef>
          </c:val>
          <c:smooth val="0"/>
          <c:extLst>
            <c:ext xmlns:c16="http://schemas.microsoft.com/office/drawing/2014/chart" uri="{C3380CC4-5D6E-409C-BE32-E72D297353CC}">
              <c16:uniqueId val="{00000000-3089-EA4B-9B0D-8209A0B27D8E}"/>
            </c:ext>
          </c:extLst>
        </c:ser>
        <c:dLbls>
          <c:showLegendKey val="0"/>
          <c:showVal val="0"/>
          <c:showCatName val="0"/>
          <c:showSerName val="0"/>
          <c:showPercent val="0"/>
          <c:showBubbleSize val="0"/>
        </c:dLbls>
        <c:marker val="1"/>
        <c:smooth val="0"/>
        <c:axId val="133589632"/>
        <c:axId val="133599616"/>
      </c:lineChart>
      <c:catAx>
        <c:axId val="133589632"/>
        <c:scaling>
          <c:orientation val="minMax"/>
        </c:scaling>
        <c:delete val="0"/>
        <c:axPos val="b"/>
        <c:numFmt formatCode="0" sourceLinked="0"/>
        <c:majorTickMark val="out"/>
        <c:minorTickMark val="none"/>
        <c:tickLblPos val="nextTo"/>
        <c:crossAx val="133599616"/>
        <c:crosses val="autoZero"/>
        <c:auto val="1"/>
        <c:lblAlgn val="ctr"/>
        <c:lblOffset val="100"/>
        <c:noMultiLvlLbl val="0"/>
      </c:catAx>
      <c:valAx>
        <c:axId val="133599616"/>
        <c:scaling>
          <c:orientation val="minMax"/>
        </c:scaling>
        <c:delete val="0"/>
        <c:axPos val="l"/>
        <c:majorGridlines/>
        <c:title>
          <c:tx>
            <c:rich>
              <a:bodyPr rot="-5400000" vert="horz"/>
              <a:lstStyle/>
              <a:p>
                <a:pPr>
                  <a:defRPr/>
                </a:pPr>
                <a:r>
                  <a:rPr lang="en-US"/>
                  <a:t>Modules by speed, percent of total</a:t>
                </a:r>
              </a:p>
            </c:rich>
          </c:tx>
          <c:layout>
            <c:manualLayout>
              <c:xMode val="edge"/>
              <c:yMode val="edge"/>
              <c:x val="5.6250002768208794E-3"/>
              <c:y val="0.10458267284761513"/>
            </c:manualLayout>
          </c:layout>
          <c:overlay val="0"/>
        </c:title>
        <c:numFmt formatCode="0%" sourceLinked="1"/>
        <c:majorTickMark val="out"/>
        <c:minorTickMark val="none"/>
        <c:tickLblPos val="nextTo"/>
        <c:crossAx val="133589632"/>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Products!$P$25:$P$26</c:f>
              <c:strCache>
                <c:ptCount val="2"/>
                <c:pt idx="0">
                  <c:v>Rest of DWDM</c:v>
                </c:pt>
                <c:pt idx="1">
                  <c:v>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70-CF40-8792-892946E88A5B}"/>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70-CF40-8792-892946E88A5B}"/>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Products!$P$25:$P$26</c:f>
              <c:strCache>
                <c:ptCount val="2"/>
                <c:pt idx="0">
                  <c:v>Rest of DWDM</c:v>
                </c:pt>
                <c:pt idx="1">
                  <c:v>DCI DWDM</c:v>
                </c:pt>
              </c:strCache>
            </c:strRef>
          </c:cat>
          <c:val>
            <c:numRef>
              <c:f>'[10]WDM segments'!#REF!</c:f>
              <c:numCache>
                <c:formatCode>General</c:formatCode>
                <c:ptCount val="2"/>
                <c:pt idx="0">
                  <c:v>86448.937900865014</c:v>
                </c:pt>
                <c:pt idx="1">
                  <c:v>30625</c:v>
                </c:pt>
              </c:numCache>
            </c:numRef>
          </c:val>
          <c:extLst>
            <c:ext xmlns:c16="http://schemas.microsoft.com/office/drawing/2014/chart" uri="{C3380CC4-5D6E-409C-BE32-E72D297353CC}">
              <c16:uniqueId val="{00000002-8E70-CF40-8792-892946E88A5B}"/>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Calibri"/>
                <a:cs typeface="Calibri"/>
              </a:rPr>
              <a:t>≥25G </a:t>
            </a:r>
            <a:r>
              <a:rPr lang="en-US" sz="1600"/>
              <a:t>SMF devices (0.5-10 km)</a:t>
            </a:r>
          </a:p>
        </c:rich>
      </c:tx>
      <c:overlay val="0"/>
    </c:title>
    <c:autoTitleDeleted val="0"/>
    <c:plotArea>
      <c:layout>
        <c:manualLayout>
          <c:layoutTarget val="inner"/>
          <c:xMode val="edge"/>
          <c:yMode val="edge"/>
          <c:x val="0.148080818756716"/>
          <c:y val="0.24784614310860401"/>
          <c:w val="0.82731068012471598"/>
          <c:h val="0.66288901323011695"/>
        </c:manualLayout>
      </c:layout>
      <c:lineChart>
        <c:grouping val="standard"/>
        <c:varyColors val="0"/>
        <c:ser>
          <c:idx val="2"/>
          <c:order val="0"/>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Summary!$C$223:$M$223</c:f>
              <c:numCache>
                <c:formatCode>_(* #,##0_);_(* \(#,##0\);_(* "-"??_);_(@_)</c:formatCode>
                <c:ptCount val="11"/>
                <c:pt idx="0">
                  <c:v>4548</c:v>
                </c:pt>
                <c:pt idx="1">
                  <c:v>17462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B82-724A-AE02-29310F2735E3}"/>
            </c:ext>
          </c:extLst>
        </c:ser>
        <c:ser>
          <c:idx val="3"/>
          <c:order val="1"/>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Summary!$C$224:$M$224</c:f>
              <c:numCache>
                <c:formatCode>_(* #,##0_);_(* \(#,##0\);_(* "-"??_);_(@_)</c:formatCode>
                <c:ptCount val="11"/>
                <c:pt idx="0">
                  <c:v>1623570</c:v>
                </c:pt>
                <c:pt idx="1">
                  <c:v>1853294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B82-724A-AE02-29310F2735E3}"/>
            </c:ext>
          </c:extLst>
        </c:ser>
        <c:ser>
          <c:idx val="5"/>
          <c:order val="2"/>
          <c:tx>
            <c:strRef>
              <c:f>Summary!$B$225</c:f>
              <c:strCache>
                <c:ptCount val="1"/>
                <c:pt idx="0">
                  <c:v>50G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Summary!$C$225:$M$225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B82-724A-AE02-29310F2735E3}"/>
            </c:ext>
          </c:extLst>
        </c:ser>
        <c:ser>
          <c:idx val="1"/>
          <c:order val="3"/>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Summary!$C$226:$M$226</c:f>
              <c:numCache>
                <c:formatCode>_(* #,##0_);_(* \(#,##0\);_(* "-"??_);_(@_)</c:formatCode>
                <c:ptCount val="11"/>
                <c:pt idx="0">
                  <c:v>620129</c:v>
                </c:pt>
                <c:pt idx="1">
                  <c:v>2249516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B82-724A-AE02-29310F2735E3}"/>
            </c:ext>
          </c:extLst>
        </c:ser>
        <c:ser>
          <c:idx val="6"/>
          <c:order val="4"/>
          <c:tx>
            <c:strRef>
              <c:f>Summary!$B$227</c:f>
              <c:strCache>
                <c:ptCount val="1"/>
                <c:pt idx="0">
                  <c:v>200G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Summary!$C$227:$M$227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0B82-724A-AE02-29310F2735E3}"/>
            </c:ext>
          </c:extLst>
        </c:ser>
        <c:ser>
          <c:idx val="4"/>
          <c:order val="5"/>
          <c:tx>
            <c:strRef>
              <c:f>Summary!$B$228</c:f>
              <c:strCache>
                <c:ptCount val="1"/>
                <c:pt idx="0">
                  <c:v>400G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Summary!$C$228:$M$228</c:f>
              <c:numCache>
                <c:formatCode>_(* #,##0_);_(* \(#,##0\);_(* "-"??_);_(@_)</c:formatCode>
                <c:ptCount val="11"/>
                <c:pt idx="1">
                  <c:v>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0B82-724A-AE02-29310F2735E3}"/>
            </c:ext>
          </c:extLst>
        </c:ser>
        <c:ser>
          <c:idx val="0"/>
          <c:order val="6"/>
          <c:tx>
            <c:strRef>
              <c:f>Summary!$B$229</c:f>
              <c:strCache>
                <c:ptCount val="1"/>
                <c:pt idx="0">
                  <c:v>800G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Summary!$C$229:$M$229</c:f>
              <c:numCache>
                <c:formatCode>_(* #,##0_);_(* \(#,##0\);_(* "-"??_);_(@_)</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0-153E-AA45-907F-17717762C452}"/>
            </c:ext>
          </c:extLst>
        </c:ser>
        <c:ser>
          <c:idx val="7"/>
          <c:order val="7"/>
          <c:tx>
            <c:strRef>
              <c:f>Summary!$B$230</c:f>
              <c:strCache>
                <c:ptCount val="1"/>
                <c:pt idx="0">
                  <c:v>1.6T SMF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Summary!$C$230:$M$230</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AE8A-4240-9C05-BDEF50E5EE64}"/>
            </c:ext>
          </c:extLst>
        </c:ser>
        <c:dLbls>
          <c:showLegendKey val="0"/>
          <c:showVal val="0"/>
          <c:showCatName val="0"/>
          <c:showSerName val="0"/>
          <c:showPercent val="0"/>
          <c:showBubbleSize val="0"/>
        </c:dLbls>
        <c:marker val="1"/>
        <c:smooth val="0"/>
        <c:axId val="133653248"/>
        <c:axId val="133654784"/>
      </c:lineChart>
      <c:catAx>
        <c:axId val="133653248"/>
        <c:scaling>
          <c:orientation val="minMax"/>
        </c:scaling>
        <c:delete val="0"/>
        <c:axPos val="b"/>
        <c:numFmt formatCode="General" sourceLinked="1"/>
        <c:majorTickMark val="out"/>
        <c:minorTickMark val="none"/>
        <c:tickLblPos val="nextTo"/>
        <c:txPr>
          <a:bodyPr/>
          <a:lstStyle/>
          <a:p>
            <a:pPr>
              <a:defRPr sz="1200"/>
            </a:pPr>
            <a:endParaRPr lang="en-US"/>
          </a:p>
        </c:txPr>
        <c:crossAx val="133654784"/>
        <c:crosses val="autoZero"/>
        <c:auto val="1"/>
        <c:lblAlgn val="ctr"/>
        <c:lblOffset val="100"/>
        <c:noMultiLvlLbl val="0"/>
      </c:catAx>
      <c:valAx>
        <c:axId val="133654784"/>
        <c:scaling>
          <c:orientation val="minMax"/>
          <c:max val="10000000"/>
          <c:min val="0"/>
        </c:scaling>
        <c:delete val="0"/>
        <c:axPos val="l"/>
        <c:majorGridlines/>
        <c:numFmt formatCode="_(* #,##0_);_(* \(#,##0\);_(* &quot;-&quot;??_);_(@_)" sourceLinked="1"/>
        <c:majorTickMark val="out"/>
        <c:minorTickMark val="none"/>
        <c:tickLblPos val="nextTo"/>
        <c:txPr>
          <a:bodyPr/>
          <a:lstStyle/>
          <a:p>
            <a:pPr>
              <a:defRPr sz="1100"/>
            </a:pPr>
            <a:endParaRPr lang="en-US"/>
          </a:p>
        </c:txPr>
        <c:crossAx val="133653248"/>
        <c:crosses val="autoZero"/>
        <c:crossBetween val="between"/>
        <c:minorUnit val="40000"/>
      </c:valAx>
    </c:plotArea>
    <c:legend>
      <c:legendPos val="t"/>
      <c:layout>
        <c:manualLayout>
          <c:xMode val="edge"/>
          <c:yMode val="edge"/>
          <c:x val="2.7960346834581401E-2"/>
          <c:y val="0.100441950259303"/>
          <c:w val="0.89999997409761923"/>
          <c:h val="6.6175475796148589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2092972767905"/>
          <c:y val="5.5229706246193985E-2"/>
          <c:w val="0.84000969962279437"/>
          <c:h val="0.85007295922032933"/>
        </c:manualLayout>
      </c:layout>
      <c:lineChart>
        <c:grouping val="standard"/>
        <c:varyColors val="0"/>
        <c:ser>
          <c:idx val="1"/>
          <c:order val="0"/>
          <c:tx>
            <c:strRef>
              <c:f>Summary!$B$397</c:f>
              <c:strCache>
                <c:ptCount val="1"/>
                <c:pt idx="0">
                  <c:v>100G Short Reach</c:v>
                </c:pt>
              </c:strCache>
            </c:strRef>
          </c:tx>
          <c:marker>
            <c:symbol val="none"/>
          </c:marker>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Summary!$C$397:$M$397</c:f>
              <c:numCache>
                <c:formatCode>_("$"* #,##0_);_("$"* \(#,##0\);_("$"* "-"??_);_(@_)</c:formatCode>
                <c:ptCount val="11"/>
                <c:pt idx="0">
                  <c:v>98.621345999999988</c:v>
                </c:pt>
                <c:pt idx="1">
                  <c:v>124.64446038072001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B05-294D-BBA7-9DD36A8D680F}"/>
            </c:ext>
          </c:extLst>
        </c:ser>
        <c:ser>
          <c:idx val="0"/>
          <c:order val="1"/>
          <c:tx>
            <c:strRef>
              <c:f>Summary!$B$501</c:f>
              <c:strCache>
                <c:ptCount val="1"/>
                <c:pt idx="0">
                  <c:v>100G Long Reach</c:v>
                </c:pt>
              </c:strCache>
            </c:strRef>
          </c:tx>
          <c:marker>
            <c:symbol val="none"/>
          </c:marker>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Summary!$C$501:$M$501</c:f>
              <c:numCache>
                <c:formatCode>_("$"* #,##0_);_("$"* \(#,##0\);_("$"* "-"??_);_(@_)</c:formatCode>
                <c:ptCount val="11"/>
                <c:pt idx="0">
                  <c:v>1044.5376174696482</c:v>
                </c:pt>
                <c:pt idx="1">
                  <c:v>1529.3299315934335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B05-294D-BBA7-9DD36A8D680F}"/>
            </c:ext>
          </c:extLst>
        </c:ser>
        <c:dLbls>
          <c:showLegendKey val="0"/>
          <c:showVal val="0"/>
          <c:showCatName val="0"/>
          <c:showSerName val="0"/>
          <c:showPercent val="0"/>
          <c:showBubbleSize val="0"/>
        </c:dLbls>
        <c:smooth val="0"/>
        <c:axId val="132412928"/>
        <c:axId val="132414464"/>
      </c:lineChart>
      <c:catAx>
        <c:axId val="132412928"/>
        <c:scaling>
          <c:orientation val="minMax"/>
        </c:scaling>
        <c:delete val="0"/>
        <c:axPos val="b"/>
        <c:numFmt formatCode="General" sourceLinked="1"/>
        <c:majorTickMark val="out"/>
        <c:minorTickMark val="none"/>
        <c:tickLblPos val="nextTo"/>
        <c:txPr>
          <a:bodyPr/>
          <a:lstStyle/>
          <a:p>
            <a:pPr>
              <a:defRPr sz="1200"/>
            </a:pPr>
            <a:endParaRPr lang="en-US"/>
          </a:p>
        </c:txPr>
        <c:crossAx val="132414464"/>
        <c:crosses val="autoZero"/>
        <c:auto val="1"/>
        <c:lblAlgn val="ctr"/>
        <c:lblOffset val="100"/>
        <c:noMultiLvlLbl val="0"/>
      </c:catAx>
      <c:valAx>
        <c:axId val="132414464"/>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32412928"/>
        <c:crosses val="autoZero"/>
        <c:crossBetween val="between"/>
      </c:valAx>
    </c:plotArea>
    <c:legend>
      <c:legendPos val="t"/>
      <c:layout>
        <c:manualLayout>
          <c:xMode val="edge"/>
          <c:yMode val="edge"/>
          <c:x val="0.63075937643764923"/>
          <c:y val="8.2444703311197173E-2"/>
          <c:w val="0.33721497625102503"/>
          <c:h val="0.1883186361786627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67291080546836"/>
          <c:y val="0.11812189932601445"/>
          <c:w val="0.82741332345511853"/>
          <c:h val="0.77350437990119836"/>
        </c:manualLayout>
      </c:layout>
      <c:lineChart>
        <c:grouping val="standard"/>
        <c:varyColors val="0"/>
        <c:ser>
          <c:idx val="0"/>
          <c:order val="0"/>
          <c:tx>
            <c:strRef>
              <c:f>Summary!$B$119</c:f>
              <c:strCache>
                <c:ptCount val="1"/>
                <c:pt idx="0">
                  <c:v>1G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Summary!$C$119:$M$119</c:f>
              <c:numCache>
                <c:formatCode>_(* #,##0_);_(* \(#,##0\);_(* "-"??_);_(@_)</c:formatCode>
                <c:ptCount val="11"/>
                <c:pt idx="0">
                  <c:v>13567410.105</c:v>
                </c:pt>
                <c:pt idx="1">
                  <c:v>11273695.050000001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Summary!$C$120:$M$120</c:f>
              <c:numCache>
                <c:formatCode>_(* #,##0_);_(* \(#,##0\);_(* "-"??_);_(@_)</c:formatCode>
                <c:ptCount val="11"/>
                <c:pt idx="0">
                  <c:v>18516818.93</c:v>
                </c:pt>
                <c:pt idx="1">
                  <c:v>19945022.100000001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63D-9542-A559-C232ED949B76}"/>
            </c:ext>
          </c:extLst>
        </c:ser>
        <c:ser>
          <c:idx val="4"/>
          <c:order val="2"/>
          <c:tx>
            <c:strRef>
              <c:f>Summary!$B$121</c:f>
              <c:strCache>
                <c:ptCount val="1"/>
                <c:pt idx="0">
                  <c:v>25G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Summary!$C$121:$M$121</c:f>
              <c:numCache>
                <c:formatCode>_(* #,##0_);_(* \(#,##0\);_(* "-"??_);_(@_)</c:formatCode>
                <c:ptCount val="11"/>
                <c:pt idx="0">
                  <c:v>11694</c:v>
                </c:pt>
                <c:pt idx="1">
                  <c:v>113327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63D-9542-A559-C232ED949B76}"/>
            </c:ext>
          </c:extLst>
        </c:ser>
        <c:ser>
          <c:idx val="2"/>
          <c:order val="3"/>
          <c:tx>
            <c:strRef>
              <c:f>Summary!$B$122</c:f>
              <c:strCache>
                <c:ptCount val="1"/>
                <c:pt idx="0">
                  <c:v>40G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Summary!$C$122:$M$122</c:f>
              <c:numCache>
                <c:formatCode>_(* #,##0_);_(* \(#,##0\);_(* "-"??_);_(@_)</c:formatCode>
                <c:ptCount val="11"/>
                <c:pt idx="0">
                  <c:v>3153068</c:v>
                </c:pt>
                <c:pt idx="1">
                  <c:v>3864160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63D-9542-A559-C232ED949B76}"/>
            </c:ext>
          </c:extLst>
        </c:ser>
        <c:ser>
          <c:idx val="6"/>
          <c:order val="4"/>
          <c:tx>
            <c:strRef>
              <c:f>Summary!$B$123</c:f>
              <c:strCache>
                <c:ptCount val="1"/>
                <c:pt idx="0">
                  <c:v>50G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Summary!$C$123:$M$123</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63D-9542-A559-C232ED949B76}"/>
            </c:ext>
          </c:extLst>
        </c:ser>
        <c:ser>
          <c:idx val="3"/>
          <c:order val="5"/>
          <c:tx>
            <c:strRef>
              <c:f>Summary!$B$124</c:f>
              <c:strCache>
                <c:ptCount val="1"/>
                <c:pt idx="0">
                  <c:v>100G</c:v>
                </c:pt>
              </c:strCache>
            </c:strRef>
          </c:tx>
          <c:marker>
            <c:symbol val="circle"/>
            <c:size val="5"/>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919370</c:v>
                </c:pt>
                <c:pt idx="1">
                  <c:v>2881490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63D-9542-A559-C232ED949B76}"/>
            </c:ext>
          </c:extLst>
        </c:ser>
        <c:ser>
          <c:idx val="7"/>
          <c:order val="6"/>
          <c:tx>
            <c:strRef>
              <c:f>Summary!$B$125</c:f>
              <c:strCache>
                <c:ptCount val="1"/>
                <c:pt idx="0">
                  <c:v>200G</c:v>
                </c:pt>
              </c:strCache>
            </c:strRef>
          </c:tx>
          <c:marker>
            <c:symbol val="plus"/>
            <c:size val="7"/>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63D-9542-A559-C232ED949B76}"/>
            </c:ext>
          </c:extLst>
        </c:ser>
        <c:ser>
          <c:idx val="5"/>
          <c:order val="7"/>
          <c:tx>
            <c:strRef>
              <c:f>Summary!$B$126</c:f>
              <c:strCache>
                <c:ptCount val="1"/>
                <c:pt idx="0">
                  <c:v>400G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1">
                  <c:v>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63D-9542-A559-C232ED949B76}"/>
            </c:ext>
          </c:extLst>
        </c:ser>
        <c:ser>
          <c:idx val="8"/>
          <c:order val="8"/>
          <c:tx>
            <c:strRef>
              <c:f>Summary!$B$127</c:f>
              <c:strCache>
                <c:ptCount val="1"/>
                <c:pt idx="0">
                  <c:v>800G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Summary!$C$127:$M$127</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6E9-C844-9D3A-CB9DAF54EC16}"/>
            </c:ext>
          </c:extLst>
        </c:ser>
        <c:ser>
          <c:idx val="9"/>
          <c:order val="9"/>
          <c:tx>
            <c:strRef>
              <c:f>Summary!$B$128</c:f>
              <c:strCache>
                <c:ptCount val="1"/>
                <c:pt idx="0">
                  <c:v>1.6T</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Summary!$C$128:$M$128</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21AD-6846-A175-68A9D68BFFA2}"/>
            </c:ext>
          </c:extLst>
        </c:ser>
        <c:dLbls>
          <c:showLegendKey val="0"/>
          <c:showVal val="0"/>
          <c:showCatName val="0"/>
          <c:showSerName val="0"/>
          <c:showPercent val="0"/>
          <c:showBubbleSize val="0"/>
        </c:dLbls>
        <c:marker val="1"/>
        <c:smooth val="0"/>
        <c:axId val="134022656"/>
        <c:axId val="134024192"/>
      </c:lineChart>
      <c:catAx>
        <c:axId val="134022656"/>
        <c:scaling>
          <c:orientation val="minMax"/>
        </c:scaling>
        <c:delete val="0"/>
        <c:axPos val="b"/>
        <c:numFmt formatCode="General" sourceLinked="1"/>
        <c:majorTickMark val="out"/>
        <c:minorTickMark val="none"/>
        <c:tickLblPos val="nextTo"/>
        <c:txPr>
          <a:bodyPr/>
          <a:lstStyle/>
          <a:p>
            <a:pPr>
              <a:defRPr sz="1000"/>
            </a:pPr>
            <a:endParaRPr lang="en-US"/>
          </a:p>
        </c:txPr>
        <c:crossAx val="134024192"/>
        <c:crosses val="autoZero"/>
        <c:auto val="1"/>
        <c:lblAlgn val="ctr"/>
        <c:lblOffset val="100"/>
        <c:noMultiLvlLbl val="0"/>
      </c:catAx>
      <c:valAx>
        <c:axId val="134024192"/>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5106068934745209E-2"/>
              <c:y val="0.262001642180476"/>
            </c:manualLayout>
          </c:layout>
          <c:overlay val="0"/>
        </c:title>
        <c:numFmt formatCode="_(* #,##0_);_(* \(#,##0\);_(* &quot;-&quot;_);_(@_)" sourceLinked="0"/>
        <c:majorTickMark val="out"/>
        <c:minorTickMark val="none"/>
        <c:tickLblPos val="nextTo"/>
        <c:txPr>
          <a:bodyPr/>
          <a:lstStyle/>
          <a:p>
            <a:pPr>
              <a:defRPr sz="1000"/>
            </a:pPr>
            <a:endParaRPr lang="en-US"/>
          </a:p>
        </c:txPr>
        <c:crossAx val="134022656"/>
        <c:crosses val="autoZero"/>
        <c:crossBetween val="between"/>
      </c:valAx>
    </c:plotArea>
    <c:legend>
      <c:legendPos val="t"/>
      <c:layout>
        <c:manualLayout>
          <c:xMode val="edge"/>
          <c:yMode val="edge"/>
          <c:x val="9.999314266019918E-2"/>
          <c:y val="1.9047613334049245E-2"/>
          <c:w val="0.88742567816286511"/>
          <c:h val="7.8108712978263814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2725585934734"/>
          <c:y val="4.6898682645905125E-2"/>
          <c:w val="0.8122107487950615"/>
          <c:h val="0.85993743319851479"/>
        </c:manualLayout>
      </c:layout>
      <c:lineChart>
        <c:grouping val="standard"/>
        <c:varyColors val="0"/>
        <c:ser>
          <c:idx val="4"/>
          <c:order val="0"/>
          <c:tx>
            <c:strRef>
              <c:f>Summary!$B$121</c:f>
              <c:strCache>
                <c:ptCount val="1"/>
                <c:pt idx="0">
                  <c:v>25G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Summary!$C$121:$M$121</c:f>
              <c:numCache>
                <c:formatCode>_(* #,##0_);_(* \(#,##0\);_(* "-"??_);_(@_)</c:formatCode>
                <c:ptCount val="11"/>
                <c:pt idx="0">
                  <c:v>11694</c:v>
                </c:pt>
                <c:pt idx="1">
                  <c:v>113327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BA-0B4D-98E0-07C373C646A1}"/>
            </c:ext>
          </c:extLst>
        </c:ser>
        <c:ser>
          <c:idx val="2"/>
          <c:order val="1"/>
          <c:tx>
            <c:strRef>
              <c:f>Summary!$B$122</c:f>
              <c:strCache>
                <c:ptCount val="1"/>
                <c:pt idx="0">
                  <c:v>40G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Summary!$C$122:$M$122</c:f>
              <c:numCache>
                <c:formatCode>_(* #,##0_);_(* \(#,##0\);_(* "-"??_);_(@_)</c:formatCode>
                <c:ptCount val="11"/>
                <c:pt idx="0">
                  <c:v>3153068</c:v>
                </c:pt>
                <c:pt idx="1">
                  <c:v>3864160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4BA-0B4D-98E0-07C373C646A1}"/>
            </c:ext>
          </c:extLst>
        </c:ser>
        <c:ser>
          <c:idx val="6"/>
          <c:order val="2"/>
          <c:tx>
            <c:strRef>
              <c:f>Summary!$B$123</c:f>
              <c:strCache>
                <c:ptCount val="1"/>
                <c:pt idx="0">
                  <c:v>50G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Summary!$C$123:$M$123</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4BA-0B4D-98E0-07C373C646A1}"/>
            </c:ext>
          </c:extLst>
        </c:ser>
        <c:ser>
          <c:idx val="7"/>
          <c:order val="3"/>
          <c:tx>
            <c:strRef>
              <c:f>Summary!$B$125</c:f>
              <c:strCache>
                <c:ptCount val="1"/>
                <c:pt idx="0">
                  <c:v>200G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4BA-0B4D-98E0-07C373C646A1}"/>
            </c:ext>
          </c:extLst>
        </c:ser>
        <c:ser>
          <c:idx val="5"/>
          <c:order val="4"/>
          <c:tx>
            <c:strRef>
              <c:f>Summary!$B$126</c:f>
              <c:strCache>
                <c:ptCount val="1"/>
                <c:pt idx="0">
                  <c:v>400G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1">
                  <c:v>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94BA-0B4D-98E0-07C373C646A1}"/>
            </c:ext>
          </c:extLst>
        </c:ser>
        <c:ser>
          <c:idx val="0"/>
          <c:order val="5"/>
          <c:tx>
            <c:strRef>
              <c:f>Summary!$B$127</c:f>
              <c:strCache>
                <c:ptCount val="1"/>
                <c:pt idx="0">
                  <c:v>800G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Summary!$C$127:$M$127</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C5-9B41-B692-EA8FCC71FCA5}"/>
            </c:ext>
          </c:extLst>
        </c:ser>
        <c:ser>
          <c:idx val="1"/>
          <c:order val="6"/>
          <c:tx>
            <c:strRef>
              <c:f>Summary!$B$128</c:f>
              <c:strCache>
                <c:ptCount val="1"/>
                <c:pt idx="0">
                  <c:v>1.6T</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Summary!$C$128:$M$128</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F993-5B41-9AC3-41C6F34FC3B2}"/>
            </c:ext>
          </c:extLst>
        </c:ser>
        <c:dLbls>
          <c:showLegendKey val="0"/>
          <c:showVal val="0"/>
          <c:showCatName val="0"/>
          <c:showSerName val="0"/>
          <c:showPercent val="0"/>
          <c:showBubbleSize val="0"/>
        </c:dLbls>
        <c:marker val="1"/>
        <c:smooth val="0"/>
        <c:axId val="134081152"/>
        <c:axId val="133833088"/>
      </c:lineChart>
      <c:catAx>
        <c:axId val="134081152"/>
        <c:scaling>
          <c:orientation val="minMax"/>
        </c:scaling>
        <c:delete val="0"/>
        <c:axPos val="b"/>
        <c:numFmt formatCode="General" sourceLinked="1"/>
        <c:majorTickMark val="out"/>
        <c:minorTickMark val="none"/>
        <c:tickLblPos val="nextTo"/>
        <c:txPr>
          <a:bodyPr/>
          <a:lstStyle/>
          <a:p>
            <a:pPr>
              <a:defRPr sz="1200"/>
            </a:pPr>
            <a:endParaRPr lang="en-US"/>
          </a:p>
        </c:txPr>
        <c:crossAx val="133833088"/>
        <c:crosses val="autoZero"/>
        <c:auto val="1"/>
        <c:lblAlgn val="ctr"/>
        <c:lblOffset val="100"/>
        <c:noMultiLvlLbl val="0"/>
      </c:catAx>
      <c:valAx>
        <c:axId val="133833088"/>
        <c:scaling>
          <c:orientation val="minMax"/>
          <c:min val="0"/>
        </c:scaling>
        <c:delete val="0"/>
        <c:axPos val="l"/>
        <c:majorGridlines/>
        <c:title>
          <c:tx>
            <c:rich>
              <a:bodyPr rot="-5400000" vert="horz"/>
              <a:lstStyle/>
              <a:p>
                <a:pPr>
                  <a:defRPr sz="1400"/>
                </a:pPr>
                <a:r>
                  <a:rPr lang="en-US" sz="1400"/>
                  <a:t>Annual shipments</a:t>
                </a:r>
              </a:p>
            </c:rich>
          </c:tx>
          <c:overlay val="0"/>
        </c:title>
        <c:numFmt formatCode="_(* #,##0_);_(* \(#,##0\);_(* &quot;-&quot;_);_(@_)" sourceLinked="0"/>
        <c:majorTickMark val="out"/>
        <c:minorTickMark val="none"/>
        <c:tickLblPos val="nextTo"/>
        <c:txPr>
          <a:bodyPr/>
          <a:lstStyle/>
          <a:p>
            <a:pPr>
              <a:defRPr sz="1200"/>
            </a:pPr>
            <a:endParaRPr lang="en-US"/>
          </a:p>
        </c:txPr>
        <c:crossAx val="134081152"/>
        <c:crosses val="autoZero"/>
        <c:crossBetween val="between"/>
      </c:valAx>
    </c:plotArea>
    <c:legend>
      <c:legendPos val="t"/>
      <c:layout>
        <c:manualLayout>
          <c:xMode val="edge"/>
          <c:yMode val="edge"/>
          <c:x val="0.18093049114912371"/>
          <c:y val="5.8652668416447944E-2"/>
          <c:w val="0.67596434796216764"/>
          <c:h val="7.855763719190272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3787438248289"/>
          <c:y val="0.15946952504906389"/>
          <c:w val="0.80023483916626958"/>
          <c:h val="0.75998633644295233"/>
        </c:manualLayout>
      </c:layout>
      <c:lineChart>
        <c:grouping val="standard"/>
        <c:varyColors val="0"/>
        <c:ser>
          <c:idx val="0"/>
          <c:order val="0"/>
          <c:tx>
            <c:strRef>
              <c:f>Summary!$B$211</c:f>
              <c:strCache>
                <c:ptCount val="1"/>
                <c:pt idx="0">
                  <c:v>10G MMF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Summary!$C$211:$M$211</c:f>
              <c:numCache>
                <c:formatCode>_(* #,##0_);_(* \(#,##0\);_(* "-"??_);_(@_)</c:formatCode>
                <c:ptCount val="11"/>
                <c:pt idx="0">
                  <c:v>11471385.93</c:v>
                </c:pt>
                <c:pt idx="1">
                  <c:v>12691744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D9B-5948-91AF-487D2AB9C4CB}"/>
            </c:ext>
          </c:extLst>
        </c:ser>
        <c:ser>
          <c:idx val="2"/>
          <c:order val="1"/>
          <c:tx>
            <c:strRef>
              <c:f>Summary!$B$212</c:f>
              <c:strCache>
                <c:ptCount val="1"/>
                <c:pt idx="0">
                  <c:v>25G MMF</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Summary!$C$212:$M$212</c:f>
              <c:numCache>
                <c:formatCode>_(* #,##0_);_(* \(#,##0\);_(* "-"??_);_(@_)</c:formatCode>
                <c:ptCount val="11"/>
                <c:pt idx="0">
                  <c:v>7146</c:v>
                </c:pt>
                <c:pt idx="1">
                  <c:v>95865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D9B-5948-91AF-487D2AB9C4CB}"/>
            </c:ext>
          </c:extLst>
        </c:ser>
        <c:ser>
          <c:idx val="3"/>
          <c:order val="2"/>
          <c:tx>
            <c:strRef>
              <c:f>Summary!$B$213</c:f>
              <c:strCache>
                <c:ptCount val="1"/>
                <c:pt idx="0">
                  <c:v>40G MMF</c:v>
                </c:pt>
              </c:strCache>
            </c:strRef>
          </c:tx>
          <c:spPr>
            <a:ln>
              <a:solidFill>
                <a:schemeClr val="accent3"/>
              </a:solidFill>
            </a:ln>
          </c:spPr>
          <c:marker>
            <c:spPr>
              <a:solidFill>
                <a:schemeClr val="accent3"/>
              </a:solidFill>
              <a:ln>
                <a:solidFill>
                  <a:schemeClr val="accent3"/>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Summary!$C$213:$M$213</c:f>
              <c:numCache>
                <c:formatCode>_(* #,##0_);_(* \(#,##0\);_(* "-"??_);_(@_)</c:formatCode>
                <c:ptCount val="11"/>
                <c:pt idx="0">
                  <c:v>1529498</c:v>
                </c:pt>
                <c:pt idx="1">
                  <c:v>2010866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D9B-5948-91AF-487D2AB9C4CB}"/>
            </c:ext>
          </c:extLst>
        </c:ser>
        <c:ser>
          <c:idx val="5"/>
          <c:order val="3"/>
          <c:tx>
            <c:strRef>
              <c:f>Summary!$B$214</c:f>
              <c:strCache>
                <c:ptCount val="1"/>
                <c:pt idx="0">
                  <c:v>50G MMF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Summary!$C$214:$M$214</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D9B-5948-91AF-487D2AB9C4CB}"/>
            </c:ext>
          </c:extLst>
        </c:ser>
        <c:ser>
          <c:idx val="1"/>
          <c:order val="4"/>
          <c:tx>
            <c:strRef>
              <c:f>Summary!$B$215</c:f>
              <c:strCache>
                <c:ptCount val="1"/>
                <c:pt idx="0">
                  <c:v>100G MMF</c:v>
                </c:pt>
              </c:strCache>
            </c:strRef>
          </c:tx>
          <c:spPr>
            <a:ln>
              <a:solidFill>
                <a:schemeClr val="accent4"/>
              </a:solidFill>
            </a:ln>
          </c:spPr>
          <c:marker>
            <c:symbol val="square"/>
            <c:size val="5"/>
            <c:spPr>
              <a:solidFill>
                <a:schemeClr val="accent4"/>
              </a:solidFill>
              <a:ln>
                <a:solidFill>
                  <a:schemeClr val="accent4"/>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Summary!$C$215:$M$215</c:f>
              <c:numCache>
                <c:formatCode>_(* #,##0_);_(* \(#,##0\);_(* "-"??_);_(@_)</c:formatCode>
                <c:ptCount val="11"/>
                <c:pt idx="0">
                  <c:v>299241</c:v>
                </c:pt>
                <c:pt idx="1">
                  <c:v>631974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D9B-5948-91AF-487D2AB9C4CB}"/>
            </c:ext>
          </c:extLst>
        </c:ser>
        <c:ser>
          <c:idx val="6"/>
          <c:order val="5"/>
          <c:tx>
            <c:strRef>
              <c:f>Summary!$B$216</c:f>
              <c:strCache>
                <c:ptCount val="1"/>
                <c:pt idx="0">
                  <c:v>200G MMF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Summary!$C$216:$M$216</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D9B-5948-91AF-487D2AB9C4CB}"/>
            </c:ext>
          </c:extLst>
        </c:ser>
        <c:ser>
          <c:idx val="4"/>
          <c:order val="6"/>
          <c:tx>
            <c:strRef>
              <c:f>Summary!$B$217</c:f>
              <c:strCache>
                <c:ptCount val="1"/>
                <c:pt idx="0">
                  <c:v>400G MMF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Summary!$C$217:$M$217</c:f>
              <c:numCache>
                <c:formatCode>_(* #,##0_);_(* \(#,##0\);_(* "-"??_);_(@_)</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D9B-5948-91AF-487D2AB9C4CB}"/>
            </c:ext>
          </c:extLst>
        </c:ser>
        <c:ser>
          <c:idx val="7"/>
          <c:order val="7"/>
          <c:tx>
            <c:strRef>
              <c:f>Summary!$B$218</c:f>
              <c:strCache>
                <c:ptCount val="1"/>
                <c:pt idx="0">
                  <c:v>800G MMF</c:v>
                </c:pt>
              </c:strCache>
            </c:strRef>
          </c:tx>
          <c:spPr>
            <a:ln>
              <a:solidFill>
                <a:srgbClr val="00B050"/>
              </a:solidFill>
            </a:ln>
          </c:spPr>
          <c:marker>
            <c:spPr>
              <a:ln>
                <a:solidFill>
                  <a:srgbClr val="00B050"/>
                </a:solidFill>
              </a:ln>
            </c:spPr>
          </c:marker>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Summary!$C$218:$M$218</c:f>
              <c:numCache>
                <c:formatCode>_(* #,##0_);_(* \(#,##0\);_(* "-"??_);_(@_)</c:formatCode>
                <c:ptCount val="11"/>
                <c:pt idx="5">
                  <c:v>0</c:v>
                </c:pt>
                <c:pt idx="6">
                  <c:v>0</c:v>
                </c:pt>
                <c:pt idx="7">
                  <c:v>0</c:v>
                </c:pt>
                <c:pt idx="8">
                  <c:v>0</c:v>
                </c:pt>
                <c:pt idx="9">
                  <c:v>0</c:v>
                </c:pt>
                <c:pt idx="10">
                  <c:v>0</c:v>
                </c:pt>
              </c:numCache>
            </c:numRef>
          </c:val>
          <c:smooth val="0"/>
          <c:extLst>
            <c:ext xmlns:c16="http://schemas.microsoft.com/office/drawing/2014/chart" uri="{C3380CC4-5D6E-409C-BE32-E72D297353CC}">
              <c16:uniqueId val="{00000000-F2BC-CA4D-8284-FD54473393F3}"/>
            </c:ext>
          </c:extLst>
        </c:ser>
        <c:ser>
          <c:idx val="8"/>
          <c:order val="8"/>
          <c:tx>
            <c:strRef>
              <c:f>Summary!$B$219</c:f>
              <c:strCache>
                <c:ptCount val="1"/>
                <c:pt idx="0">
                  <c:v>1.6T MMF</c:v>
                </c:pt>
              </c:strCache>
            </c:strRef>
          </c:tx>
          <c:cat>
            <c:numRef>
              <c:f>Summary!$C$208:$M$208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Summary!$C$219:$M$219</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66D5-E841-B00B-F5AE3128548F}"/>
            </c:ext>
          </c:extLst>
        </c:ser>
        <c:dLbls>
          <c:showLegendKey val="0"/>
          <c:showVal val="0"/>
          <c:showCatName val="0"/>
          <c:showSerName val="0"/>
          <c:showPercent val="0"/>
          <c:showBubbleSize val="0"/>
        </c:dLbls>
        <c:marker val="1"/>
        <c:smooth val="0"/>
        <c:axId val="133880448"/>
        <c:axId val="133906816"/>
      </c:lineChart>
      <c:catAx>
        <c:axId val="133880448"/>
        <c:scaling>
          <c:orientation val="minMax"/>
        </c:scaling>
        <c:delete val="0"/>
        <c:axPos val="b"/>
        <c:numFmt formatCode="General" sourceLinked="1"/>
        <c:majorTickMark val="out"/>
        <c:minorTickMark val="none"/>
        <c:tickLblPos val="nextTo"/>
        <c:txPr>
          <a:bodyPr/>
          <a:lstStyle/>
          <a:p>
            <a:pPr>
              <a:defRPr sz="1000"/>
            </a:pPr>
            <a:endParaRPr lang="en-US"/>
          </a:p>
        </c:txPr>
        <c:crossAx val="133906816"/>
        <c:crosses val="autoZero"/>
        <c:auto val="1"/>
        <c:lblAlgn val="ctr"/>
        <c:lblOffset val="100"/>
        <c:noMultiLvlLbl val="0"/>
      </c:catAx>
      <c:valAx>
        <c:axId val="133906816"/>
        <c:scaling>
          <c:orientation val="minMax"/>
          <c:max val="16100000.000000002"/>
          <c:min val="0"/>
        </c:scaling>
        <c:delete val="0"/>
        <c:axPos val="l"/>
        <c:majorGridlines/>
        <c:title>
          <c:tx>
            <c:rich>
              <a:bodyPr/>
              <a:lstStyle/>
              <a:p>
                <a:pPr>
                  <a:defRPr sz="1200"/>
                </a:pPr>
                <a:r>
                  <a:rPr lang="en-US" sz="1200"/>
                  <a:t>Shipments  (Units)</a:t>
                </a:r>
              </a:p>
            </c:rich>
          </c:tx>
          <c:layout>
            <c:manualLayout>
              <c:xMode val="edge"/>
              <c:yMode val="edge"/>
              <c:x val="2.3858004730599205E-2"/>
              <c:y val="0.3638878080567054"/>
            </c:manualLayout>
          </c:layout>
          <c:overlay val="0"/>
        </c:title>
        <c:numFmt formatCode="_(* #,##0_);_(* \(#,##0\);_(* &quot;-&quot;??_);_(@_)" sourceLinked="1"/>
        <c:majorTickMark val="out"/>
        <c:minorTickMark val="none"/>
        <c:tickLblPos val="nextTo"/>
        <c:txPr>
          <a:bodyPr/>
          <a:lstStyle/>
          <a:p>
            <a:pPr>
              <a:defRPr sz="1000"/>
            </a:pPr>
            <a:endParaRPr lang="en-US"/>
          </a:p>
        </c:txPr>
        <c:crossAx val="133880448"/>
        <c:crosses val="autoZero"/>
        <c:crossBetween val="between"/>
        <c:majorUnit val="2000000"/>
        <c:minorUnit val="400000"/>
      </c:valAx>
    </c:plotArea>
    <c:legend>
      <c:legendPos val="t"/>
      <c:layout>
        <c:manualLayout>
          <c:xMode val="edge"/>
          <c:yMode val="edge"/>
          <c:x val="0.20211028903261888"/>
          <c:y val="6.8853893263342084E-3"/>
          <c:w val="0.72128603979434402"/>
          <c:h val="0.1371773840769903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5185017536857"/>
          <c:y val="4.437445319335083E-2"/>
          <c:w val="0.85792760567452775"/>
          <c:h val="0.86403869827235957"/>
        </c:manualLayout>
      </c:layout>
      <c:barChart>
        <c:barDir val="col"/>
        <c:grouping val="stacked"/>
        <c:varyColors val="0"/>
        <c:ser>
          <c:idx val="0"/>
          <c:order val="0"/>
          <c:tx>
            <c:strRef>
              <c:f>Summary!$B$158</c:f>
              <c:strCache>
                <c:ptCount val="1"/>
                <c:pt idx="0">
                  <c:v>100G &amp; below</c:v>
                </c:pt>
              </c:strCache>
            </c:strRef>
          </c:tx>
          <c:invertIfNegative val="0"/>
          <c:cat>
            <c:numRef>
              <c:f>Summary!$C$157:$M$157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Summary!$C$158:$M$158</c:f>
              <c:numCache>
                <c:formatCode>_("$"* #,##0_);_("$"* \(#,##0\);_("$"* "-"??_);_(@_)</c:formatCode>
                <c:ptCount val="11"/>
                <c:pt idx="0">
                  <c:v>2677.5690986151867</c:v>
                </c:pt>
                <c:pt idx="1">
                  <c:v>3174.6712260887743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Summary!$C$157:$M$157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Summary!$C$159:$M$159</c:f>
              <c:numCache>
                <c:formatCode>_("$"* #,##0_);_("$"* \(#,##0\);_("$"* "-"??_);_(@_)</c:formatCode>
                <c:ptCount val="11"/>
                <c:pt idx="0">
                  <c:v>0</c:v>
                </c:pt>
                <c:pt idx="1">
                  <c:v>1.3482999999999998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34367488"/>
        <c:axId val="134373376"/>
      </c:barChart>
      <c:catAx>
        <c:axId val="134367488"/>
        <c:scaling>
          <c:orientation val="minMax"/>
        </c:scaling>
        <c:delete val="0"/>
        <c:axPos val="b"/>
        <c:numFmt formatCode="General" sourceLinked="1"/>
        <c:majorTickMark val="out"/>
        <c:minorTickMark val="none"/>
        <c:tickLblPos val="nextTo"/>
        <c:txPr>
          <a:bodyPr/>
          <a:lstStyle/>
          <a:p>
            <a:pPr>
              <a:defRPr sz="1200"/>
            </a:pPr>
            <a:endParaRPr lang="en-US"/>
          </a:p>
        </c:txPr>
        <c:crossAx val="134373376"/>
        <c:crosses val="autoZero"/>
        <c:auto val="1"/>
        <c:lblAlgn val="ctr"/>
        <c:lblOffset val="100"/>
        <c:noMultiLvlLbl val="0"/>
      </c:catAx>
      <c:valAx>
        <c:axId val="13437337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34367488"/>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0615423506351"/>
          <c:y val="6.190251394785997E-2"/>
          <c:w val="0.81325480929315752"/>
          <c:h val="0.80162524905012333"/>
        </c:manualLayout>
      </c:layout>
      <c:lineChart>
        <c:grouping val="standard"/>
        <c:varyColors val="0"/>
        <c:ser>
          <c:idx val="4"/>
          <c:order val="0"/>
          <c:tx>
            <c:strRef>
              <c:f>Summary!$B$625</c:f>
              <c:strCache>
                <c:ptCount val="1"/>
                <c:pt idx="0">
                  <c:v>2x200 (400G-SR8)</c:v>
                </c:pt>
              </c:strCache>
            </c:strRef>
          </c:tx>
          <c:cat>
            <c:numRef>
              <c:f>Summary!$H$624:$M$624</c:f>
              <c:numCache>
                <c:formatCode>General</c:formatCode>
                <c:ptCount val="6"/>
                <c:pt idx="0">
                  <c:v>2021</c:v>
                </c:pt>
                <c:pt idx="1">
                  <c:v>2022</c:v>
                </c:pt>
                <c:pt idx="2">
                  <c:v>2023</c:v>
                </c:pt>
                <c:pt idx="3">
                  <c:v>2024</c:v>
                </c:pt>
                <c:pt idx="4">
                  <c:v>2025</c:v>
                </c:pt>
                <c:pt idx="5">
                  <c:v>2026</c:v>
                </c:pt>
              </c:numCache>
            </c:numRef>
          </c:cat>
          <c:val>
            <c:numRef>
              <c:f>Summary!$H$625:$M$625</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9FA8-EB42-B351-4C0ACF768605}"/>
            </c:ext>
          </c:extLst>
        </c:ser>
        <c:ser>
          <c:idx val="2"/>
          <c:order val="1"/>
          <c:tx>
            <c:strRef>
              <c:f>Summary!$B$626</c:f>
              <c:strCache>
                <c:ptCount val="1"/>
                <c:pt idx="0">
                  <c:v>400G SR4</c:v>
                </c:pt>
              </c:strCache>
            </c:strRef>
          </c:tx>
          <c:spPr>
            <a:ln>
              <a:solidFill>
                <a:schemeClr val="accent2"/>
              </a:solidFill>
            </a:ln>
          </c:spPr>
          <c:marker>
            <c:spPr>
              <a:solidFill>
                <a:schemeClr val="accent2"/>
              </a:solidFill>
              <a:ln>
                <a:solidFill>
                  <a:schemeClr val="accent2"/>
                </a:solidFill>
              </a:ln>
            </c:spPr>
          </c:marker>
          <c:cat>
            <c:numRef>
              <c:f>Summary!$H$624:$M$624</c:f>
              <c:numCache>
                <c:formatCode>General</c:formatCode>
                <c:ptCount val="6"/>
                <c:pt idx="0">
                  <c:v>2021</c:v>
                </c:pt>
                <c:pt idx="1">
                  <c:v>2022</c:v>
                </c:pt>
                <c:pt idx="2">
                  <c:v>2023</c:v>
                </c:pt>
                <c:pt idx="3">
                  <c:v>2024</c:v>
                </c:pt>
                <c:pt idx="4">
                  <c:v>2025</c:v>
                </c:pt>
                <c:pt idx="5">
                  <c:v>2026</c:v>
                </c:pt>
              </c:numCache>
            </c:numRef>
          </c:cat>
          <c:val>
            <c:numRef>
              <c:f>Summary!$H$626:$M$626</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8FB-3C42-9AE7-8CFF292F800D}"/>
            </c:ext>
          </c:extLst>
        </c:ser>
        <c:ser>
          <c:idx val="0"/>
          <c:order val="2"/>
          <c:tx>
            <c:strRef>
              <c:f>Summary!$B$627</c:f>
              <c:strCache>
                <c:ptCount val="1"/>
                <c:pt idx="0">
                  <c:v>400G DR4</c:v>
                </c:pt>
              </c:strCache>
            </c:strRef>
          </c:tx>
          <c:cat>
            <c:numRef>
              <c:f>Summary!$H$624:$M$624</c:f>
              <c:numCache>
                <c:formatCode>General</c:formatCode>
                <c:ptCount val="6"/>
                <c:pt idx="0">
                  <c:v>2021</c:v>
                </c:pt>
                <c:pt idx="1">
                  <c:v>2022</c:v>
                </c:pt>
                <c:pt idx="2">
                  <c:v>2023</c:v>
                </c:pt>
                <c:pt idx="3">
                  <c:v>2024</c:v>
                </c:pt>
                <c:pt idx="4">
                  <c:v>2025</c:v>
                </c:pt>
                <c:pt idx="5">
                  <c:v>2026</c:v>
                </c:pt>
              </c:numCache>
            </c:numRef>
          </c:cat>
          <c:val>
            <c:numRef>
              <c:f>Summary!$H$627:$M$627</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28FB-3C42-9AE7-8CFF292F800D}"/>
            </c:ext>
          </c:extLst>
        </c:ser>
        <c:ser>
          <c:idx val="5"/>
          <c:order val="3"/>
          <c:tx>
            <c:strRef>
              <c:f>Summary!$B$628</c:f>
              <c:strCache>
                <c:ptCount val="1"/>
                <c:pt idx="0">
                  <c:v>2x(200G FR4)</c:v>
                </c:pt>
              </c:strCache>
            </c:strRef>
          </c:tx>
          <c:cat>
            <c:numRef>
              <c:f>Summary!$H$624:$M$624</c:f>
              <c:numCache>
                <c:formatCode>General</c:formatCode>
                <c:ptCount val="6"/>
                <c:pt idx="0">
                  <c:v>2021</c:v>
                </c:pt>
                <c:pt idx="1">
                  <c:v>2022</c:v>
                </c:pt>
                <c:pt idx="2">
                  <c:v>2023</c:v>
                </c:pt>
                <c:pt idx="3">
                  <c:v>2024</c:v>
                </c:pt>
                <c:pt idx="4">
                  <c:v>2025</c:v>
                </c:pt>
                <c:pt idx="5">
                  <c:v>2026</c:v>
                </c:pt>
              </c:numCache>
            </c:numRef>
          </c:cat>
          <c:val>
            <c:numRef>
              <c:f>Summary!$H$628:$M$628</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9FA8-EB42-B351-4C0ACF768605}"/>
            </c:ext>
          </c:extLst>
        </c:ser>
        <c:ser>
          <c:idx val="1"/>
          <c:order val="4"/>
          <c:tx>
            <c:strRef>
              <c:f>Summary!$B$629</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Summary!$H$624:$M$624</c:f>
              <c:numCache>
                <c:formatCode>General</c:formatCode>
                <c:ptCount val="6"/>
                <c:pt idx="0">
                  <c:v>2021</c:v>
                </c:pt>
                <c:pt idx="1">
                  <c:v>2022</c:v>
                </c:pt>
                <c:pt idx="2">
                  <c:v>2023</c:v>
                </c:pt>
                <c:pt idx="3">
                  <c:v>2024</c:v>
                </c:pt>
                <c:pt idx="4">
                  <c:v>2025</c:v>
                </c:pt>
                <c:pt idx="5">
                  <c:v>2026</c:v>
                </c:pt>
              </c:numCache>
            </c:numRef>
          </c:cat>
          <c:val>
            <c:numRef>
              <c:f>Summary!$H$629:$M$629</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28FB-3C42-9AE7-8CFF292F800D}"/>
            </c:ext>
          </c:extLst>
        </c:ser>
        <c:ser>
          <c:idx val="3"/>
          <c:order val="5"/>
          <c:tx>
            <c:strRef>
              <c:f>Summary!$B$630</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Summary!$H$624:$M$624</c:f>
              <c:numCache>
                <c:formatCode>General</c:formatCode>
                <c:ptCount val="6"/>
                <c:pt idx="0">
                  <c:v>2021</c:v>
                </c:pt>
                <c:pt idx="1">
                  <c:v>2022</c:v>
                </c:pt>
                <c:pt idx="2">
                  <c:v>2023</c:v>
                </c:pt>
                <c:pt idx="3">
                  <c:v>2024</c:v>
                </c:pt>
                <c:pt idx="4">
                  <c:v>2025</c:v>
                </c:pt>
                <c:pt idx="5">
                  <c:v>2026</c:v>
                </c:pt>
              </c:numCache>
            </c:numRef>
          </c:cat>
          <c:val>
            <c:numRef>
              <c:f>Summary!$H$630:$M$630</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28FB-3C42-9AE7-8CFF292F800D}"/>
            </c:ext>
          </c:extLst>
        </c:ser>
        <c:dLbls>
          <c:showLegendKey val="0"/>
          <c:showVal val="0"/>
          <c:showCatName val="0"/>
          <c:showSerName val="0"/>
          <c:showPercent val="0"/>
          <c:showBubbleSize val="0"/>
        </c:dLbls>
        <c:marker val="1"/>
        <c:smooth val="0"/>
        <c:axId val="134408064"/>
        <c:axId val="134418432"/>
      </c:lineChart>
      <c:catAx>
        <c:axId val="134408064"/>
        <c:scaling>
          <c:orientation val="minMax"/>
        </c:scaling>
        <c:delete val="0"/>
        <c:axPos val="b"/>
        <c:numFmt formatCode="General" sourceLinked="1"/>
        <c:majorTickMark val="out"/>
        <c:minorTickMark val="none"/>
        <c:tickLblPos val="nextTo"/>
        <c:txPr>
          <a:bodyPr/>
          <a:lstStyle/>
          <a:p>
            <a:pPr>
              <a:defRPr sz="1000"/>
            </a:pPr>
            <a:endParaRPr lang="en-US"/>
          </a:p>
        </c:txPr>
        <c:crossAx val="134418432"/>
        <c:crosses val="autoZero"/>
        <c:auto val="1"/>
        <c:lblAlgn val="ctr"/>
        <c:lblOffset val="100"/>
        <c:noMultiLvlLbl val="0"/>
      </c:catAx>
      <c:valAx>
        <c:axId val="134418432"/>
        <c:scaling>
          <c:orientation val="minMax"/>
          <c:max val="3000"/>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4408064"/>
        <c:crosses val="autoZero"/>
        <c:crossBetween val="between"/>
        <c:majorUnit val="1000"/>
      </c:valAx>
    </c:plotArea>
    <c:legend>
      <c:legendPos val="t"/>
      <c:layout>
        <c:manualLayout>
          <c:xMode val="edge"/>
          <c:yMode val="edge"/>
          <c:x val="0.67592147069466701"/>
          <c:y val="5.7086161098234174E-2"/>
          <c:w val="0.27979222610853038"/>
          <c:h val="0.482680053821502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4"/>
          <c:order val="0"/>
          <c:tx>
            <c:strRef>
              <c:f>Summary!$B$636</c:f>
              <c:strCache>
                <c:ptCount val="1"/>
                <c:pt idx="0">
                  <c:v>2x200 (400G-SR8)</c:v>
                </c:pt>
              </c:strCache>
            </c:strRef>
          </c:tx>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Summary!$E$636:$M$636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E28E-6349-9E2D-3ACD9D65BFDB}"/>
            </c:ext>
          </c:extLst>
        </c:ser>
        <c:ser>
          <c:idx val="2"/>
          <c:order val="1"/>
          <c:tx>
            <c:strRef>
              <c:f>Summary!$B$637</c:f>
              <c:strCache>
                <c:ptCount val="1"/>
                <c:pt idx="0">
                  <c:v>400G SR4</c:v>
                </c:pt>
              </c:strCache>
            </c:strRef>
          </c:tx>
          <c:spPr>
            <a:ln>
              <a:solidFill>
                <a:schemeClr val="accent2"/>
              </a:solidFill>
            </a:ln>
          </c:spPr>
          <c:marker>
            <c:spPr>
              <a:solidFill>
                <a:schemeClr val="accent2"/>
              </a:solidFill>
              <a:ln>
                <a:solidFill>
                  <a:schemeClr val="accent2"/>
                </a:solidFill>
              </a:ln>
            </c:spPr>
          </c:marker>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Summary!$E$637:$M$637</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5A8F-0344-B2CD-C518500A5542}"/>
            </c:ext>
          </c:extLst>
        </c:ser>
        <c:ser>
          <c:idx val="0"/>
          <c:order val="2"/>
          <c:tx>
            <c:strRef>
              <c:f>Summary!$B$638</c:f>
              <c:strCache>
                <c:ptCount val="1"/>
                <c:pt idx="0">
                  <c:v>400G DR4</c:v>
                </c:pt>
              </c:strCache>
            </c:strRef>
          </c:tx>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Summary!$E$638:$M$638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5A8F-0344-B2CD-C518500A5542}"/>
            </c:ext>
          </c:extLst>
        </c:ser>
        <c:ser>
          <c:idx val="5"/>
          <c:order val="3"/>
          <c:tx>
            <c:strRef>
              <c:f>Summary!$B$639</c:f>
              <c:strCache>
                <c:ptCount val="1"/>
                <c:pt idx="0">
                  <c:v>2x(200G FR4)</c:v>
                </c:pt>
              </c:strCache>
            </c:strRef>
          </c:tx>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Summary!$E$639:$M$639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E28E-6349-9E2D-3ACD9D65BFDB}"/>
            </c:ext>
          </c:extLst>
        </c:ser>
        <c:ser>
          <c:idx val="1"/>
          <c:order val="4"/>
          <c:tx>
            <c:strRef>
              <c:f>Summary!$B$640</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Summary!$E$640:$M$640</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A8F-0344-B2CD-C518500A5542}"/>
            </c:ext>
          </c:extLst>
        </c:ser>
        <c:ser>
          <c:idx val="3"/>
          <c:order val="5"/>
          <c:tx>
            <c:strRef>
              <c:f>Summary!$B$641</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Summary!$E$635:$M$635</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Summary!$E$641:$M$641</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5A8F-0344-B2CD-C518500A5542}"/>
            </c:ext>
          </c:extLst>
        </c:ser>
        <c:dLbls>
          <c:showLegendKey val="0"/>
          <c:showVal val="0"/>
          <c:showCatName val="0"/>
          <c:showSerName val="0"/>
          <c:showPercent val="0"/>
          <c:showBubbleSize val="0"/>
        </c:dLbls>
        <c:marker val="1"/>
        <c:smooth val="0"/>
        <c:axId val="134473600"/>
        <c:axId val="134479872"/>
      </c:lineChart>
      <c:catAx>
        <c:axId val="134473600"/>
        <c:scaling>
          <c:orientation val="minMax"/>
        </c:scaling>
        <c:delete val="0"/>
        <c:axPos val="b"/>
        <c:numFmt formatCode="General" sourceLinked="1"/>
        <c:majorTickMark val="out"/>
        <c:minorTickMark val="none"/>
        <c:tickLblPos val="nextTo"/>
        <c:txPr>
          <a:bodyPr/>
          <a:lstStyle/>
          <a:p>
            <a:pPr>
              <a:defRPr sz="1000"/>
            </a:pPr>
            <a:endParaRPr lang="en-US"/>
          </a:p>
        </c:txPr>
        <c:crossAx val="134479872"/>
        <c:crosses val="autoZero"/>
        <c:auto val="1"/>
        <c:lblAlgn val="ctr"/>
        <c:lblOffset val="100"/>
        <c:noMultiLvlLbl val="0"/>
      </c:catAx>
      <c:valAx>
        <c:axId val="134479872"/>
        <c:scaling>
          <c:orientation val="minMax"/>
        </c:scaling>
        <c:delete val="0"/>
        <c:axPos val="l"/>
        <c:majorGridlines/>
        <c:title>
          <c:tx>
            <c:rich>
              <a:bodyPr rot="-5400000" vert="horz"/>
              <a:lstStyle/>
              <a:p>
                <a:pPr>
                  <a:defRPr sz="1400" b="1"/>
                </a:pPr>
                <a:r>
                  <a:rPr lang="en-US" sz="1400" b="1"/>
                  <a:t>Annual sales ($ mn)</a:t>
                </a:r>
              </a:p>
            </c:rich>
          </c:tx>
          <c:overlay val="0"/>
        </c:title>
        <c:numFmt formatCode="&quot;$&quot;#,##0" sourceLinked="0"/>
        <c:majorTickMark val="out"/>
        <c:minorTickMark val="none"/>
        <c:tickLblPos val="nextTo"/>
        <c:txPr>
          <a:bodyPr/>
          <a:lstStyle/>
          <a:p>
            <a:pPr>
              <a:defRPr sz="1000"/>
            </a:pPr>
            <a:endParaRPr lang="en-US"/>
          </a:p>
        </c:txPr>
        <c:crossAx val="134473600"/>
        <c:crosses val="autoZero"/>
        <c:crossBetween val="between"/>
      </c:valAx>
    </c:plotArea>
    <c:legend>
      <c:legendPos val="t"/>
      <c:layout>
        <c:manualLayout>
          <c:xMode val="edge"/>
          <c:yMode val="edge"/>
          <c:x val="0.16027562109691451"/>
          <c:y val="6.7775774116052359E-2"/>
          <c:w val="0.27676130690615952"/>
          <c:h val="0.4816324167757093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146186160264"/>
          <c:y val="6.0951673434733837E-2"/>
          <c:w val="0.80031733337751831"/>
          <c:h val="0.80981094264192022"/>
        </c:manualLayout>
      </c:layout>
      <c:lineChart>
        <c:grouping val="standard"/>
        <c:varyColors val="0"/>
        <c:ser>
          <c:idx val="2"/>
          <c:order val="0"/>
          <c:tx>
            <c:strRef>
              <c:f>Summary!$B$579</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Summary!$E$578:$M$578</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Summary!$E$579:$M$579</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A4F2-C741-96FE-00D9A2EBDED0}"/>
            </c:ext>
          </c:extLst>
        </c:ser>
        <c:ser>
          <c:idx val="3"/>
          <c:order val="1"/>
          <c:tx>
            <c:strRef>
              <c:f>Summary!$B$580</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Summary!$E$578:$M$578</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Summary!$E$580:$M$580</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A4F2-C741-96FE-00D9A2EBDED0}"/>
            </c:ext>
          </c:extLst>
        </c:ser>
        <c:dLbls>
          <c:showLegendKey val="0"/>
          <c:showVal val="0"/>
          <c:showCatName val="0"/>
          <c:showSerName val="0"/>
          <c:showPercent val="0"/>
          <c:showBubbleSize val="0"/>
        </c:dLbls>
        <c:marker val="1"/>
        <c:smooth val="0"/>
        <c:axId val="134521984"/>
        <c:axId val="134523904"/>
      </c:lineChart>
      <c:catAx>
        <c:axId val="134521984"/>
        <c:scaling>
          <c:orientation val="minMax"/>
        </c:scaling>
        <c:delete val="0"/>
        <c:axPos val="b"/>
        <c:numFmt formatCode="General" sourceLinked="1"/>
        <c:majorTickMark val="out"/>
        <c:minorTickMark val="none"/>
        <c:tickLblPos val="nextTo"/>
        <c:txPr>
          <a:bodyPr/>
          <a:lstStyle/>
          <a:p>
            <a:pPr>
              <a:defRPr sz="1000"/>
            </a:pPr>
            <a:endParaRPr lang="en-US"/>
          </a:p>
        </c:txPr>
        <c:crossAx val="134523904"/>
        <c:crosses val="autoZero"/>
        <c:auto val="1"/>
        <c:lblAlgn val="ctr"/>
        <c:lblOffset val="100"/>
        <c:noMultiLvlLbl val="0"/>
      </c:catAx>
      <c:valAx>
        <c:axId val="134523904"/>
        <c:scaling>
          <c:orientation val="minMax"/>
          <c:max val="2000"/>
          <c:min val="0"/>
        </c:scaling>
        <c:delete val="0"/>
        <c:axPos val="l"/>
        <c:majorGridlines/>
        <c:title>
          <c:tx>
            <c:rich>
              <a:bodyPr rot="-5400000" vert="horz"/>
              <a:lstStyle/>
              <a:p>
                <a:pPr>
                  <a:defRPr sz="1400"/>
                </a:pPr>
                <a:r>
                  <a:rPr lang="en-US" sz="1400"/>
                  <a:t>A.S.P.s</a:t>
                </a:r>
              </a:p>
            </c:rich>
          </c:tx>
          <c:layout>
            <c:manualLayout>
              <c:xMode val="edge"/>
              <c:yMode val="edge"/>
              <c:x val="1.5598858447983664E-2"/>
              <c:y val="0.34825786054640484"/>
            </c:manualLayout>
          </c:layout>
          <c:overlay val="0"/>
        </c:title>
        <c:numFmt formatCode="&quot;$&quot;#,##0" sourceLinked="0"/>
        <c:majorTickMark val="out"/>
        <c:minorTickMark val="none"/>
        <c:tickLblPos val="nextTo"/>
        <c:txPr>
          <a:bodyPr/>
          <a:lstStyle/>
          <a:p>
            <a:pPr>
              <a:defRPr sz="1000"/>
            </a:pPr>
            <a:endParaRPr lang="en-US"/>
          </a:p>
        </c:txPr>
        <c:crossAx val="134521984"/>
        <c:crosses val="autoZero"/>
        <c:crossBetween val="between"/>
      </c:valAx>
    </c:plotArea>
    <c:legend>
      <c:legendPos val="t"/>
      <c:layout>
        <c:manualLayout>
          <c:xMode val="edge"/>
          <c:yMode val="edge"/>
          <c:x val="0.54438731796011863"/>
          <c:y val="7.8414044769539726E-2"/>
          <c:w val="0.41814267641708136"/>
          <c:h val="0.170369316898427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2379328255714"/>
          <c:y val="6.973302069610951E-2"/>
          <c:w val="0.8289118183053803"/>
          <c:h val="0.80479041220011782"/>
        </c:manualLayout>
      </c:layout>
      <c:lineChart>
        <c:grouping val="standard"/>
        <c:varyColors val="0"/>
        <c:ser>
          <c:idx val="2"/>
          <c:order val="0"/>
          <c:tx>
            <c:strRef>
              <c:f>Summary!$B$585</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Summary!$E$584:$M$584</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Summary!$E$585:$M$585</c:f>
              <c:numCache>
                <c:formatCode>_("$"* #,##0_);_("$"* \(#,##0\);_("$"* "-"??_);_(@_)</c:formatCode>
                <c:ptCount val="9"/>
                <c:pt idx="0" formatCode="_(&quot;$&quot;* #,##0.0_);_(&quot;$&quot;* \(#,##0.0\);_(&quot;$&quot;* &quot;-&quot;??_);_(@_)">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4C63-CF4F-A7FF-3AD7FC68B5AA}"/>
            </c:ext>
          </c:extLst>
        </c:ser>
        <c:ser>
          <c:idx val="3"/>
          <c:order val="1"/>
          <c:tx>
            <c:strRef>
              <c:f>Summary!$B$586</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Summary!$E$584:$M$584</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Summary!$E$586:$M$586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4C63-CF4F-A7FF-3AD7FC68B5AA}"/>
            </c:ext>
          </c:extLst>
        </c:ser>
        <c:dLbls>
          <c:showLegendKey val="0"/>
          <c:showVal val="0"/>
          <c:showCatName val="0"/>
          <c:showSerName val="0"/>
          <c:showPercent val="0"/>
          <c:showBubbleSize val="0"/>
        </c:dLbls>
        <c:marker val="1"/>
        <c:smooth val="0"/>
        <c:axId val="134554368"/>
        <c:axId val="134556288"/>
      </c:lineChart>
      <c:catAx>
        <c:axId val="134554368"/>
        <c:scaling>
          <c:orientation val="minMax"/>
        </c:scaling>
        <c:delete val="0"/>
        <c:axPos val="b"/>
        <c:numFmt formatCode="General" sourceLinked="1"/>
        <c:majorTickMark val="out"/>
        <c:minorTickMark val="none"/>
        <c:tickLblPos val="nextTo"/>
        <c:txPr>
          <a:bodyPr/>
          <a:lstStyle/>
          <a:p>
            <a:pPr>
              <a:defRPr sz="1200"/>
            </a:pPr>
            <a:endParaRPr lang="en-US"/>
          </a:p>
        </c:txPr>
        <c:crossAx val="134556288"/>
        <c:crosses val="autoZero"/>
        <c:auto val="1"/>
        <c:lblAlgn val="ctr"/>
        <c:lblOffset val="100"/>
        <c:noMultiLvlLbl val="0"/>
      </c:catAx>
      <c:valAx>
        <c:axId val="134556288"/>
        <c:scaling>
          <c:orientation val="minMax"/>
          <c:min val="0"/>
        </c:scaling>
        <c:delete val="0"/>
        <c:axPos val="l"/>
        <c:majorGridlines/>
        <c:title>
          <c:tx>
            <c:rich>
              <a:bodyPr rot="-5400000" vert="horz"/>
              <a:lstStyle/>
              <a:p>
                <a:pPr>
                  <a:defRPr sz="1400" b="1"/>
                </a:pPr>
                <a:r>
                  <a:rPr lang="en-US" sz="1400" b="1"/>
                  <a:t>Annual</a:t>
                </a:r>
                <a:r>
                  <a:rPr lang="en-US" sz="1400" b="1" baseline="0"/>
                  <a:t> sales ($ mn)</a:t>
                </a:r>
              </a:p>
            </c:rich>
          </c:tx>
          <c:layout>
            <c:manualLayout>
              <c:xMode val="edge"/>
              <c:yMode val="edge"/>
              <c:x val="1.0759990422942635E-2"/>
              <c:y val="0.20828817192067209"/>
            </c:manualLayout>
          </c:layout>
          <c:overlay val="0"/>
        </c:title>
        <c:numFmt formatCode="&quot;$&quot;#,##0" sourceLinked="0"/>
        <c:majorTickMark val="out"/>
        <c:minorTickMark val="none"/>
        <c:tickLblPos val="nextTo"/>
        <c:txPr>
          <a:bodyPr/>
          <a:lstStyle/>
          <a:p>
            <a:pPr>
              <a:defRPr sz="1200"/>
            </a:pPr>
            <a:endParaRPr lang="en-US"/>
          </a:p>
        </c:txPr>
        <c:crossAx val="134554368"/>
        <c:crosses val="autoZero"/>
        <c:crossBetween val="between"/>
      </c:valAx>
    </c:plotArea>
    <c:legend>
      <c:legendPos val="t"/>
      <c:layout>
        <c:manualLayout>
          <c:xMode val="edge"/>
          <c:yMode val="edge"/>
          <c:x val="0.17237686337008845"/>
          <c:y val="0.10914755789349502"/>
          <c:w val="0.35163419557859182"/>
          <c:h val="0.165380619103152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2557123126461"/>
          <c:y val="4.9886318107985946E-2"/>
          <c:w val="0.87758099037323589"/>
          <c:h val="0.86620914310300245"/>
        </c:manualLayout>
      </c:layout>
      <c:lineChart>
        <c:grouping val="standard"/>
        <c:varyColors val="0"/>
        <c:ser>
          <c:idx val="0"/>
          <c:order val="0"/>
          <c:tx>
            <c:strRef>
              <c:f>Summary!$B$137</c:f>
              <c:strCache>
                <c:ptCount val="1"/>
                <c:pt idx="0">
                  <c:v>1G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Summary!$C$137:$M$137</c:f>
              <c:numCache>
                <c:formatCode>_("$"* #,##0_);_("$"* \(#,##0\);_("$"* "-"??_);_(@_)</c:formatCode>
                <c:ptCount val="11"/>
                <c:pt idx="0">
                  <c:v>154.16513112975395</c:v>
                </c:pt>
                <c:pt idx="1">
                  <c:v>110.62740763127242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7B-AE46-A98C-233E0A537257}"/>
            </c:ext>
          </c:extLst>
        </c:ser>
        <c:ser>
          <c:idx val="1"/>
          <c:order val="1"/>
          <c:tx>
            <c:strRef>
              <c:f>Summary!$B$138</c:f>
              <c:strCache>
                <c:ptCount val="1"/>
                <c:pt idx="0">
                  <c:v>10G</c:v>
                </c:pt>
              </c:strCache>
            </c:strRef>
          </c:tx>
          <c:marker>
            <c:symbol val="squar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Summary!$C$138:$M$138</c:f>
              <c:numCache>
                <c:formatCode>_("$"* #,##0_);_("$"* \(#,##0\);_("$"* "-"??_);_(@_)</c:formatCode>
                <c:ptCount val="11"/>
                <c:pt idx="0">
                  <c:v>588.89972784362988</c:v>
                </c:pt>
                <c:pt idx="1">
                  <c:v>486.60483553423245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47B-AE46-A98C-233E0A537257}"/>
            </c:ext>
          </c:extLst>
        </c:ser>
        <c:ser>
          <c:idx val="4"/>
          <c:order val="2"/>
          <c:tx>
            <c:strRef>
              <c:f>Summary!$B$139</c:f>
              <c:strCache>
                <c:ptCount val="1"/>
                <c:pt idx="0">
                  <c:v>25G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Summary!$C$139:$M$139</c:f>
              <c:numCache>
                <c:formatCode>_("$"* #,##0_);_("$"* \(#,##0\);_("$"* "-"??_);_(@_)</c:formatCode>
                <c:ptCount val="11"/>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7B-AE46-A98C-233E0A537257}"/>
            </c:ext>
          </c:extLst>
        </c:ser>
        <c:ser>
          <c:idx val="2"/>
          <c:order val="3"/>
          <c:tx>
            <c:strRef>
              <c:f>Summary!$B$140</c:f>
              <c:strCache>
                <c:ptCount val="1"/>
                <c:pt idx="0">
                  <c:v>40G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Summary!$C$140:$M$140</c:f>
              <c:numCache>
                <c:formatCode>_("$"* #,##0_);_("$"* \(#,##0\);_("$"* "-"??_);_(@_)</c:formatCode>
                <c:ptCount val="11"/>
                <c:pt idx="0">
                  <c:v>787.93297017215446</c:v>
                </c:pt>
                <c:pt idx="1">
                  <c:v>904.27751564220159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47B-AE46-A98C-233E0A537257}"/>
            </c:ext>
          </c:extLst>
        </c:ser>
        <c:ser>
          <c:idx val="7"/>
          <c:order val="4"/>
          <c:tx>
            <c:strRef>
              <c:f>Summary!$B$141</c:f>
              <c:strCache>
                <c:ptCount val="1"/>
                <c:pt idx="0">
                  <c:v>50G</c:v>
                </c:pt>
              </c:strCache>
            </c:strRef>
          </c:tx>
          <c:marker>
            <c:symbol val="plus"/>
            <c:size val="7"/>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Summary!$C$141:$M$141</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7B-AE46-A98C-233E0A537257}"/>
            </c:ext>
          </c:extLst>
        </c:ser>
        <c:ser>
          <c:idx val="3"/>
          <c:order val="5"/>
          <c:tx>
            <c:strRef>
              <c:f>Summary!$B$142</c:f>
              <c:strCache>
                <c:ptCount val="1"/>
                <c:pt idx="0">
                  <c:v>100G</c:v>
                </c:pt>
              </c:strCache>
            </c:strRef>
          </c:tx>
          <c:marker>
            <c:symbol val="circl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Summary!$C$142:$M$142</c:f>
              <c:numCache>
                <c:formatCode>_("$"* #,##0_);_("$"* \(#,##0\);_("$"* "-"??_);_(@_)</c:formatCode>
                <c:ptCount val="11"/>
                <c:pt idx="0">
                  <c:v>1143.1589634696481</c:v>
                </c:pt>
                <c:pt idx="1">
                  <c:v>1653.9743919741536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47B-AE46-A98C-233E0A537257}"/>
            </c:ext>
          </c:extLst>
        </c:ser>
        <c:ser>
          <c:idx val="6"/>
          <c:order val="6"/>
          <c:tx>
            <c:strRef>
              <c:f>Summary!$B$143</c:f>
              <c:strCache>
                <c:ptCount val="1"/>
                <c:pt idx="0">
                  <c:v>200G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Summary!$C$143:$M$143</c:f>
              <c:numCache>
                <c:formatCode>_("$"* #,##0.0_);_("$"* \(#,##0.0\);_("$"* "-"??_);_(@_)</c:formatCode>
                <c:ptCount val="11"/>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numCache>
            </c:numRef>
          </c:val>
          <c:smooth val="0"/>
          <c:extLst>
            <c:ext xmlns:c16="http://schemas.microsoft.com/office/drawing/2014/chart" uri="{C3380CC4-5D6E-409C-BE32-E72D297353CC}">
              <c16:uniqueId val="{00000006-547B-AE46-A98C-233E0A537257}"/>
            </c:ext>
          </c:extLst>
        </c:ser>
        <c:ser>
          <c:idx val="5"/>
          <c:order val="7"/>
          <c:tx>
            <c:strRef>
              <c:f>Summary!$B$144</c:f>
              <c:strCache>
                <c:ptCount val="1"/>
                <c:pt idx="0">
                  <c:v>400G</c:v>
                </c:pt>
              </c:strCache>
            </c:strRef>
          </c:tx>
          <c:marker>
            <c:symbol val="circl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Summary!$C$144:$M$144</c:f>
              <c:numCache>
                <c:formatCode>_("$"* #,##0_);_("$"* \(#,##0\);_("$"* "-"??_);_(@_)</c:formatCode>
                <c:ptCount val="11"/>
                <c:pt idx="1">
                  <c:v>1.3482999999999998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47B-AE46-A98C-233E0A537257}"/>
            </c:ext>
          </c:extLst>
        </c:ser>
        <c:ser>
          <c:idx val="8"/>
          <c:order val="8"/>
          <c:tx>
            <c:strRef>
              <c:f>Summary!$B$145</c:f>
              <c:strCache>
                <c:ptCount val="1"/>
                <c:pt idx="0">
                  <c:v>800G</c:v>
                </c:pt>
              </c:strCache>
            </c:strRef>
          </c:tx>
          <c:spPr>
            <a:ln>
              <a:solidFill>
                <a:srgbClr val="00B050"/>
              </a:solidFill>
            </a:ln>
          </c:spPr>
          <c:marker>
            <c:spPr>
              <a:ln>
                <a:solidFill>
                  <a:srgbClr val="00B050"/>
                </a:solidFill>
              </a:ln>
            </c:spPr>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Summary!$C$145:$M$145</c:f>
              <c:numCache>
                <c:formatCode>_("$"* #,##0_);_("$"* \(#,##0\);_("$"* "-"??_);_(@_)</c:formatCode>
                <c:ptCount val="11"/>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9BF-9C49-9DC9-C031F2F3D5A6}"/>
            </c:ext>
          </c:extLst>
        </c:ser>
        <c:ser>
          <c:idx val="9"/>
          <c:order val="9"/>
          <c:tx>
            <c:strRef>
              <c:f>Summary!$B$146</c:f>
              <c:strCache>
                <c:ptCount val="1"/>
                <c:pt idx="0">
                  <c:v>1.6T</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Summary!$C$146:$M$146</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CE07-EA4F-9D90-B6713314BB7F}"/>
            </c:ext>
          </c:extLst>
        </c:ser>
        <c:dLbls>
          <c:showLegendKey val="0"/>
          <c:showVal val="0"/>
          <c:showCatName val="0"/>
          <c:showSerName val="0"/>
          <c:showPercent val="0"/>
          <c:showBubbleSize val="0"/>
        </c:dLbls>
        <c:marker val="1"/>
        <c:smooth val="0"/>
        <c:axId val="131767680"/>
        <c:axId val="131777664"/>
      </c:lineChart>
      <c:catAx>
        <c:axId val="131767680"/>
        <c:scaling>
          <c:orientation val="minMax"/>
        </c:scaling>
        <c:delete val="0"/>
        <c:axPos val="b"/>
        <c:numFmt formatCode="General" sourceLinked="1"/>
        <c:majorTickMark val="out"/>
        <c:minorTickMark val="none"/>
        <c:tickLblPos val="nextTo"/>
        <c:txPr>
          <a:bodyPr/>
          <a:lstStyle/>
          <a:p>
            <a:pPr>
              <a:defRPr sz="1000"/>
            </a:pPr>
            <a:endParaRPr lang="en-US"/>
          </a:p>
        </c:txPr>
        <c:crossAx val="131777664"/>
        <c:crosses val="autoZero"/>
        <c:auto val="1"/>
        <c:lblAlgn val="ctr"/>
        <c:lblOffset val="100"/>
        <c:noMultiLvlLbl val="0"/>
      </c:catAx>
      <c:valAx>
        <c:axId val="131777664"/>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2989953841976652E-2"/>
              <c:y val="0.29664731908511432"/>
            </c:manualLayout>
          </c:layout>
          <c:overlay val="0"/>
        </c:title>
        <c:numFmt formatCode="&quot;$&quot;#,##0" sourceLinked="0"/>
        <c:majorTickMark val="out"/>
        <c:minorTickMark val="none"/>
        <c:tickLblPos val="nextTo"/>
        <c:txPr>
          <a:bodyPr/>
          <a:lstStyle/>
          <a:p>
            <a:pPr>
              <a:defRPr sz="1000"/>
            </a:pPr>
            <a:endParaRPr lang="en-US"/>
          </a:p>
        </c:txPr>
        <c:crossAx val="131767680"/>
        <c:crosses val="autoZero"/>
        <c:crossBetween val="between"/>
      </c:valAx>
    </c:plotArea>
    <c:legend>
      <c:legendPos val="t"/>
      <c:layout>
        <c:manualLayout>
          <c:xMode val="edge"/>
          <c:yMode val="edge"/>
          <c:x val="0.14274339528478736"/>
          <c:y val="2.8516512568415336E-2"/>
          <c:w val="0.81341358819314558"/>
          <c:h val="7.674438412775413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198147503432"/>
          <c:y val="4.1806643807077118E-2"/>
          <c:w val="0.8154383230082296"/>
          <c:h val="0.87628672050094214"/>
        </c:manualLayout>
      </c:layout>
      <c:lineChart>
        <c:grouping val="standard"/>
        <c:varyColors val="0"/>
        <c:ser>
          <c:idx val="0"/>
          <c:order val="0"/>
          <c:tx>
            <c:strRef>
              <c:f>Summary!$B$488</c:f>
              <c:strCache>
                <c:ptCount val="1"/>
                <c:pt idx="0">
                  <c:v>100G PSM4_500 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Summary!$C$488:$M$488</c:f>
              <c:numCache>
                <c:formatCode>_("$"* #,##0_);_("$"* \(#,##0\);_("$"* "-"??_);_(@_)</c:formatCode>
                <c:ptCount val="11"/>
                <c:pt idx="0">
                  <c:v>67.773890240000014</c:v>
                </c:pt>
                <c:pt idx="1">
                  <c:v>158.09400299999999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EA6-BF44-B2F8-6D059DB7EF7D}"/>
            </c:ext>
          </c:extLst>
        </c:ser>
        <c:ser>
          <c:idx val="1"/>
          <c:order val="1"/>
          <c:tx>
            <c:strRef>
              <c:f>Summary!$B$489</c:f>
              <c:strCache>
                <c:ptCount val="1"/>
                <c:pt idx="0">
                  <c:v>100G DR_500m_QSFP28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Summary!$C$489:$M$489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2EA6-BF44-B2F8-6D059DB7EF7D}"/>
            </c:ext>
          </c:extLst>
        </c:ser>
        <c:ser>
          <c:idx val="2"/>
          <c:order val="2"/>
          <c:tx>
            <c:strRef>
              <c:f>Summary!$B$490</c:f>
              <c:strCache>
                <c:ptCount val="1"/>
                <c:pt idx="0">
                  <c:v>100G CWDM4-subspec_500 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Summary!$C$490:$M$490</c:f>
              <c:numCache>
                <c:formatCode>_("$"* #,##0_);_("$"* \(#,##0\);_("$"* "-"??_);_(@_)</c:formatCode>
                <c:ptCount val="11"/>
                <c:pt idx="0">
                  <c:v>55.125374999999998</c:v>
                </c:pt>
                <c:pt idx="1">
                  <c:v>307.53544499999998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EA6-BF44-B2F8-6D059DB7EF7D}"/>
            </c:ext>
          </c:extLst>
        </c:ser>
        <c:ser>
          <c:idx val="3"/>
          <c:order val="3"/>
          <c:tx>
            <c:strRef>
              <c:f>Summary!$B$491</c:f>
              <c:strCache>
                <c:ptCount val="1"/>
                <c:pt idx="0">
                  <c:v>100G CWDM4_2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Summary!$C$491:$M$491</c:f>
              <c:numCache>
                <c:formatCode>_("$"* #,##0_);_("$"* \(#,##0\);_("$"* "-"??_);_(@_)</c:formatCode>
                <c:ptCount val="11"/>
                <c:pt idx="0">
                  <c:v>25.566254999999995</c:v>
                </c:pt>
                <c:pt idx="1">
                  <c:v>190.37908500000003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2EA6-BF44-B2F8-6D059DB7EF7D}"/>
            </c:ext>
          </c:extLst>
        </c:ser>
        <c:ser>
          <c:idx val="4"/>
          <c:order val="4"/>
          <c:tx>
            <c:strRef>
              <c:f>Summary!$B$492</c:f>
              <c:strCache>
                <c:ptCount val="1"/>
                <c:pt idx="0">
                  <c:v>100G FR, DR+_2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Summary!$C$492:$M$492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2EA6-BF44-B2F8-6D059DB7EF7D}"/>
            </c:ext>
          </c:extLst>
        </c:ser>
        <c:ser>
          <c:idx val="5"/>
          <c:order val="5"/>
          <c:tx>
            <c:strRef>
              <c:f>Summary!$B$493</c:f>
              <c:strCache>
                <c:ptCount val="1"/>
                <c:pt idx="0">
                  <c:v>100G LR4_10 km_CFP</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Summary!$C$493:$M$493</c:f>
              <c:numCache>
                <c:formatCode>_("$"* #,##0_);_("$"* \(#,##0\);_("$"* "-"??_);_(@_)</c:formatCode>
                <c:ptCount val="11"/>
                <c:pt idx="0">
                  <c:v>387.84002208207454</c:v>
                </c:pt>
                <c:pt idx="1">
                  <c:v>186.42675405916248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A6-BF44-B2F8-6D059DB7EF7D}"/>
            </c:ext>
          </c:extLst>
        </c:ser>
        <c:ser>
          <c:idx val="6"/>
          <c:order val="6"/>
          <c:tx>
            <c:strRef>
              <c:f>Summary!$B$494</c:f>
              <c:strCache>
                <c:ptCount val="1"/>
                <c:pt idx="0">
                  <c:v>100G LR4_10 km_CFP2/4</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Summary!$C$494:$M$494</c:f>
              <c:numCache>
                <c:formatCode>_("$"* #,##0_);_("$"* \(#,##0\);_("$"* "-"??_);_(@_)</c:formatCode>
                <c:ptCount val="11"/>
                <c:pt idx="0">
                  <c:v>265.89292589706986</c:v>
                </c:pt>
                <c:pt idx="1">
                  <c:v>167.37814313065076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A6-BF44-B2F8-6D059DB7EF7D}"/>
            </c:ext>
          </c:extLst>
        </c:ser>
        <c:ser>
          <c:idx val="7"/>
          <c:order val="7"/>
          <c:tx>
            <c:strRef>
              <c:f>Summary!$B$495</c:f>
              <c:strCache>
                <c:ptCount val="1"/>
                <c:pt idx="0">
                  <c:v>100G LR4 and LR1_10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Summary!$C$495:$M$495</c:f>
              <c:numCache>
                <c:formatCode>_("$"* #,##0_);_("$"* \(#,##0\);_("$"* "-"??_);_(@_)</c:formatCode>
                <c:ptCount val="11"/>
                <c:pt idx="0">
                  <c:v>175.29210971636297</c:v>
                </c:pt>
                <c:pt idx="1">
                  <c:v>434.82240000000002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EA6-BF44-B2F8-6D059DB7EF7D}"/>
            </c:ext>
          </c:extLst>
        </c:ser>
        <c:ser>
          <c:idx val="8"/>
          <c:order val="8"/>
          <c:tx>
            <c:strRef>
              <c:f>Summary!$B$496</c:f>
              <c:strCache>
                <c:ptCount val="1"/>
                <c:pt idx="0">
                  <c:v>100G 4WDM10_10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Summary!$C$496:$M$496</c:f>
              <c:numCache>
                <c:formatCode>_("$"* #,##0_);_("$"* \(#,##0\);_("$"* "-"??_);_(@_)</c:formatCode>
                <c:ptCount val="11"/>
                <c:pt idx="0">
                  <c:v>0</c:v>
                </c:pt>
                <c:pt idx="1">
                  <c:v>22.5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2EA6-BF44-B2F8-6D059DB7EF7D}"/>
            </c:ext>
          </c:extLst>
        </c:ser>
        <c:ser>
          <c:idx val="9"/>
          <c:order val="9"/>
          <c:tx>
            <c:strRef>
              <c:f>Summary!$B$497</c:f>
              <c:strCache>
                <c:ptCount val="1"/>
                <c:pt idx="0">
                  <c:v>100G 4WDM20_20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Summary!$C$497:$M$497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2EA6-BF44-B2F8-6D059DB7EF7D}"/>
            </c:ext>
          </c:extLst>
        </c:ser>
        <c:ser>
          <c:idx val="10"/>
          <c:order val="10"/>
          <c:tx>
            <c:strRef>
              <c:f>Summary!$B$498</c:f>
              <c:strCache>
                <c:ptCount val="1"/>
                <c:pt idx="0">
                  <c:v>100G ER4-Lite_30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Summary!$C$498:$M$498</c:f>
              <c:numCache>
                <c:formatCode>_("$"* #,##0_);_("$"* \(#,##0\);_("$"* "-"??_);_(@_)</c:formatCode>
                <c:ptCount val="11"/>
                <c:pt idx="0">
                  <c:v>0</c:v>
                </c:pt>
                <c:pt idx="1">
                  <c:v>6.9744847890088328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2EA6-BF44-B2F8-6D059DB7EF7D}"/>
            </c:ext>
          </c:extLst>
        </c:ser>
        <c:ser>
          <c:idx val="11"/>
          <c:order val="11"/>
          <c:tx>
            <c:strRef>
              <c:f>Summary!$B$499</c:f>
              <c:strCache>
                <c:ptCount val="1"/>
                <c:pt idx="0">
                  <c:v>100G ER4_40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Summary!$C$499:$M$499</c:f>
              <c:numCache>
                <c:formatCode>_("$"* #,##0_);_("$"* \(#,##0\);_("$"* "-"??_);_(@_)</c:formatCode>
                <c:ptCount val="11"/>
                <c:pt idx="0">
                  <c:v>67.047039534140794</c:v>
                </c:pt>
                <c:pt idx="1">
                  <c:v>55.219616614611596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9F5-4D40-9084-4A4A72DF2CC5}"/>
            </c:ext>
          </c:extLst>
        </c:ser>
        <c:ser>
          <c:idx val="12"/>
          <c:order val="12"/>
          <c:tx>
            <c:strRef>
              <c:f>Summary!$B$500</c:f>
              <c:strCache>
                <c:ptCount val="1"/>
                <c:pt idx="0">
                  <c:v>100G ZR4_80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Summary!$C$500:$M$500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C9F5-4D40-9084-4A4A72DF2CC5}"/>
            </c:ext>
          </c:extLst>
        </c:ser>
        <c:dLbls>
          <c:showLegendKey val="0"/>
          <c:showVal val="0"/>
          <c:showCatName val="0"/>
          <c:showSerName val="0"/>
          <c:showPercent val="0"/>
          <c:showBubbleSize val="0"/>
        </c:dLbls>
        <c:marker val="1"/>
        <c:smooth val="0"/>
        <c:axId val="134182400"/>
        <c:axId val="134183936"/>
      </c:lineChart>
      <c:catAx>
        <c:axId val="134182400"/>
        <c:scaling>
          <c:orientation val="minMax"/>
        </c:scaling>
        <c:delete val="0"/>
        <c:axPos val="b"/>
        <c:numFmt formatCode="General" sourceLinked="1"/>
        <c:majorTickMark val="out"/>
        <c:minorTickMark val="none"/>
        <c:tickLblPos val="nextTo"/>
        <c:crossAx val="134183936"/>
        <c:crosses val="autoZero"/>
        <c:auto val="1"/>
        <c:lblAlgn val="ctr"/>
        <c:lblOffset val="100"/>
        <c:noMultiLvlLbl val="0"/>
      </c:catAx>
      <c:valAx>
        <c:axId val="134183936"/>
        <c:scaling>
          <c:orientation val="minMax"/>
        </c:scaling>
        <c:delete val="0"/>
        <c:axPos val="l"/>
        <c:majorGridlines/>
        <c:title>
          <c:tx>
            <c:rich>
              <a:bodyPr rot="-5400000" vert="horz"/>
              <a:lstStyle/>
              <a:p>
                <a:pPr>
                  <a:defRPr sz="1400"/>
                </a:pPr>
                <a:r>
                  <a:rPr lang="en-US" sz="1400"/>
                  <a:t>Annual sales ($ mn)</a:t>
                </a:r>
              </a:p>
            </c:rich>
          </c:tx>
          <c:overlay val="0"/>
        </c:title>
        <c:numFmt formatCode="&quot;$&quot;#,##0" sourceLinked="0"/>
        <c:majorTickMark val="out"/>
        <c:minorTickMark val="none"/>
        <c:tickLblPos val="nextTo"/>
        <c:crossAx val="134182400"/>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73996124151406"/>
          <c:y val="5.3872467799939351E-2"/>
          <c:w val="0.8490599767601229"/>
          <c:h val="0.86037270873478522"/>
        </c:manualLayout>
      </c:layout>
      <c:barChart>
        <c:barDir val="col"/>
        <c:grouping val="stacked"/>
        <c:varyColors val="0"/>
        <c:ser>
          <c:idx val="8"/>
          <c:order val="0"/>
          <c:tx>
            <c:v>total</c:v>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Summary!$C$148:$M$148</c:f>
              <c:numCache>
                <c:formatCode>_("$"* #,##0_);_("$"* \(#,##0\);_("$"* "-"??_);_(@_)</c:formatCode>
                <c:ptCount val="11"/>
                <c:pt idx="0">
                  <c:v>2687.6154076451867</c:v>
                </c:pt>
                <c:pt idx="1">
                  <c:v>3178.3132920887742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25BD-1C41-99D8-3B2A3EEF05A2}"/>
            </c:ext>
          </c:extLst>
        </c:ser>
        <c:dLbls>
          <c:showLegendKey val="0"/>
          <c:showVal val="0"/>
          <c:showCatName val="0"/>
          <c:showSerName val="0"/>
          <c:showPercent val="0"/>
          <c:showBubbleSize val="0"/>
        </c:dLbls>
        <c:gapWidth val="150"/>
        <c:overlap val="100"/>
        <c:axId val="134200704"/>
        <c:axId val="134218880"/>
      </c:barChart>
      <c:catAx>
        <c:axId val="134200704"/>
        <c:scaling>
          <c:orientation val="minMax"/>
        </c:scaling>
        <c:delete val="0"/>
        <c:axPos val="b"/>
        <c:numFmt formatCode="General" sourceLinked="1"/>
        <c:majorTickMark val="out"/>
        <c:minorTickMark val="none"/>
        <c:tickLblPos val="nextTo"/>
        <c:txPr>
          <a:bodyPr/>
          <a:lstStyle/>
          <a:p>
            <a:pPr>
              <a:defRPr sz="1200"/>
            </a:pPr>
            <a:endParaRPr lang="en-US"/>
          </a:p>
        </c:txPr>
        <c:crossAx val="134218880"/>
        <c:crosses val="autoZero"/>
        <c:auto val="1"/>
        <c:lblAlgn val="ctr"/>
        <c:lblOffset val="100"/>
        <c:noMultiLvlLbl val="0"/>
      </c:catAx>
      <c:valAx>
        <c:axId val="134218880"/>
        <c:scaling>
          <c:orientation val="minMax"/>
          <c:min val="0"/>
        </c:scaling>
        <c:delete val="0"/>
        <c:axPos val="l"/>
        <c:majorGridlines/>
        <c:title>
          <c:tx>
            <c:rich>
              <a:bodyPr/>
              <a:lstStyle/>
              <a:p>
                <a:pPr>
                  <a:defRPr sz="1400"/>
                </a:pPr>
                <a:r>
                  <a:rPr lang="en-US" sz="1400"/>
                  <a:t>Annual</a:t>
                </a:r>
                <a:r>
                  <a:rPr lang="en-US" sz="1400" baseline="0"/>
                  <a:t> s</a:t>
                </a:r>
                <a:r>
                  <a:rPr lang="en-US" sz="1400"/>
                  <a:t>ales ($ mn)</a:t>
                </a:r>
              </a:p>
            </c:rich>
          </c:tx>
          <c:layout>
            <c:manualLayout>
              <c:xMode val="edge"/>
              <c:yMode val="edge"/>
              <c:x val="9.9911751377394064E-3"/>
              <c:y val="0.29108391556769991"/>
            </c:manualLayout>
          </c:layout>
          <c:overlay val="0"/>
        </c:title>
        <c:numFmt formatCode="&quot;$&quot;#,##0" sourceLinked="0"/>
        <c:majorTickMark val="out"/>
        <c:minorTickMark val="none"/>
        <c:tickLblPos val="nextTo"/>
        <c:txPr>
          <a:bodyPr/>
          <a:lstStyle/>
          <a:p>
            <a:pPr>
              <a:defRPr sz="1200"/>
            </a:pPr>
            <a:endParaRPr lang="en-US"/>
          </a:p>
        </c:txPr>
        <c:crossAx val="134200704"/>
        <c:crosses val="autoZero"/>
        <c:crossBetween val="between"/>
      </c:valAx>
    </c:plotArea>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722949903158"/>
          <c:y val="4.4374540872197936E-2"/>
          <c:w val="0.85792760567452775"/>
          <c:h val="0.86403869827235957"/>
        </c:manualLayout>
      </c:layout>
      <c:barChart>
        <c:barDir val="col"/>
        <c:grouping val="stacked"/>
        <c:varyColors val="0"/>
        <c:ser>
          <c:idx val="0"/>
          <c:order val="0"/>
          <c:tx>
            <c:strRef>
              <c:f>Summary!$B$137</c:f>
              <c:strCache>
                <c:ptCount val="1"/>
                <c:pt idx="0">
                  <c:v>1G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Summary!$C$137:$M$137</c:f>
              <c:numCache>
                <c:formatCode>_("$"* #,##0_);_("$"* \(#,##0\);_("$"* "-"??_);_(@_)</c:formatCode>
                <c:ptCount val="11"/>
                <c:pt idx="0">
                  <c:v>154.16513112975395</c:v>
                </c:pt>
                <c:pt idx="1">
                  <c:v>110.62740763127242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1"/>
          <c:order val="1"/>
          <c:tx>
            <c:strRef>
              <c:f>Summary!$B$138</c:f>
              <c:strCache>
                <c:ptCount val="1"/>
                <c:pt idx="0">
                  <c:v>10G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Summary!$C$138:$M$138</c:f>
              <c:numCache>
                <c:formatCode>_("$"* #,##0_);_("$"* \(#,##0\);_("$"* "-"??_);_(@_)</c:formatCode>
                <c:ptCount val="11"/>
                <c:pt idx="0">
                  <c:v>588.89972784362988</c:v>
                </c:pt>
                <c:pt idx="1">
                  <c:v>486.60483553423245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D65-1F4A-9073-3D899F10AD6F}"/>
            </c:ext>
          </c:extLst>
        </c:ser>
        <c:ser>
          <c:idx val="4"/>
          <c:order val="2"/>
          <c:tx>
            <c:strRef>
              <c:f>Summary!$B$139</c:f>
              <c:strCache>
                <c:ptCount val="1"/>
                <c:pt idx="0">
                  <c:v>25G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Summary!$C$139:$M$139</c:f>
              <c:numCache>
                <c:formatCode>_("$"* #,##0_);_("$"* \(#,##0\);_("$"* "-"??_);_(@_)</c:formatCode>
                <c:ptCount val="11"/>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D65-1F4A-9073-3D899F10AD6F}"/>
            </c:ext>
          </c:extLst>
        </c:ser>
        <c:ser>
          <c:idx val="2"/>
          <c:order val="3"/>
          <c:tx>
            <c:strRef>
              <c:f>Summary!$B$140</c:f>
              <c:strCache>
                <c:ptCount val="1"/>
                <c:pt idx="0">
                  <c:v>40G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Summary!$C$140:$M$140</c:f>
              <c:numCache>
                <c:formatCode>_("$"* #,##0_);_("$"* \(#,##0\);_("$"* "-"??_);_(@_)</c:formatCode>
                <c:ptCount val="11"/>
                <c:pt idx="0">
                  <c:v>787.93297017215446</c:v>
                </c:pt>
                <c:pt idx="1">
                  <c:v>904.27751564220159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D65-1F4A-9073-3D899F10AD6F}"/>
            </c:ext>
          </c:extLst>
        </c:ser>
        <c:ser>
          <c:idx val="7"/>
          <c:order val="4"/>
          <c:tx>
            <c:strRef>
              <c:f>Summary!$B$141</c:f>
              <c:strCache>
                <c:ptCount val="1"/>
                <c:pt idx="0">
                  <c:v>50G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Summary!$C$141:$M$141</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D65-1F4A-9073-3D899F10AD6F}"/>
            </c:ext>
          </c:extLst>
        </c:ser>
        <c:ser>
          <c:idx val="3"/>
          <c:order val="5"/>
          <c:tx>
            <c:strRef>
              <c:f>Summary!$B$142</c:f>
              <c:strCache>
                <c:ptCount val="1"/>
                <c:pt idx="0">
                  <c:v>100G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Summary!$C$142:$M$142</c:f>
              <c:numCache>
                <c:formatCode>_("$"* #,##0_);_("$"* \(#,##0\);_("$"* "-"??_);_(@_)</c:formatCode>
                <c:ptCount val="11"/>
                <c:pt idx="0">
                  <c:v>1143.1589634696481</c:v>
                </c:pt>
                <c:pt idx="1">
                  <c:v>1653.9743919741536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D65-1F4A-9073-3D899F10AD6F}"/>
            </c:ext>
          </c:extLst>
        </c:ser>
        <c:ser>
          <c:idx val="6"/>
          <c:order val="6"/>
          <c:tx>
            <c:strRef>
              <c:f>Summary!$B$143</c:f>
              <c:strCache>
                <c:ptCount val="1"/>
                <c:pt idx="0">
                  <c:v>200G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Summary!$C$143:$M$143</c:f>
              <c:numCache>
                <c:formatCode>_("$"* #,##0.0_);_("$"* \(#,##0.0\);_("$"* "-"??_);_(@_)</c:formatCode>
                <c:ptCount val="11"/>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numCache>
            </c:numRef>
          </c:val>
          <c:extLst>
            <c:ext xmlns:c16="http://schemas.microsoft.com/office/drawing/2014/chart" uri="{C3380CC4-5D6E-409C-BE32-E72D297353CC}">
              <c16:uniqueId val="{00000006-FD65-1F4A-9073-3D899F10AD6F}"/>
            </c:ext>
          </c:extLst>
        </c:ser>
        <c:ser>
          <c:idx val="5"/>
          <c:order val="7"/>
          <c:tx>
            <c:strRef>
              <c:f>Summary!$B$144</c:f>
              <c:strCache>
                <c:ptCount val="1"/>
                <c:pt idx="0">
                  <c:v>400G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Summary!$C$144:$M$144</c:f>
              <c:numCache>
                <c:formatCode>_("$"* #,##0_);_("$"* \(#,##0\);_("$"* "-"??_);_(@_)</c:formatCode>
                <c:ptCount val="11"/>
                <c:pt idx="1">
                  <c:v>1.3482999999999998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D65-1F4A-9073-3D899F10AD6F}"/>
            </c:ext>
          </c:extLst>
        </c:ser>
        <c:ser>
          <c:idx val="8"/>
          <c:order val="8"/>
          <c:tx>
            <c:strRef>
              <c:f>Summary!$B$145</c:f>
              <c:strCache>
                <c:ptCount val="1"/>
                <c:pt idx="0">
                  <c:v>800G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Summary!$C$145:$M$145</c:f>
              <c:numCache>
                <c:formatCode>_("$"* #,##0_);_("$"* \(#,##0\);_("$"* "-"??_);_(@_)</c:formatCode>
                <c:ptCount val="11"/>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8EA-CD4C-ABF1-D981B606955A}"/>
            </c:ext>
          </c:extLst>
        </c:ser>
        <c:ser>
          <c:idx val="9"/>
          <c:order val="9"/>
          <c:tx>
            <c:strRef>
              <c:f>Summary!$B$146</c:f>
              <c:strCache>
                <c:ptCount val="1"/>
                <c:pt idx="0">
                  <c:v>1.6T</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Summary!$C$146:$M$146</c:f>
              <c:numCache>
                <c:formatCode>_("$"* #,##0_);_("$"* \(#,##0\);_("$"* "-"??_);_(@_)</c:formatCode>
                <c:ptCount val="11"/>
                <c:pt idx="8">
                  <c:v>0</c:v>
                </c:pt>
                <c:pt idx="9">
                  <c:v>0</c:v>
                </c:pt>
                <c:pt idx="10">
                  <c:v>0</c:v>
                </c:pt>
              </c:numCache>
            </c:numRef>
          </c:val>
          <c:extLst>
            <c:ext xmlns:c16="http://schemas.microsoft.com/office/drawing/2014/chart" uri="{C3380CC4-5D6E-409C-BE32-E72D297353CC}">
              <c16:uniqueId val="{00000000-39E1-9143-896B-C13373F03D3B}"/>
            </c:ext>
          </c:extLst>
        </c:ser>
        <c:dLbls>
          <c:showLegendKey val="0"/>
          <c:showVal val="0"/>
          <c:showCatName val="0"/>
          <c:showSerName val="0"/>
          <c:showPercent val="0"/>
          <c:showBubbleSize val="0"/>
        </c:dLbls>
        <c:gapWidth val="150"/>
        <c:overlap val="100"/>
        <c:axId val="134324224"/>
        <c:axId val="134325760"/>
      </c:barChart>
      <c:catAx>
        <c:axId val="134324224"/>
        <c:scaling>
          <c:orientation val="minMax"/>
        </c:scaling>
        <c:delete val="0"/>
        <c:axPos val="b"/>
        <c:numFmt formatCode="General" sourceLinked="1"/>
        <c:majorTickMark val="out"/>
        <c:minorTickMark val="none"/>
        <c:tickLblPos val="nextTo"/>
        <c:txPr>
          <a:bodyPr/>
          <a:lstStyle/>
          <a:p>
            <a:pPr>
              <a:defRPr sz="1200"/>
            </a:pPr>
            <a:endParaRPr lang="en-US"/>
          </a:p>
        </c:txPr>
        <c:crossAx val="134325760"/>
        <c:crosses val="autoZero"/>
        <c:auto val="1"/>
        <c:lblAlgn val="ctr"/>
        <c:lblOffset val="100"/>
        <c:noMultiLvlLbl val="0"/>
      </c:catAx>
      <c:valAx>
        <c:axId val="134325760"/>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4324224"/>
        <c:crosses val="autoZero"/>
        <c:crossBetween val="between"/>
      </c:valAx>
    </c:plotArea>
    <c:legend>
      <c:legendPos val="t"/>
      <c:layout>
        <c:manualLayout>
          <c:xMode val="edge"/>
          <c:yMode val="edge"/>
          <c:x val="0.19525072719406861"/>
          <c:y val="8.8166651213907724E-2"/>
          <c:w val="0.68039092498675824"/>
          <c:h val="7.6888302537067424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15625773674872"/>
          <c:y val="3.8334131910281406E-2"/>
          <c:w val="0.77443754472476678"/>
          <c:h val="0.8490686520143037"/>
        </c:manualLayout>
      </c:layout>
      <c:barChart>
        <c:barDir val="col"/>
        <c:grouping val="stacked"/>
        <c:varyColors val="0"/>
        <c:ser>
          <c:idx val="0"/>
          <c:order val="0"/>
          <c:tx>
            <c:strRef>
              <c:f>Summary!$B$119</c:f>
              <c:strCache>
                <c:ptCount val="1"/>
                <c:pt idx="0">
                  <c:v>1G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Summary!$C$119:$M$119</c:f>
              <c:numCache>
                <c:formatCode>_(* #,##0_);_(* \(#,##0\);_(* "-"??_);_(@_)</c:formatCode>
                <c:ptCount val="11"/>
                <c:pt idx="0">
                  <c:v>13567410.105</c:v>
                </c:pt>
                <c:pt idx="1">
                  <c:v>11273695.050000001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FC3-BC43-AD83-EAFEE37073E6}"/>
            </c:ext>
          </c:extLst>
        </c:ser>
        <c:ser>
          <c:idx val="1"/>
          <c:order val="1"/>
          <c:tx>
            <c:strRef>
              <c:f>Summary!$B$120</c:f>
              <c:strCache>
                <c:ptCount val="1"/>
                <c:pt idx="0">
                  <c:v>10G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Summary!$C$120:$M$120</c:f>
              <c:numCache>
                <c:formatCode>_(* #,##0_);_(* \(#,##0\);_(* "-"??_);_(@_)</c:formatCode>
                <c:ptCount val="11"/>
                <c:pt idx="0">
                  <c:v>18516818.93</c:v>
                </c:pt>
                <c:pt idx="1">
                  <c:v>19945022.100000001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FC3-BC43-AD83-EAFEE37073E6}"/>
            </c:ext>
          </c:extLst>
        </c:ser>
        <c:ser>
          <c:idx val="4"/>
          <c:order val="2"/>
          <c:tx>
            <c:strRef>
              <c:f>Summary!$B$121</c:f>
              <c:strCache>
                <c:ptCount val="1"/>
                <c:pt idx="0">
                  <c:v>25G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Summary!$C$121:$M$121</c:f>
              <c:numCache>
                <c:formatCode>_(* #,##0_);_(* \(#,##0\);_(* "-"??_);_(@_)</c:formatCode>
                <c:ptCount val="11"/>
                <c:pt idx="0">
                  <c:v>11694</c:v>
                </c:pt>
                <c:pt idx="1">
                  <c:v>113327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FC3-BC43-AD83-EAFEE37073E6}"/>
            </c:ext>
          </c:extLst>
        </c:ser>
        <c:ser>
          <c:idx val="2"/>
          <c:order val="3"/>
          <c:tx>
            <c:strRef>
              <c:f>Summary!$B$122</c:f>
              <c:strCache>
                <c:ptCount val="1"/>
                <c:pt idx="0">
                  <c:v>40G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Summary!$C$122:$M$122</c:f>
              <c:numCache>
                <c:formatCode>_(* #,##0_);_(* \(#,##0\);_(* "-"??_);_(@_)</c:formatCode>
                <c:ptCount val="11"/>
                <c:pt idx="0">
                  <c:v>3153068</c:v>
                </c:pt>
                <c:pt idx="1">
                  <c:v>3864160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FFC3-BC43-AD83-EAFEE37073E6}"/>
            </c:ext>
          </c:extLst>
        </c:ser>
        <c:ser>
          <c:idx val="6"/>
          <c:order val="4"/>
          <c:tx>
            <c:strRef>
              <c:f>Summary!$B$123</c:f>
              <c:strCache>
                <c:ptCount val="1"/>
                <c:pt idx="0">
                  <c:v>50G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Summary!$C$123:$M$123</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FFC3-BC43-AD83-EAFEE37073E6}"/>
            </c:ext>
          </c:extLst>
        </c:ser>
        <c:ser>
          <c:idx val="3"/>
          <c:order val="5"/>
          <c:tx>
            <c:strRef>
              <c:f>Summary!$B$124</c:f>
              <c:strCache>
                <c:ptCount val="1"/>
                <c:pt idx="0">
                  <c:v>100G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919370</c:v>
                </c:pt>
                <c:pt idx="1">
                  <c:v>2881490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FC3-BC43-AD83-EAFEE37073E6}"/>
            </c:ext>
          </c:extLst>
        </c:ser>
        <c:ser>
          <c:idx val="7"/>
          <c:order val="6"/>
          <c:tx>
            <c:strRef>
              <c:f>Summary!$B$125</c:f>
              <c:strCache>
                <c:ptCount val="1"/>
                <c:pt idx="0">
                  <c:v>200G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FFC3-BC43-AD83-EAFEE37073E6}"/>
            </c:ext>
          </c:extLst>
        </c:ser>
        <c:ser>
          <c:idx val="5"/>
          <c:order val="7"/>
          <c:tx>
            <c:strRef>
              <c:f>Summary!$B$126</c:f>
              <c:strCache>
                <c:ptCount val="1"/>
                <c:pt idx="0">
                  <c:v>400G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1">
                  <c:v>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FC3-BC43-AD83-EAFEE37073E6}"/>
            </c:ext>
          </c:extLst>
        </c:ser>
        <c:ser>
          <c:idx val="8"/>
          <c:order val="8"/>
          <c:tx>
            <c:strRef>
              <c:f>Summary!$B$127</c:f>
              <c:strCache>
                <c:ptCount val="1"/>
                <c:pt idx="0">
                  <c:v>800G</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Summary!$C$127:$M$127</c:f>
              <c:numCache>
                <c:formatCode>_(* #,##0_);_(* \(#,##0\);_(* "-"??_);_(@_)</c:formatCode>
                <c:ptCount val="11"/>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283-D14F-A632-754F8EB4891E}"/>
            </c:ext>
          </c:extLst>
        </c:ser>
        <c:ser>
          <c:idx val="9"/>
          <c:order val="9"/>
          <c:tx>
            <c:strRef>
              <c:f>Summary!$B$128</c:f>
              <c:strCache>
                <c:ptCount val="1"/>
                <c:pt idx="0">
                  <c:v>1.6T</c:v>
                </c:pt>
              </c:strCache>
            </c:strRef>
          </c:tx>
          <c:invertIfNegative val="0"/>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Summary!$C$128:$M$128</c:f>
              <c:numCache>
                <c:formatCode>_(* #,##0_);_(* \(#,##0\);_(* "-"??_);_(@_)</c:formatCode>
                <c:ptCount val="11"/>
                <c:pt idx="8">
                  <c:v>0</c:v>
                </c:pt>
                <c:pt idx="9">
                  <c:v>0</c:v>
                </c:pt>
                <c:pt idx="10">
                  <c:v>0</c:v>
                </c:pt>
              </c:numCache>
            </c:numRef>
          </c:val>
          <c:extLst>
            <c:ext xmlns:c16="http://schemas.microsoft.com/office/drawing/2014/chart" uri="{C3380CC4-5D6E-409C-BE32-E72D297353CC}">
              <c16:uniqueId val="{00000000-FDC4-DC47-9718-1E9637B01702}"/>
            </c:ext>
          </c:extLst>
        </c:ser>
        <c:dLbls>
          <c:showLegendKey val="0"/>
          <c:showVal val="0"/>
          <c:showCatName val="0"/>
          <c:showSerName val="0"/>
          <c:showPercent val="0"/>
          <c:showBubbleSize val="0"/>
        </c:dLbls>
        <c:gapWidth val="150"/>
        <c:overlap val="100"/>
        <c:axId val="134640384"/>
        <c:axId val="134641920"/>
      </c:barChart>
      <c:catAx>
        <c:axId val="134640384"/>
        <c:scaling>
          <c:orientation val="minMax"/>
        </c:scaling>
        <c:delete val="0"/>
        <c:axPos val="b"/>
        <c:numFmt formatCode="General" sourceLinked="1"/>
        <c:majorTickMark val="out"/>
        <c:minorTickMark val="none"/>
        <c:tickLblPos val="nextTo"/>
        <c:txPr>
          <a:bodyPr/>
          <a:lstStyle/>
          <a:p>
            <a:pPr>
              <a:defRPr sz="1200"/>
            </a:pPr>
            <a:endParaRPr lang="en-US"/>
          </a:p>
        </c:txPr>
        <c:crossAx val="134641920"/>
        <c:crosses val="autoZero"/>
        <c:auto val="1"/>
        <c:lblAlgn val="ctr"/>
        <c:lblOffset val="100"/>
        <c:noMultiLvlLbl val="0"/>
      </c:catAx>
      <c:valAx>
        <c:axId val="134641920"/>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5693500961476497E-2"/>
              <c:y val="0.25022654293800212"/>
            </c:manualLayout>
          </c:layout>
          <c:overlay val="0"/>
        </c:title>
        <c:numFmt formatCode="_(* #,##0_);_(* \(#,##0\);_(* &quot;-&quot;_);_(@_)" sourceLinked="0"/>
        <c:majorTickMark val="out"/>
        <c:minorTickMark val="none"/>
        <c:tickLblPos val="nextTo"/>
        <c:txPr>
          <a:bodyPr/>
          <a:lstStyle/>
          <a:p>
            <a:pPr>
              <a:defRPr sz="1200"/>
            </a:pPr>
            <a:endParaRPr lang="en-US"/>
          </a:p>
        </c:txPr>
        <c:crossAx val="134640384"/>
        <c:crosses val="autoZero"/>
        <c:crossBetween val="between"/>
      </c:valAx>
    </c:plotArea>
    <c:legend>
      <c:legendPos val="t"/>
      <c:layout>
        <c:manualLayout>
          <c:xMode val="edge"/>
          <c:yMode val="edge"/>
          <c:x val="0.21917719475536865"/>
          <c:y val="3.6680285146834531E-2"/>
          <c:w val="0.69690015335440136"/>
          <c:h val="7.936849022627158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180738459866"/>
          <c:y val="6.0979003054420146E-2"/>
          <c:w val="0.78733439496758928"/>
          <c:h val="0.83064707120677872"/>
        </c:manualLayout>
      </c:layout>
      <c:lineChart>
        <c:grouping val="standard"/>
        <c:varyColors val="0"/>
        <c:ser>
          <c:idx val="0"/>
          <c:order val="0"/>
          <c:tx>
            <c:strRef>
              <c:f>Summary!$B$119</c:f>
              <c:strCache>
                <c:ptCount val="1"/>
                <c:pt idx="0">
                  <c:v>1G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Summary!$C$119:$M$119</c:f>
              <c:numCache>
                <c:formatCode>_(* #,##0_);_(* \(#,##0\);_(* "-"??_);_(@_)</c:formatCode>
                <c:ptCount val="11"/>
                <c:pt idx="0">
                  <c:v>13567410.105</c:v>
                </c:pt>
                <c:pt idx="1">
                  <c:v>11273695.050000001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Summary!$C$120:$M$120</c:f>
              <c:numCache>
                <c:formatCode>_(* #,##0_);_(* \(#,##0\);_(* "-"??_);_(@_)</c:formatCode>
                <c:ptCount val="11"/>
                <c:pt idx="0">
                  <c:v>18516818.93</c:v>
                </c:pt>
                <c:pt idx="1">
                  <c:v>19945022.100000001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63D-9542-A559-C232ED949B76}"/>
            </c:ext>
          </c:extLst>
        </c:ser>
        <c:ser>
          <c:idx val="3"/>
          <c:order val="2"/>
          <c:tx>
            <c:strRef>
              <c:f>Summary!$B$124</c:f>
              <c:strCache>
                <c:ptCount val="1"/>
                <c:pt idx="0">
                  <c:v>100G</c:v>
                </c:pt>
              </c:strCache>
            </c:strRef>
          </c:tx>
          <c:marker>
            <c:symbol val="circle"/>
            <c:size val="5"/>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919370</c:v>
                </c:pt>
                <c:pt idx="1">
                  <c:v>2881490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63D-9542-A559-C232ED949B76}"/>
            </c:ext>
          </c:extLst>
        </c:ser>
        <c:dLbls>
          <c:showLegendKey val="0"/>
          <c:showVal val="0"/>
          <c:showCatName val="0"/>
          <c:showSerName val="0"/>
          <c:showPercent val="0"/>
          <c:showBubbleSize val="0"/>
        </c:dLbls>
        <c:marker val="1"/>
        <c:smooth val="0"/>
        <c:axId val="134824704"/>
        <c:axId val="134826240"/>
      </c:lineChart>
      <c:catAx>
        <c:axId val="134824704"/>
        <c:scaling>
          <c:orientation val="minMax"/>
        </c:scaling>
        <c:delete val="0"/>
        <c:axPos val="b"/>
        <c:numFmt formatCode="General" sourceLinked="1"/>
        <c:majorTickMark val="out"/>
        <c:minorTickMark val="none"/>
        <c:tickLblPos val="nextTo"/>
        <c:txPr>
          <a:bodyPr/>
          <a:lstStyle/>
          <a:p>
            <a:pPr>
              <a:defRPr sz="1200"/>
            </a:pPr>
            <a:endParaRPr lang="en-US"/>
          </a:p>
        </c:txPr>
        <c:crossAx val="134826240"/>
        <c:crosses val="autoZero"/>
        <c:auto val="1"/>
        <c:lblAlgn val="ctr"/>
        <c:lblOffset val="100"/>
        <c:noMultiLvlLbl val="0"/>
      </c:catAx>
      <c:valAx>
        <c:axId val="134826240"/>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681321678506862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4824704"/>
        <c:crosses val="autoZero"/>
        <c:crossBetween val="between"/>
      </c:valAx>
    </c:plotArea>
    <c:legend>
      <c:legendPos val="t"/>
      <c:layout>
        <c:manualLayout>
          <c:xMode val="edge"/>
          <c:yMode val="edge"/>
          <c:x val="0.21089597351266823"/>
          <c:y val="7.8250856523301798E-2"/>
          <c:w val="0.13842346071518044"/>
          <c:h val="0.231884734000850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0430821875071"/>
          <c:y val="6.0979003054420146E-2"/>
          <c:w val="0.80098190213161424"/>
          <c:h val="0.83064707120677872"/>
        </c:manualLayout>
      </c:layout>
      <c:lineChart>
        <c:grouping val="standard"/>
        <c:varyColors val="0"/>
        <c:ser>
          <c:idx val="4"/>
          <c:order val="0"/>
          <c:tx>
            <c:strRef>
              <c:f>Summary!$B$121</c:f>
              <c:strCache>
                <c:ptCount val="1"/>
                <c:pt idx="0">
                  <c:v>25G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Summary!$C$121:$M$121</c:f>
              <c:numCache>
                <c:formatCode>_(* #,##0_);_(* \(#,##0\);_(* "-"??_);_(@_)</c:formatCode>
                <c:ptCount val="11"/>
                <c:pt idx="0">
                  <c:v>11694</c:v>
                </c:pt>
                <c:pt idx="1">
                  <c:v>113327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63D-9542-A559-C232ED949B76}"/>
            </c:ext>
          </c:extLst>
        </c:ser>
        <c:ser>
          <c:idx val="0"/>
          <c:order val="1"/>
          <c:tx>
            <c:v>40G</c:v>
          </c:tx>
          <c:spPr>
            <a:ln>
              <a:solidFill>
                <a:schemeClr val="accent3"/>
              </a:solidFill>
            </a:ln>
          </c:spPr>
          <c:marker>
            <c:spPr>
              <a:solidFill>
                <a:schemeClr val="accent3"/>
              </a:solidFill>
              <a:ln>
                <a:solidFill>
                  <a:schemeClr val="accent3"/>
                </a:solidFill>
              </a:ln>
            </c:spPr>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Summary!$C$122:$M$122</c:f>
              <c:numCache>
                <c:formatCode>_(* #,##0_);_(* \(#,##0\);_(* "-"??_);_(@_)</c:formatCode>
                <c:ptCount val="11"/>
                <c:pt idx="0">
                  <c:v>3153068</c:v>
                </c:pt>
                <c:pt idx="1">
                  <c:v>3864160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493-EC4F-A833-CE38BE01BC90}"/>
            </c:ext>
          </c:extLst>
        </c:ser>
        <c:ser>
          <c:idx val="6"/>
          <c:order val="2"/>
          <c:tx>
            <c:strRef>
              <c:f>Summary!$B$123</c:f>
              <c:strCache>
                <c:ptCount val="1"/>
                <c:pt idx="0">
                  <c:v>50G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Summary!$C$123:$M$123</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63D-9542-A559-C232ED949B76}"/>
            </c:ext>
          </c:extLst>
        </c:ser>
        <c:ser>
          <c:idx val="7"/>
          <c:order val="3"/>
          <c:tx>
            <c:strRef>
              <c:f>Summary!$B$125</c:f>
              <c:strCache>
                <c:ptCount val="1"/>
                <c:pt idx="0">
                  <c:v>200G</c:v>
                </c:pt>
              </c:strCache>
            </c:strRef>
          </c:tx>
          <c:marker>
            <c:symbol val="plus"/>
            <c:size val="7"/>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63D-9542-A559-C232ED949B76}"/>
            </c:ext>
          </c:extLst>
        </c:ser>
        <c:ser>
          <c:idx val="5"/>
          <c:order val="4"/>
          <c:tx>
            <c:strRef>
              <c:f>Summary!$B$126</c:f>
              <c:strCache>
                <c:ptCount val="1"/>
                <c:pt idx="0">
                  <c:v>400G</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Summary!$C$126:$M$126</c:f>
              <c:numCache>
                <c:formatCode>_(* #,##0_);_(* \(#,##0\);_(* "-"??_);_(@_)</c:formatCode>
                <c:ptCount val="11"/>
                <c:pt idx="1">
                  <c:v>89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63D-9542-A559-C232ED949B76}"/>
            </c:ext>
          </c:extLst>
        </c:ser>
        <c:ser>
          <c:idx val="8"/>
          <c:order val="5"/>
          <c:tx>
            <c:strRef>
              <c:f>Summary!$B$127</c:f>
              <c:strCache>
                <c:ptCount val="1"/>
                <c:pt idx="0">
                  <c:v>800G</c:v>
                </c:pt>
              </c:strCache>
            </c:strRef>
          </c:tx>
          <c:spPr>
            <a:ln>
              <a:solidFill>
                <a:srgbClr val="00B050"/>
              </a:solidFill>
            </a:ln>
          </c:spPr>
          <c:marker>
            <c:spPr>
              <a:solidFill>
                <a:srgbClr val="00B050"/>
              </a:solidFill>
              <a:ln>
                <a:solidFill>
                  <a:srgbClr val="00B050"/>
                </a:solidFill>
              </a:ln>
            </c:spPr>
          </c:marker>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Summary!$C$127:$M$127</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6E9-C844-9D3A-CB9DAF54EC16}"/>
            </c:ext>
          </c:extLst>
        </c:ser>
        <c:ser>
          <c:idx val="1"/>
          <c:order val="6"/>
          <c:tx>
            <c:strRef>
              <c:f>Summary!$B$128</c:f>
              <c:strCache>
                <c:ptCount val="1"/>
                <c:pt idx="0">
                  <c:v>1.6T</c:v>
                </c:pt>
              </c:strCache>
            </c:strRef>
          </c:tx>
          <c:cat>
            <c:numRef>
              <c:f>Summary!$C$118:$M$118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Summary!$C$128:$M$128</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D1C5-934B-8D97-4BD73F993D0F}"/>
            </c:ext>
          </c:extLst>
        </c:ser>
        <c:dLbls>
          <c:showLegendKey val="0"/>
          <c:showVal val="0"/>
          <c:showCatName val="0"/>
          <c:showSerName val="0"/>
          <c:showPercent val="0"/>
          <c:showBubbleSize val="0"/>
        </c:dLbls>
        <c:marker val="1"/>
        <c:smooth val="0"/>
        <c:axId val="135141248"/>
        <c:axId val="135142784"/>
      </c:lineChart>
      <c:catAx>
        <c:axId val="135141248"/>
        <c:scaling>
          <c:orientation val="minMax"/>
        </c:scaling>
        <c:delete val="0"/>
        <c:axPos val="b"/>
        <c:numFmt formatCode="General" sourceLinked="1"/>
        <c:majorTickMark val="out"/>
        <c:minorTickMark val="none"/>
        <c:tickLblPos val="nextTo"/>
        <c:txPr>
          <a:bodyPr/>
          <a:lstStyle/>
          <a:p>
            <a:pPr>
              <a:defRPr sz="1200"/>
            </a:pPr>
            <a:endParaRPr lang="en-US"/>
          </a:p>
        </c:txPr>
        <c:crossAx val="135142784"/>
        <c:crosses val="autoZero"/>
        <c:auto val="1"/>
        <c:lblAlgn val="ctr"/>
        <c:lblOffset val="100"/>
        <c:noMultiLvlLbl val="0"/>
      </c:catAx>
      <c:valAx>
        <c:axId val="13514278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2.5115545908029595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5141248"/>
        <c:crosses val="autoZero"/>
        <c:crossBetween val="between"/>
      </c:valAx>
    </c:plotArea>
    <c:legend>
      <c:legendPos val="t"/>
      <c:layout>
        <c:manualLayout>
          <c:xMode val="edge"/>
          <c:yMode val="edge"/>
          <c:x val="0.2146402593009776"/>
          <c:y val="0.10103569231891681"/>
          <c:w val="0.53089680612020695"/>
          <c:h val="7.78615413412655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60533338736253"/>
          <c:y val="5.383936369482302E-2"/>
          <c:w val="0.84204267984274561"/>
          <c:h val="0.85039737948044036"/>
        </c:manualLayout>
      </c:layout>
      <c:lineChart>
        <c:grouping val="standard"/>
        <c:varyColors val="0"/>
        <c:ser>
          <c:idx val="1"/>
          <c:order val="0"/>
          <c:tx>
            <c:strRef>
              <c:f>Summary!$B$138</c:f>
              <c:strCache>
                <c:ptCount val="1"/>
                <c:pt idx="0">
                  <c:v>10G</c:v>
                </c:pt>
              </c:strCache>
            </c:strRef>
          </c:tx>
          <c:marker>
            <c:symbol val="squar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Summary!$C$138:$M$138</c:f>
              <c:numCache>
                <c:formatCode>_("$"* #,##0_);_("$"* \(#,##0\);_("$"* "-"??_);_(@_)</c:formatCode>
                <c:ptCount val="11"/>
                <c:pt idx="0">
                  <c:v>588.89972784362988</c:v>
                </c:pt>
                <c:pt idx="1">
                  <c:v>486.60483553423245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47B-AE46-A98C-233E0A537257}"/>
            </c:ext>
          </c:extLst>
        </c:ser>
        <c:ser>
          <c:idx val="2"/>
          <c:order val="1"/>
          <c:tx>
            <c:strRef>
              <c:f>Summary!$B$140</c:f>
              <c:strCache>
                <c:ptCount val="1"/>
                <c:pt idx="0">
                  <c:v>40G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Summary!$C$140:$M$140</c:f>
              <c:numCache>
                <c:formatCode>_("$"* #,##0_);_("$"* \(#,##0\);_("$"* "-"??_);_(@_)</c:formatCode>
                <c:ptCount val="11"/>
                <c:pt idx="0">
                  <c:v>787.93297017215446</c:v>
                </c:pt>
                <c:pt idx="1">
                  <c:v>904.27751564220159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47B-AE46-A98C-233E0A537257}"/>
            </c:ext>
          </c:extLst>
        </c:ser>
        <c:ser>
          <c:idx val="3"/>
          <c:order val="2"/>
          <c:tx>
            <c:strRef>
              <c:f>Summary!$B$142</c:f>
              <c:strCache>
                <c:ptCount val="1"/>
                <c:pt idx="0">
                  <c:v>100G</c:v>
                </c:pt>
              </c:strCache>
            </c:strRef>
          </c:tx>
          <c:marker>
            <c:symbol val="circl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Summary!$C$142:$M$142</c:f>
              <c:numCache>
                <c:formatCode>_("$"* #,##0_);_("$"* \(#,##0\);_("$"* "-"??_);_(@_)</c:formatCode>
                <c:ptCount val="11"/>
                <c:pt idx="0">
                  <c:v>1143.1589634696481</c:v>
                </c:pt>
                <c:pt idx="1">
                  <c:v>1653.9743919741536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47B-AE46-A98C-233E0A537257}"/>
            </c:ext>
          </c:extLst>
        </c:ser>
        <c:ser>
          <c:idx val="6"/>
          <c:order val="3"/>
          <c:tx>
            <c:strRef>
              <c:f>Summary!$B$143</c:f>
              <c:strCache>
                <c:ptCount val="1"/>
                <c:pt idx="0">
                  <c:v>200G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Summary!$C$143:$M$143</c:f>
              <c:numCache>
                <c:formatCode>_("$"* #,##0.0_);_("$"* \(#,##0.0\);_("$"* "-"??_);_(@_)</c:formatCode>
                <c:ptCount val="11"/>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numCache>
            </c:numRef>
          </c:val>
          <c:smooth val="0"/>
          <c:extLst>
            <c:ext xmlns:c16="http://schemas.microsoft.com/office/drawing/2014/chart" uri="{C3380CC4-5D6E-409C-BE32-E72D297353CC}">
              <c16:uniqueId val="{00000006-547B-AE46-A98C-233E0A537257}"/>
            </c:ext>
          </c:extLst>
        </c:ser>
        <c:ser>
          <c:idx val="5"/>
          <c:order val="4"/>
          <c:tx>
            <c:strRef>
              <c:f>Summary!$B$144</c:f>
              <c:strCache>
                <c:ptCount val="1"/>
                <c:pt idx="0">
                  <c:v>400G</c:v>
                </c:pt>
              </c:strCache>
            </c:strRef>
          </c:tx>
          <c:marker>
            <c:symbol val="circle"/>
            <c:size val="5"/>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Summary!$C$144:$M$144</c:f>
              <c:numCache>
                <c:formatCode>_("$"* #,##0_);_("$"* \(#,##0\);_("$"* "-"??_);_(@_)</c:formatCode>
                <c:ptCount val="11"/>
                <c:pt idx="1">
                  <c:v>1.3482999999999998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47B-AE46-A98C-233E0A537257}"/>
            </c:ext>
          </c:extLst>
        </c:ser>
        <c:ser>
          <c:idx val="8"/>
          <c:order val="5"/>
          <c:tx>
            <c:strRef>
              <c:f>Summary!$B$145</c:f>
              <c:strCache>
                <c:ptCount val="1"/>
                <c:pt idx="0">
                  <c:v>800G</c:v>
                </c:pt>
              </c:strCache>
            </c:strRef>
          </c:tx>
          <c:spPr>
            <a:ln>
              <a:solidFill>
                <a:srgbClr val="00B050"/>
              </a:solidFill>
            </a:ln>
          </c:spPr>
          <c:marker>
            <c:spPr>
              <a:solidFill>
                <a:srgbClr val="00B050"/>
              </a:solidFill>
              <a:ln>
                <a:solidFill>
                  <a:srgbClr val="00B050"/>
                </a:solidFill>
              </a:ln>
            </c:spPr>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Summary!$C$145:$M$145</c:f>
              <c:numCache>
                <c:formatCode>_("$"* #,##0_);_("$"* \(#,##0\);_("$"* "-"??_);_(@_)</c:formatCode>
                <c:ptCount val="11"/>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9BF-9C49-9DC9-C031F2F3D5A6}"/>
            </c:ext>
          </c:extLst>
        </c:ser>
        <c:ser>
          <c:idx val="0"/>
          <c:order val="6"/>
          <c:tx>
            <c:strRef>
              <c:f>Summary!$B$146</c:f>
              <c:strCache>
                <c:ptCount val="1"/>
                <c:pt idx="0">
                  <c:v>1.6T</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Summary!$C$146:$M$146</c:f>
              <c:numCache>
                <c:formatCode>_("$"* #,##0_);_("$"* \(#,##0\);_("$"* "-"??_);_(@_)</c:formatCode>
                <c:ptCount val="11"/>
                <c:pt idx="8">
                  <c:v>0</c:v>
                </c:pt>
                <c:pt idx="9">
                  <c:v>0</c:v>
                </c:pt>
                <c:pt idx="10">
                  <c:v>0</c:v>
                </c:pt>
              </c:numCache>
            </c:numRef>
          </c:val>
          <c:smooth val="0"/>
          <c:extLst>
            <c:ext xmlns:c16="http://schemas.microsoft.com/office/drawing/2014/chart" uri="{C3380CC4-5D6E-409C-BE32-E72D297353CC}">
              <c16:uniqueId val="{00000000-FCEF-C74F-A8DA-291943FC74AD}"/>
            </c:ext>
          </c:extLst>
        </c:ser>
        <c:dLbls>
          <c:showLegendKey val="0"/>
          <c:showVal val="0"/>
          <c:showCatName val="0"/>
          <c:showSerName val="0"/>
          <c:showPercent val="0"/>
          <c:showBubbleSize val="0"/>
        </c:dLbls>
        <c:marker val="1"/>
        <c:smooth val="0"/>
        <c:axId val="134945792"/>
        <c:axId val="134947584"/>
      </c:lineChart>
      <c:catAx>
        <c:axId val="134945792"/>
        <c:scaling>
          <c:orientation val="minMax"/>
        </c:scaling>
        <c:delete val="0"/>
        <c:axPos val="b"/>
        <c:numFmt formatCode="General" sourceLinked="1"/>
        <c:majorTickMark val="out"/>
        <c:minorTickMark val="none"/>
        <c:tickLblPos val="nextTo"/>
        <c:txPr>
          <a:bodyPr/>
          <a:lstStyle/>
          <a:p>
            <a:pPr>
              <a:defRPr sz="1200"/>
            </a:pPr>
            <a:endParaRPr lang="en-US"/>
          </a:p>
        </c:txPr>
        <c:crossAx val="134947584"/>
        <c:crosses val="autoZero"/>
        <c:auto val="1"/>
        <c:lblAlgn val="ctr"/>
        <c:lblOffset val="100"/>
        <c:noMultiLvlLbl val="0"/>
      </c:catAx>
      <c:valAx>
        <c:axId val="134947584"/>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83162781921E-2"/>
              <c:y val="0.28140922384701911"/>
            </c:manualLayout>
          </c:layout>
          <c:overlay val="0"/>
        </c:title>
        <c:numFmt formatCode="&quot;$&quot;#,##0" sourceLinked="0"/>
        <c:majorTickMark val="out"/>
        <c:minorTickMark val="none"/>
        <c:tickLblPos val="nextTo"/>
        <c:txPr>
          <a:bodyPr/>
          <a:lstStyle/>
          <a:p>
            <a:pPr>
              <a:defRPr sz="1200"/>
            </a:pPr>
            <a:endParaRPr lang="en-US"/>
          </a:p>
        </c:txPr>
        <c:crossAx val="134945792"/>
        <c:crosses val="autoZero"/>
        <c:crossBetween val="between"/>
      </c:valAx>
    </c:plotArea>
    <c:legend>
      <c:legendPos val="t"/>
      <c:layout>
        <c:manualLayout>
          <c:xMode val="edge"/>
          <c:yMode val="edge"/>
          <c:x val="0.14841397118921953"/>
          <c:y val="6.6181565103065915E-2"/>
          <c:w val="0.7107862290921807"/>
          <c:h val="8.7310386201724779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32984035341698"/>
          <c:y val="4.9886318107985946E-2"/>
          <c:w val="0.84377666359227232"/>
          <c:h val="0.86620914310300245"/>
        </c:manualLayout>
      </c:layout>
      <c:lineChart>
        <c:grouping val="standard"/>
        <c:varyColors val="0"/>
        <c:ser>
          <c:idx val="0"/>
          <c:order val="0"/>
          <c:tx>
            <c:strRef>
              <c:f>Summary!$B$137</c:f>
              <c:strCache>
                <c:ptCount val="1"/>
                <c:pt idx="0">
                  <c:v>1G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Summary!$C$137:$M$137</c:f>
              <c:numCache>
                <c:formatCode>_("$"* #,##0_);_("$"* \(#,##0\);_("$"* "-"??_);_(@_)</c:formatCode>
                <c:ptCount val="11"/>
                <c:pt idx="0">
                  <c:v>154.16513112975395</c:v>
                </c:pt>
                <c:pt idx="1">
                  <c:v>110.62740763127242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7B-AE46-A98C-233E0A537257}"/>
            </c:ext>
          </c:extLst>
        </c:ser>
        <c:ser>
          <c:idx val="4"/>
          <c:order val="1"/>
          <c:tx>
            <c:strRef>
              <c:f>Summary!$B$139</c:f>
              <c:strCache>
                <c:ptCount val="1"/>
                <c:pt idx="0">
                  <c:v>25G</c:v>
                </c:pt>
              </c:strCache>
            </c:strRef>
          </c:tx>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Summary!$C$139:$M$139</c:f>
              <c:numCache>
                <c:formatCode>_("$"* #,##0_);_("$"* \(#,##0\);_("$"* "-"??_);_(@_)</c:formatCode>
                <c:ptCount val="11"/>
                <c:pt idx="0" formatCode="_(&quot;$&quot;* #,##0.0_);_(&quot;$&quot;* \(#,##0.0\);_(&quot;$&quot;* &quot;-&quot;??_);_(@_)">
                  <c:v>3.4123060000000001</c:v>
                </c:pt>
                <c:pt idx="1">
                  <c:v>19.187075306914231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7B-AE46-A98C-233E0A537257}"/>
            </c:ext>
          </c:extLst>
        </c:ser>
        <c:ser>
          <c:idx val="7"/>
          <c:order val="2"/>
          <c:tx>
            <c:strRef>
              <c:f>Summary!$B$141</c:f>
              <c:strCache>
                <c:ptCount val="1"/>
                <c:pt idx="0">
                  <c:v>50G</c:v>
                </c:pt>
              </c:strCache>
            </c:strRef>
          </c:tx>
          <c:marker>
            <c:symbol val="plus"/>
            <c:size val="7"/>
          </c:marker>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Summary!$C$141:$M$141</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7B-AE46-A98C-233E0A537257}"/>
            </c:ext>
          </c:extLst>
        </c:ser>
        <c:dLbls>
          <c:showLegendKey val="0"/>
          <c:showVal val="0"/>
          <c:showCatName val="0"/>
          <c:showSerName val="0"/>
          <c:showPercent val="0"/>
          <c:showBubbleSize val="0"/>
        </c:dLbls>
        <c:marker val="1"/>
        <c:smooth val="0"/>
        <c:axId val="134982656"/>
        <c:axId val="134984448"/>
      </c:lineChart>
      <c:catAx>
        <c:axId val="134982656"/>
        <c:scaling>
          <c:orientation val="minMax"/>
        </c:scaling>
        <c:delete val="0"/>
        <c:axPos val="b"/>
        <c:numFmt formatCode="General" sourceLinked="1"/>
        <c:majorTickMark val="out"/>
        <c:minorTickMark val="none"/>
        <c:tickLblPos val="nextTo"/>
        <c:txPr>
          <a:bodyPr/>
          <a:lstStyle/>
          <a:p>
            <a:pPr>
              <a:defRPr sz="1200"/>
            </a:pPr>
            <a:endParaRPr lang="en-US"/>
          </a:p>
        </c:txPr>
        <c:crossAx val="134984448"/>
        <c:crosses val="autoZero"/>
        <c:auto val="1"/>
        <c:lblAlgn val="ctr"/>
        <c:lblOffset val="100"/>
        <c:noMultiLvlLbl val="0"/>
      </c:catAx>
      <c:valAx>
        <c:axId val="134984448"/>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54866099497E-2"/>
              <c:y val="0.33855214008329271"/>
            </c:manualLayout>
          </c:layout>
          <c:overlay val="0"/>
        </c:title>
        <c:numFmt formatCode="&quot;$&quot;#,##0" sourceLinked="0"/>
        <c:majorTickMark val="out"/>
        <c:minorTickMark val="none"/>
        <c:tickLblPos val="nextTo"/>
        <c:txPr>
          <a:bodyPr/>
          <a:lstStyle/>
          <a:p>
            <a:pPr>
              <a:defRPr sz="1200"/>
            </a:pPr>
            <a:endParaRPr lang="en-US"/>
          </a:p>
        </c:txPr>
        <c:crossAx val="134982656"/>
        <c:crosses val="autoZero"/>
        <c:crossBetween val="between"/>
      </c:valAx>
    </c:plotArea>
    <c:legend>
      <c:legendPos val="t"/>
      <c:layout>
        <c:manualLayout>
          <c:xMode val="edge"/>
          <c:yMode val="edge"/>
          <c:x val="0.40693743246505415"/>
          <c:y val="6.6468542373345596E-2"/>
          <c:w val="0.27011681392233561"/>
          <c:h val="9.7114726789546066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9693175859165"/>
          <c:y val="4.4374675798309345E-2"/>
          <c:w val="0.85792760567452775"/>
          <c:h val="0.86403869827235957"/>
        </c:manualLayout>
      </c:layout>
      <c:barChart>
        <c:barDir val="col"/>
        <c:grouping val="stacked"/>
        <c:varyColors val="0"/>
        <c:ser>
          <c:idx val="0"/>
          <c:order val="0"/>
          <c:tx>
            <c:strRef>
              <c:f>Summary!$B$162</c:f>
              <c:strCache>
                <c:ptCount val="1"/>
                <c:pt idx="0">
                  <c:v>50G &amp; below</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Summary!$C$162:$M$162</c:f>
              <c:numCache>
                <c:formatCode>_("$"* #,##0_);_("$"* \(#,##0\);_("$"* "-"??_);_(@_)</c:formatCode>
                <c:ptCount val="11"/>
                <c:pt idx="0">
                  <c:v>1534.4101351455383</c:v>
                </c:pt>
                <c:pt idx="1">
                  <c:v>1520.6968341146207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D65-1F4A-9073-3D899F10AD6F}"/>
            </c:ext>
          </c:extLst>
        </c:ser>
        <c:ser>
          <c:idx val="3"/>
          <c:order val="1"/>
          <c:tx>
            <c:strRef>
              <c:f>Summary!$B$142</c:f>
              <c:strCache>
                <c:ptCount val="1"/>
                <c:pt idx="0">
                  <c:v>100G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Summary!$C$142:$M$142</c:f>
              <c:numCache>
                <c:formatCode>_("$"* #,##0_);_("$"* \(#,##0\);_("$"* "-"??_);_(@_)</c:formatCode>
                <c:ptCount val="11"/>
                <c:pt idx="0">
                  <c:v>1143.1589634696481</c:v>
                </c:pt>
                <c:pt idx="1">
                  <c:v>1653.9743919741536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FD65-1F4A-9073-3D899F10AD6F}"/>
            </c:ext>
          </c:extLst>
        </c:ser>
        <c:ser>
          <c:idx val="6"/>
          <c:order val="2"/>
          <c:tx>
            <c:strRef>
              <c:f>Summary!$B$143</c:f>
              <c:strCache>
                <c:ptCount val="1"/>
                <c:pt idx="0">
                  <c:v>200G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Summary!$C$143:$M$143</c:f>
              <c:numCache>
                <c:formatCode>_("$"* #,##0.0_);_("$"* \(#,##0.0\);_("$"* "-"??_);_(@_)</c:formatCode>
                <c:ptCount val="11"/>
                <c:pt idx="2" formatCode="_(&quot;$&quot;* #,##0_);_(&quot;$&quot;* \(#,##0\);_(&quot;$&quot;* &quot;-&quot;??_);_(@_)">
                  <c:v>0</c:v>
                </c:pt>
                <c:pt idx="3" formatCode="_(&quot;$&quot;* #,##0_);_(&quot;$&quot;* \(#,##0\);_(&quot;$&quot;* &quot;-&quot;??_);_(@_)">
                  <c:v>0</c:v>
                </c:pt>
                <c:pt idx="4" formatCode="_(&quot;$&quot;* #,##0_);_(&quot;$&quot;* \(#,##0\);_(&quot;$&quot;* &quot;-&quot;??_);_(@_)">
                  <c:v>0</c:v>
                </c:pt>
                <c:pt idx="5" formatCode="_(&quot;$&quot;* #,##0_);_(&quot;$&quot;* \(#,##0\);_(&quot;$&quot;* &quot;-&quot;??_);_(@_)">
                  <c:v>0</c:v>
                </c:pt>
                <c:pt idx="6" formatCode="_(&quot;$&quot;* #,##0_);_(&quot;$&quot;* \(#,##0\);_(&quot;$&quot;* &quot;-&quot;??_);_(@_)">
                  <c:v>0</c:v>
                </c:pt>
                <c:pt idx="7" formatCode="_(&quot;$&quot;* #,##0_);_(&quot;$&quot;* \(#,##0\);_(&quot;$&quot;* &quot;-&quot;??_);_(@_)">
                  <c:v>0</c:v>
                </c:pt>
                <c:pt idx="8" formatCode="_(&quot;$&quot;* #,##0_);_(&quot;$&quot;* \(#,##0\);_(&quot;$&quot;* &quot;-&quot;??_);_(@_)">
                  <c:v>0</c:v>
                </c:pt>
                <c:pt idx="9" formatCode="_(&quot;$&quot;* #,##0_);_(&quot;$&quot;* \(#,##0\);_(&quot;$&quot;* &quot;-&quot;??_);_(@_)">
                  <c:v>0</c:v>
                </c:pt>
                <c:pt idx="10" formatCode="_(&quot;$&quot;* #,##0_);_(&quot;$&quot;* \(#,##0\);_(&quot;$&quot;* &quot;-&quot;??_);_(@_)">
                  <c:v>0</c:v>
                </c:pt>
              </c:numCache>
            </c:numRef>
          </c:val>
          <c:extLst>
            <c:ext xmlns:c16="http://schemas.microsoft.com/office/drawing/2014/chart" uri="{C3380CC4-5D6E-409C-BE32-E72D297353CC}">
              <c16:uniqueId val="{00000006-FD65-1F4A-9073-3D899F10AD6F}"/>
            </c:ext>
          </c:extLst>
        </c:ser>
        <c:ser>
          <c:idx val="5"/>
          <c:order val="3"/>
          <c:tx>
            <c:strRef>
              <c:f>Summary!$B$144</c:f>
              <c:strCache>
                <c:ptCount val="1"/>
                <c:pt idx="0">
                  <c:v>400G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Summary!$C$144:$M$144</c:f>
              <c:numCache>
                <c:formatCode>_("$"* #,##0_);_("$"* \(#,##0\);_("$"* "-"??_);_(@_)</c:formatCode>
                <c:ptCount val="11"/>
                <c:pt idx="1">
                  <c:v>1.3482999999999998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7-FD65-1F4A-9073-3D899F10AD6F}"/>
            </c:ext>
          </c:extLst>
        </c:ser>
        <c:ser>
          <c:idx val="8"/>
          <c:order val="4"/>
          <c:tx>
            <c:strRef>
              <c:f>Summary!$B$145</c:f>
              <c:strCache>
                <c:ptCount val="1"/>
                <c:pt idx="0">
                  <c:v>800G</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Summary!$C$145:$M$145</c:f>
              <c:numCache>
                <c:formatCode>_("$"* #,##0_);_("$"* \(#,##0\);_("$"* "-"??_);_(@_)</c:formatCode>
                <c:ptCount val="11"/>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8EA-CD4C-ABF1-D981B606955A}"/>
            </c:ext>
          </c:extLst>
        </c:ser>
        <c:ser>
          <c:idx val="1"/>
          <c:order val="5"/>
          <c:tx>
            <c:strRef>
              <c:f>Summary!$B$146</c:f>
              <c:strCache>
                <c:ptCount val="1"/>
                <c:pt idx="0">
                  <c:v>1.6T</c:v>
                </c:pt>
              </c:strCache>
            </c:strRef>
          </c:tx>
          <c:invertIfNegative val="0"/>
          <c:cat>
            <c:numRef>
              <c:f>Summary!$C$136:$M$136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Summary!$C$146:$M$146</c:f>
              <c:numCache>
                <c:formatCode>_("$"* #,##0_);_("$"* \(#,##0\);_("$"* "-"??_);_(@_)</c:formatCode>
                <c:ptCount val="11"/>
                <c:pt idx="8">
                  <c:v>0</c:v>
                </c:pt>
                <c:pt idx="9">
                  <c:v>0</c:v>
                </c:pt>
                <c:pt idx="10">
                  <c:v>0</c:v>
                </c:pt>
              </c:numCache>
            </c:numRef>
          </c:val>
          <c:extLst>
            <c:ext xmlns:c16="http://schemas.microsoft.com/office/drawing/2014/chart" uri="{C3380CC4-5D6E-409C-BE32-E72D297353CC}">
              <c16:uniqueId val="{00000000-9FFE-8040-8BF7-DF3A13CC66F6}"/>
            </c:ext>
          </c:extLst>
        </c:ser>
        <c:dLbls>
          <c:showLegendKey val="0"/>
          <c:showVal val="0"/>
          <c:showCatName val="0"/>
          <c:showSerName val="0"/>
          <c:showPercent val="0"/>
          <c:showBubbleSize val="0"/>
        </c:dLbls>
        <c:gapWidth val="150"/>
        <c:overlap val="100"/>
        <c:axId val="135031808"/>
        <c:axId val="135041792"/>
      </c:barChart>
      <c:catAx>
        <c:axId val="135031808"/>
        <c:scaling>
          <c:orientation val="minMax"/>
        </c:scaling>
        <c:delete val="0"/>
        <c:axPos val="b"/>
        <c:numFmt formatCode="General" sourceLinked="1"/>
        <c:majorTickMark val="out"/>
        <c:minorTickMark val="none"/>
        <c:tickLblPos val="nextTo"/>
        <c:txPr>
          <a:bodyPr/>
          <a:lstStyle/>
          <a:p>
            <a:pPr>
              <a:defRPr sz="1200"/>
            </a:pPr>
            <a:endParaRPr lang="en-US"/>
          </a:p>
        </c:txPr>
        <c:crossAx val="135041792"/>
        <c:crosses val="autoZero"/>
        <c:auto val="1"/>
        <c:lblAlgn val="ctr"/>
        <c:lblOffset val="100"/>
        <c:noMultiLvlLbl val="0"/>
      </c:catAx>
      <c:valAx>
        <c:axId val="135041792"/>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5031808"/>
        <c:crosses val="autoZero"/>
        <c:crossBetween val="between"/>
      </c:valAx>
    </c:plotArea>
    <c:legend>
      <c:legendPos val="t"/>
      <c:layout>
        <c:manualLayout>
          <c:xMode val="edge"/>
          <c:yMode val="edge"/>
          <c:x val="0.15161505175983148"/>
          <c:y val="5.3444361631177745E-2"/>
          <c:w val="0.60706630727017385"/>
          <c:h val="8.5946178335861878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 km - 40 km Reach</a:t>
            </a:r>
          </a:p>
        </c:rich>
      </c:tx>
      <c:layout>
        <c:manualLayout>
          <c:xMode val="edge"/>
          <c:yMode val="edge"/>
          <c:x val="0.48880726053821577"/>
          <c:y val="3.6654552171485583E-2"/>
        </c:manualLayout>
      </c:layout>
      <c:overlay val="1"/>
    </c:title>
    <c:autoTitleDeleted val="0"/>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Summary!$B$461</c:f>
              <c:strCache>
                <c:ptCount val="1"/>
                <c:pt idx="0">
                  <c:v>100G LR4_10 km_CFP</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Summary!$C$461:$M$461</c:f>
              <c:numCache>
                <c:formatCode>_(* #,##0_);_(* \(#,##0\);_(* "-"??_);_(@_)</c:formatCode>
                <c:ptCount val="11"/>
                <c:pt idx="0">
                  <c:v>109936</c:v>
                </c:pt>
                <c:pt idx="1">
                  <c:v>67349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CB8-0841-BB02-C4F11002BB48}"/>
            </c:ext>
          </c:extLst>
        </c:ser>
        <c:ser>
          <c:idx val="2"/>
          <c:order val="1"/>
          <c:tx>
            <c:strRef>
              <c:f>Summary!$B$462</c:f>
              <c:strCache>
                <c:ptCount val="1"/>
                <c:pt idx="0">
                  <c:v>100G LR4_10 km_CFP2/4</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Summary!$C$462:$M$462</c:f>
              <c:numCache>
                <c:formatCode>_(* #,##0_);_(* \(#,##0\);_(* "-"??_);_(@_)</c:formatCode>
                <c:ptCount val="11"/>
                <c:pt idx="0">
                  <c:v>92243</c:v>
                </c:pt>
                <c:pt idx="1">
                  <c:v>78202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CB8-0841-BB02-C4F11002BB48}"/>
            </c:ext>
          </c:extLst>
        </c:ser>
        <c:ser>
          <c:idx val="3"/>
          <c:order val="2"/>
          <c:tx>
            <c:strRef>
              <c:f>Summary!$B$463</c:f>
              <c:strCache>
                <c:ptCount val="1"/>
                <c:pt idx="0">
                  <c:v>100G LR4 and LR1_10 km_QSFP28</c:v>
                </c:pt>
              </c:strCache>
            </c:strRef>
          </c:tx>
          <c:marker>
            <c:symbol val="square"/>
            <c:size val="5"/>
          </c:marker>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Summary!$C$463:$M$463</c:f>
              <c:numCache>
                <c:formatCode>_(* #,##0_);_(* \(#,##0\);_(* "-"??_);_(@_)</c:formatCode>
                <c:ptCount val="11"/>
                <c:pt idx="0">
                  <c:v>90443</c:v>
                </c:pt>
                <c:pt idx="1">
                  <c:v>362352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7CB8-0841-BB02-C4F11002BB48}"/>
            </c:ext>
          </c:extLst>
        </c:ser>
        <c:ser>
          <c:idx val="9"/>
          <c:order val="3"/>
          <c:tx>
            <c:strRef>
              <c:f>Summary!$B$464</c:f>
              <c:strCache>
                <c:ptCount val="1"/>
                <c:pt idx="0">
                  <c:v>100G 4WDM10_10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Summary!$C$464:$M$464</c:f>
              <c:numCache>
                <c:formatCode>_(* #,##0_);_(* \(#,##0\);_(* "-"??_);_(@_)</c:formatCode>
                <c:ptCount val="11"/>
                <c:pt idx="1">
                  <c:v>45000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7CB8-0841-BB02-C4F11002BB48}"/>
            </c:ext>
          </c:extLst>
        </c:ser>
        <c:ser>
          <c:idx val="6"/>
          <c:order val="4"/>
          <c:tx>
            <c:strRef>
              <c:f>Summary!$B$465</c:f>
              <c:strCache>
                <c:ptCount val="1"/>
                <c:pt idx="0">
                  <c:v>100G 4WDM20_20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Summary!$C$465:$M$465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7CB8-0841-BB02-C4F11002BB48}"/>
            </c:ext>
          </c:extLst>
        </c:ser>
        <c:ser>
          <c:idx val="4"/>
          <c:order val="5"/>
          <c:tx>
            <c:strRef>
              <c:f>Summary!$B$468</c:f>
              <c:strCache>
                <c:ptCount val="1"/>
                <c:pt idx="0">
                  <c:v>100G ZR4_80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Summary!$C$468:$M$468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7CB8-0841-BB02-C4F11002BB48}"/>
            </c:ext>
          </c:extLst>
        </c:ser>
        <c:dLbls>
          <c:showLegendKey val="0"/>
          <c:showVal val="0"/>
          <c:showCatName val="0"/>
          <c:showSerName val="0"/>
          <c:showPercent val="0"/>
          <c:showBubbleSize val="0"/>
        </c:dLbls>
        <c:marker val="1"/>
        <c:smooth val="0"/>
        <c:axId val="135482368"/>
        <c:axId val="135488256"/>
      </c:lineChart>
      <c:catAx>
        <c:axId val="135482368"/>
        <c:scaling>
          <c:orientation val="minMax"/>
        </c:scaling>
        <c:delete val="0"/>
        <c:axPos val="b"/>
        <c:numFmt formatCode="General" sourceLinked="1"/>
        <c:majorTickMark val="out"/>
        <c:minorTickMark val="none"/>
        <c:tickLblPos val="nextTo"/>
        <c:txPr>
          <a:bodyPr/>
          <a:lstStyle/>
          <a:p>
            <a:pPr>
              <a:defRPr sz="1000"/>
            </a:pPr>
            <a:endParaRPr lang="en-US"/>
          </a:p>
        </c:txPr>
        <c:crossAx val="135488256"/>
        <c:crosses val="autoZero"/>
        <c:auto val="1"/>
        <c:lblAlgn val="ctr"/>
        <c:lblOffset val="100"/>
        <c:noMultiLvlLbl val="0"/>
      </c:catAx>
      <c:valAx>
        <c:axId val="135488256"/>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35482368"/>
        <c:crosses val="autoZero"/>
        <c:crossBetween val="between"/>
      </c:valAx>
    </c:plotArea>
    <c:legend>
      <c:legendPos val="t"/>
      <c:layout>
        <c:manualLayout>
          <c:xMode val="edge"/>
          <c:yMode val="edge"/>
          <c:x val="0.15059163192836192"/>
          <c:y val="4.971068616422946E-2"/>
          <c:w val="0.31353217594788602"/>
          <c:h val="0.44477076153279527"/>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5326037567475"/>
          <c:y val="5.4018998573214502E-2"/>
          <c:w val="0.76592980235172881"/>
          <c:h val="0.84443661907320178"/>
        </c:manualLayout>
      </c:layout>
      <c:barChart>
        <c:barDir val="col"/>
        <c:grouping val="percentStacked"/>
        <c:varyColors val="0"/>
        <c:ser>
          <c:idx val="0"/>
          <c:order val="0"/>
          <c:tx>
            <c:strRef>
              <c:f>Summary!$B$295</c:f>
              <c:strCache>
                <c:ptCount val="1"/>
                <c:pt idx="0">
                  <c:v>&lt;10G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Summary!$C$295:$M$295</c:f>
              <c:numCache>
                <c:formatCode>0%</c:formatCode>
                <c:ptCount val="11"/>
                <c:pt idx="0">
                  <c:v>0.37511818939959324</c:v>
                </c:pt>
                <c:pt idx="1">
                  <c:v>0.2960701521301668</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FE0-454F-A242-48CB1A2C7A29}"/>
            </c:ext>
          </c:extLst>
        </c:ser>
        <c:ser>
          <c:idx val="1"/>
          <c:order val="1"/>
          <c:tx>
            <c:strRef>
              <c:f>Summary!$B$296</c:f>
              <c:strCache>
                <c:ptCount val="1"/>
                <c:pt idx="0">
                  <c:v>10G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Summary!$C$296:$M$296</c:f>
              <c:numCache>
                <c:formatCode>0%</c:formatCode>
                <c:ptCount val="11"/>
                <c:pt idx="0">
                  <c:v>0.59913931153889233</c:v>
                </c:pt>
                <c:pt idx="1">
                  <c:v>0.62527752748127097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FE0-454F-A242-48CB1A2C7A29}"/>
            </c:ext>
          </c:extLst>
        </c:ser>
        <c:ser>
          <c:idx val="2"/>
          <c:order val="2"/>
          <c:tx>
            <c:strRef>
              <c:f>Summary!$B$297</c:f>
              <c:strCache>
                <c:ptCount val="1"/>
                <c:pt idx="0">
                  <c:v>25G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Summary!$C$297:$M$297</c:f>
              <c:numCache>
                <c:formatCode>0%</c:formatCode>
                <c:ptCount val="11"/>
                <c:pt idx="0">
                  <c:v>2.5742499061514355E-2</c:v>
                </c:pt>
                <c:pt idx="1">
                  <c:v>7.8649983067619847E-2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BFE0-454F-A242-48CB1A2C7A29}"/>
            </c:ext>
          </c:extLst>
        </c:ser>
        <c:ser>
          <c:idx val="3"/>
          <c:order val="3"/>
          <c:tx>
            <c:strRef>
              <c:f>Summary!$B$298</c:f>
              <c:strCache>
                <c:ptCount val="1"/>
                <c:pt idx="0">
                  <c:v>50G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Summary!$C$298:$M$298</c:f>
              <c:numCache>
                <c:formatCode>0%</c:formatCode>
                <c:ptCount val="11"/>
                <c:pt idx="0">
                  <c:v>0</c:v>
                </c:pt>
                <c:pt idx="1">
                  <c:v>2.1534867110560769E-6</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BFE0-454F-A242-48CB1A2C7A29}"/>
            </c:ext>
          </c:extLst>
        </c:ser>
        <c:ser>
          <c:idx val="4"/>
          <c:order val="4"/>
          <c:tx>
            <c:strRef>
              <c:f>Summary!$B$299</c:f>
              <c:strCache>
                <c:ptCount val="1"/>
                <c:pt idx="0">
                  <c:v>100G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Summary!$C$299:$M$299</c:f>
              <c:numCache>
                <c:formatCode>0%</c:formatCode>
                <c:ptCount val="11"/>
                <c:pt idx="0">
                  <c:v>0</c:v>
                </c:pt>
                <c:pt idx="1">
                  <c:v>1.8383423143161633E-7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B0B-DE4A-BA78-6B9328B11BC4}"/>
            </c:ext>
          </c:extLst>
        </c:ser>
        <c:ser>
          <c:idx val="5"/>
          <c:order val="5"/>
          <c:tx>
            <c:strRef>
              <c:f>Summary!$B$300</c:f>
              <c:strCache>
                <c:ptCount val="1"/>
                <c:pt idx="0">
                  <c:v>200G</c:v>
                </c:pt>
              </c:strCache>
            </c:strRef>
          </c:tx>
          <c:invertIfNegative val="0"/>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Summary!$C$300:$M$300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4A2-184F-82F5-8B8936AB25E9}"/>
            </c:ext>
          </c:extLst>
        </c:ser>
        <c:dLbls>
          <c:showLegendKey val="0"/>
          <c:showVal val="0"/>
          <c:showCatName val="0"/>
          <c:showSerName val="0"/>
          <c:showPercent val="0"/>
          <c:showBubbleSize val="0"/>
        </c:dLbls>
        <c:gapWidth val="150"/>
        <c:overlap val="100"/>
        <c:axId val="132140416"/>
        <c:axId val="132150400"/>
      </c:barChart>
      <c:catAx>
        <c:axId val="132140416"/>
        <c:scaling>
          <c:orientation val="minMax"/>
        </c:scaling>
        <c:delete val="0"/>
        <c:axPos val="b"/>
        <c:numFmt formatCode="General" sourceLinked="1"/>
        <c:majorTickMark val="out"/>
        <c:minorTickMark val="none"/>
        <c:tickLblPos val="nextTo"/>
        <c:crossAx val="132150400"/>
        <c:crosses val="autoZero"/>
        <c:auto val="1"/>
        <c:lblAlgn val="ctr"/>
        <c:lblOffset val="100"/>
        <c:noMultiLvlLbl val="0"/>
      </c:catAx>
      <c:valAx>
        <c:axId val="132150400"/>
        <c:scaling>
          <c:orientation val="minMax"/>
        </c:scaling>
        <c:delete val="0"/>
        <c:axPos val="l"/>
        <c:majorGridlines/>
        <c:title>
          <c:tx>
            <c:rich>
              <a:bodyPr rot="-5400000" vert="horz"/>
              <a:lstStyle/>
              <a:p>
                <a:pPr>
                  <a:defRPr sz="1400"/>
                </a:pPr>
                <a:r>
                  <a:rPr lang="en-US" sz="1400"/>
                  <a:t>Percentage of annual shipments</a:t>
                </a:r>
              </a:p>
            </c:rich>
          </c:tx>
          <c:layout>
            <c:manualLayout>
              <c:xMode val="edge"/>
              <c:yMode val="edge"/>
              <c:x val="1.1455148517178142E-2"/>
              <c:y val="0.14361602629542083"/>
            </c:manualLayout>
          </c:layout>
          <c:overlay val="0"/>
        </c:title>
        <c:numFmt formatCode="0%" sourceLinked="1"/>
        <c:majorTickMark val="out"/>
        <c:minorTickMark val="none"/>
        <c:tickLblPos val="nextTo"/>
        <c:crossAx val="132140416"/>
        <c:crosses val="autoZero"/>
        <c:crossBetween val="between"/>
      </c:valAx>
    </c:plotArea>
    <c:legend>
      <c:legendPos val="r"/>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500m - 2 km Reach</a:t>
            </a:r>
          </a:p>
        </c:rich>
      </c:tx>
      <c:layout>
        <c:manualLayout>
          <c:xMode val="edge"/>
          <c:yMode val="edge"/>
          <c:x val="0.51517162172910214"/>
          <c:y val="2.660333072304152E-2"/>
        </c:manualLayout>
      </c:layout>
      <c:overlay val="1"/>
    </c:title>
    <c:autoTitleDeleted val="0"/>
    <c:plotArea>
      <c:layout>
        <c:manualLayout>
          <c:layoutTarget val="inner"/>
          <c:xMode val="edge"/>
          <c:yMode val="edge"/>
          <c:x val="0.16567489063867016"/>
          <c:y val="3.2895576992769252E-2"/>
          <c:w val="0.79113101973364441"/>
          <c:h val="0.88129472991329527"/>
        </c:manualLayout>
      </c:layout>
      <c:lineChart>
        <c:grouping val="standard"/>
        <c:varyColors val="0"/>
        <c:ser>
          <c:idx val="0"/>
          <c:order val="0"/>
          <c:tx>
            <c:strRef>
              <c:f>Summary!$B$456</c:f>
              <c:strCache>
                <c:ptCount val="1"/>
                <c:pt idx="0">
                  <c:v>100G PSM4_500 m_QSFP28</c:v>
                </c:pt>
              </c:strCache>
            </c:strRef>
          </c:tx>
          <c:cat>
            <c:numRef>
              <c:f>Summary!$F$455:$M$455</c:f>
              <c:numCache>
                <c:formatCode>General</c:formatCode>
                <c:ptCount val="8"/>
                <c:pt idx="0">
                  <c:v>2019</c:v>
                </c:pt>
                <c:pt idx="1">
                  <c:v>2020</c:v>
                </c:pt>
                <c:pt idx="2">
                  <c:v>2021</c:v>
                </c:pt>
                <c:pt idx="3">
                  <c:v>2022</c:v>
                </c:pt>
                <c:pt idx="4">
                  <c:v>2023</c:v>
                </c:pt>
                <c:pt idx="5">
                  <c:v>2024</c:v>
                </c:pt>
                <c:pt idx="6">
                  <c:v>2025</c:v>
                </c:pt>
                <c:pt idx="7">
                  <c:v>2026</c:v>
                </c:pt>
              </c:numCache>
            </c:numRef>
          </c:cat>
          <c:val>
            <c:numRef>
              <c:f>Summary!$F$456:$M$456</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5DCE-3642-9899-C31AB7F0A551}"/>
            </c:ext>
          </c:extLst>
        </c:ser>
        <c:ser>
          <c:idx val="7"/>
          <c:order val="1"/>
          <c:tx>
            <c:strRef>
              <c:f>Summary!$B$457</c:f>
              <c:strCache>
                <c:ptCount val="1"/>
                <c:pt idx="0">
                  <c:v>100G DR_500m_QSFP28</c:v>
                </c:pt>
              </c:strCache>
            </c:strRef>
          </c:tx>
          <c:cat>
            <c:numRef>
              <c:f>Summary!$F$455:$M$455</c:f>
              <c:numCache>
                <c:formatCode>General</c:formatCode>
                <c:ptCount val="8"/>
                <c:pt idx="0">
                  <c:v>2019</c:v>
                </c:pt>
                <c:pt idx="1">
                  <c:v>2020</c:v>
                </c:pt>
                <c:pt idx="2">
                  <c:v>2021</c:v>
                </c:pt>
                <c:pt idx="3">
                  <c:v>2022</c:v>
                </c:pt>
                <c:pt idx="4">
                  <c:v>2023</c:v>
                </c:pt>
                <c:pt idx="5">
                  <c:v>2024</c:v>
                </c:pt>
                <c:pt idx="6">
                  <c:v>2025</c:v>
                </c:pt>
                <c:pt idx="7">
                  <c:v>2026</c:v>
                </c:pt>
              </c:numCache>
            </c:numRef>
          </c:cat>
          <c:val>
            <c:numRef>
              <c:f>Summary!$F$457:$M$457</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5DCE-3642-9899-C31AB7F0A551}"/>
            </c:ext>
          </c:extLst>
        </c:ser>
        <c:ser>
          <c:idx val="8"/>
          <c:order val="2"/>
          <c:tx>
            <c:strRef>
              <c:f>Summary!$B$458</c:f>
              <c:strCache>
                <c:ptCount val="1"/>
                <c:pt idx="0">
                  <c:v>100G CWDM4-subspec_500 m_QSFP28</c:v>
                </c:pt>
              </c:strCache>
            </c:strRef>
          </c:tx>
          <c:cat>
            <c:numRef>
              <c:f>Summary!$F$455:$M$455</c:f>
              <c:numCache>
                <c:formatCode>General</c:formatCode>
                <c:ptCount val="8"/>
                <c:pt idx="0">
                  <c:v>2019</c:v>
                </c:pt>
                <c:pt idx="1">
                  <c:v>2020</c:v>
                </c:pt>
                <c:pt idx="2">
                  <c:v>2021</c:v>
                </c:pt>
                <c:pt idx="3">
                  <c:v>2022</c:v>
                </c:pt>
                <c:pt idx="4">
                  <c:v>2023</c:v>
                </c:pt>
                <c:pt idx="5">
                  <c:v>2024</c:v>
                </c:pt>
                <c:pt idx="6">
                  <c:v>2025</c:v>
                </c:pt>
                <c:pt idx="7">
                  <c:v>2026</c:v>
                </c:pt>
              </c:numCache>
            </c:numRef>
          </c:cat>
          <c:val>
            <c:numRef>
              <c:f>Summary!$F$458:$M$458</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5DCE-3642-9899-C31AB7F0A551}"/>
            </c:ext>
          </c:extLst>
        </c:ser>
        <c:ser>
          <c:idx val="5"/>
          <c:order val="3"/>
          <c:tx>
            <c:strRef>
              <c:f>Summary!$B$459</c:f>
              <c:strCache>
                <c:ptCount val="1"/>
                <c:pt idx="0">
                  <c:v>100G CWDM4_2 km_QSFP28</c:v>
                </c:pt>
              </c:strCache>
            </c:strRef>
          </c:tx>
          <c:cat>
            <c:numRef>
              <c:f>Summary!$F$455:$M$455</c:f>
              <c:numCache>
                <c:formatCode>General</c:formatCode>
                <c:ptCount val="8"/>
                <c:pt idx="0">
                  <c:v>2019</c:v>
                </c:pt>
                <c:pt idx="1">
                  <c:v>2020</c:v>
                </c:pt>
                <c:pt idx="2">
                  <c:v>2021</c:v>
                </c:pt>
                <c:pt idx="3">
                  <c:v>2022</c:v>
                </c:pt>
                <c:pt idx="4">
                  <c:v>2023</c:v>
                </c:pt>
                <c:pt idx="5">
                  <c:v>2024</c:v>
                </c:pt>
                <c:pt idx="6">
                  <c:v>2025</c:v>
                </c:pt>
                <c:pt idx="7">
                  <c:v>2026</c:v>
                </c:pt>
              </c:numCache>
            </c:numRef>
          </c:cat>
          <c:val>
            <c:numRef>
              <c:f>Summary!$F$459:$M$459</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3-5DCE-3642-9899-C31AB7F0A551}"/>
            </c:ext>
          </c:extLst>
        </c:ser>
        <c:ser>
          <c:idx val="10"/>
          <c:order val="4"/>
          <c:tx>
            <c:strRef>
              <c:f>Summary!$B$460</c:f>
              <c:strCache>
                <c:ptCount val="1"/>
                <c:pt idx="0">
                  <c:v>100G FR, DR+_2 km_QSFP28</c:v>
                </c:pt>
              </c:strCache>
            </c:strRef>
          </c:tx>
          <c:cat>
            <c:numRef>
              <c:f>Summary!$F$455:$M$455</c:f>
              <c:numCache>
                <c:formatCode>General</c:formatCode>
                <c:ptCount val="8"/>
                <c:pt idx="0">
                  <c:v>2019</c:v>
                </c:pt>
                <c:pt idx="1">
                  <c:v>2020</c:v>
                </c:pt>
                <c:pt idx="2">
                  <c:v>2021</c:v>
                </c:pt>
                <c:pt idx="3">
                  <c:v>2022</c:v>
                </c:pt>
                <c:pt idx="4">
                  <c:v>2023</c:v>
                </c:pt>
                <c:pt idx="5">
                  <c:v>2024</c:v>
                </c:pt>
                <c:pt idx="6">
                  <c:v>2025</c:v>
                </c:pt>
                <c:pt idx="7">
                  <c:v>2026</c:v>
                </c:pt>
              </c:numCache>
            </c:numRef>
          </c:cat>
          <c:val>
            <c:numRef>
              <c:f>Summary!$F$460:$M$460</c:f>
              <c:numCache>
                <c:formatCode>_(* #,##0_);_(* \(#,##0\);_(* "-"??_);_(@_)</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4-5DCE-3642-9899-C31AB7F0A551}"/>
            </c:ext>
          </c:extLst>
        </c:ser>
        <c:dLbls>
          <c:showLegendKey val="0"/>
          <c:showVal val="0"/>
          <c:showCatName val="0"/>
          <c:showSerName val="0"/>
          <c:showPercent val="0"/>
          <c:showBubbleSize val="0"/>
        </c:dLbls>
        <c:marker val="1"/>
        <c:smooth val="0"/>
        <c:axId val="135280896"/>
        <c:axId val="135286784"/>
      </c:lineChart>
      <c:catAx>
        <c:axId val="135280896"/>
        <c:scaling>
          <c:orientation val="minMax"/>
        </c:scaling>
        <c:delete val="0"/>
        <c:axPos val="b"/>
        <c:numFmt formatCode="General" sourceLinked="1"/>
        <c:majorTickMark val="out"/>
        <c:minorTickMark val="none"/>
        <c:tickLblPos val="nextTo"/>
        <c:txPr>
          <a:bodyPr/>
          <a:lstStyle/>
          <a:p>
            <a:pPr>
              <a:defRPr sz="1000"/>
            </a:pPr>
            <a:endParaRPr lang="en-US"/>
          </a:p>
        </c:txPr>
        <c:crossAx val="135286784"/>
        <c:crosses val="autoZero"/>
        <c:auto val="1"/>
        <c:lblAlgn val="ctr"/>
        <c:lblOffset val="100"/>
        <c:noMultiLvlLbl val="0"/>
      </c:catAx>
      <c:valAx>
        <c:axId val="13528678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2892855059784193E-2"/>
              <c:y val="0.14833887125365874"/>
            </c:manualLayout>
          </c:layout>
          <c:overlay val="0"/>
        </c:title>
        <c:numFmt formatCode="#,##0" sourceLinked="0"/>
        <c:majorTickMark val="out"/>
        <c:minorTickMark val="none"/>
        <c:tickLblPos val="nextTo"/>
        <c:txPr>
          <a:bodyPr/>
          <a:lstStyle/>
          <a:p>
            <a:pPr>
              <a:defRPr sz="1000"/>
            </a:pPr>
            <a:endParaRPr lang="en-US"/>
          </a:p>
        </c:txPr>
        <c:crossAx val="135280896"/>
        <c:crosses val="autoZero"/>
        <c:crossBetween val="between"/>
      </c:valAx>
    </c:plotArea>
    <c:legend>
      <c:legendPos val="t"/>
      <c:layout>
        <c:manualLayout>
          <c:xMode val="edge"/>
          <c:yMode val="edge"/>
          <c:x val="0.17017517254787595"/>
          <c:y val="3.4445479655357214E-2"/>
          <c:w val="0.33032180068400541"/>
          <c:h val="0.293973088740960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500m - 2 km Reach</a:t>
            </a:r>
            <a:endParaRPr lang="en-US">
              <a:effectLst/>
            </a:endParaRPr>
          </a:p>
        </c:rich>
      </c:tx>
      <c:layout>
        <c:manualLayout>
          <c:xMode val="edge"/>
          <c:yMode val="edge"/>
          <c:x val="0.41913566720485257"/>
          <c:y val="0.24398892515796347"/>
        </c:manualLayout>
      </c:layout>
      <c:overlay val="1"/>
    </c:title>
    <c:autoTitleDeleted val="0"/>
    <c:plotArea>
      <c:layout>
        <c:manualLayout>
          <c:layoutTarget val="inner"/>
          <c:xMode val="edge"/>
          <c:yMode val="edge"/>
          <c:x val="0.12907819443361657"/>
          <c:y val="9.2787092789871878E-2"/>
          <c:w val="0.85306213455991264"/>
          <c:h val="0.8253064690443106"/>
        </c:manualLayout>
      </c:layout>
      <c:lineChart>
        <c:grouping val="standard"/>
        <c:varyColors val="0"/>
        <c:ser>
          <c:idx val="0"/>
          <c:order val="0"/>
          <c:tx>
            <c:strRef>
              <c:f>Summary!$B$488</c:f>
              <c:strCache>
                <c:ptCount val="1"/>
                <c:pt idx="0">
                  <c:v>100G PSM4_500 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Summary!$C$488:$M$488</c:f>
              <c:numCache>
                <c:formatCode>_("$"* #,##0_);_("$"* \(#,##0\);_("$"* "-"??_);_(@_)</c:formatCode>
                <c:ptCount val="11"/>
                <c:pt idx="0">
                  <c:v>67.773890240000014</c:v>
                </c:pt>
                <c:pt idx="1">
                  <c:v>158.09400299999999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84A1-914C-A9C3-AE1A8529D042}"/>
            </c:ext>
          </c:extLst>
        </c:ser>
        <c:ser>
          <c:idx val="1"/>
          <c:order val="1"/>
          <c:tx>
            <c:strRef>
              <c:f>Summary!$B$489</c:f>
              <c:strCache>
                <c:ptCount val="1"/>
                <c:pt idx="0">
                  <c:v>100G DR_500m_QSFP28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Summary!$C$489:$M$489</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84A1-914C-A9C3-AE1A8529D042}"/>
            </c:ext>
          </c:extLst>
        </c:ser>
        <c:ser>
          <c:idx val="2"/>
          <c:order val="2"/>
          <c:tx>
            <c:strRef>
              <c:f>Summary!$B$490</c:f>
              <c:strCache>
                <c:ptCount val="1"/>
                <c:pt idx="0">
                  <c:v>100G CWDM4-subspec_500 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Summary!$C$490:$M$490</c:f>
              <c:numCache>
                <c:formatCode>_("$"* #,##0_);_("$"* \(#,##0\);_("$"* "-"??_);_(@_)</c:formatCode>
                <c:ptCount val="11"/>
                <c:pt idx="0">
                  <c:v>55.125374999999998</c:v>
                </c:pt>
                <c:pt idx="1">
                  <c:v>307.53544499999998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4A1-914C-A9C3-AE1A8529D042}"/>
            </c:ext>
          </c:extLst>
        </c:ser>
        <c:ser>
          <c:idx val="3"/>
          <c:order val="3"/>
          <c:tx>
            <c:strRef>
              <c:f>Summary!$B$491</c:f>
              <c:strCache>
                <c:ptCount val="1"/>
                <c:pt idx="0">
                  <c:v>100G CWDM4_2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Summary!$C$491:$M$491</c:f>
              <c:numCache>
                <c:formatCode>_("$"* #,##0_);_("$"* \(#,##0\);_("$"* "-"??_);_(@_)</c:formatCode>
                <c:ptCount val="11"/>
                <c:pt idx="0">
                  <c:v>25.566254999999995</c:v>
                </c:pt>
                <c:pt idx="1">
                  <c:v>190.37908500000003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84A1-914C-A9C3-AE1A8529D042}"/>
            </c:ext>
          </c:extLst>
        </c:ser>
        <c:ser>
          <c:idx val="4"/>
          <c:order val="4"/>
          <c:tx>
            <c:strRef>
              <c:f>Summary!$B$492</c:f>
              <c:strCache>
                <c:ptCount val="1"/>
                <c:pt idx="0">
                  <c:v>100G FR, DR+_2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Summary!$C$492:$M$492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84A1-914C-A9C3-AE1A8529D042}"/>
            </c:ext>
          </c:extLst>
        </c:ser>
        <c:dLbls>
          <c:showLegendKey val="0"/>
          <c:showVal val="0"/>
          <c:showCatName val="0"/>
          <c:showSerName val="0"/>
          <c:showPercent val="0"/>
          <c:showBubbleSize val="0"/>
        </c:dLbls>
        <c:marker val="1"/>
        <c:smooth val="0"/>
        <c:axId val="135321088"/>
        <c:axId val="135322624"/>
      </c:lineChart>
      <c:catAx>
        <c:axId val="135321088"/>
        <c:scaling>
          <c:orientation val="minMax"/>
        </c:scaling>
        <c:delete val="0"/>
        <c:axPos val="b"/>
        <c:numFmt formatCode="General" sourceLinked="1"/>
        <c:majorTickMark val="out"/>
        <c:minorTickMark val="none"/>
        <c:tickLblPos val="nextTo"/>
        <c:crossAx val="135322624"/>
        <c:crosses val="autoZero"/>
        <c:auto val="1"/>
        <c:lblAlgn val="ctr"/>
        <c:lblOffset val="100"/>
        <c:noMultiLvlLbl val="0"/>
      </c:catAx>
      <c:valAx>
        <c:axId val="135322624"/>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1.6779449598503159E-2"/>
              <c:y val="0.23756042802342014"/>
            </c:manualLayout>
          </c:layout>
          <c:overlay val="0"/>
        </c:title>
        <c:numFmt formatCode="&quot;$&quot;#,##0" sourceLinked="0"/>
        <c:majorTickMark val="out"/>
        <c:minorTickMark val="none"/>
        <c:tickLblPos val="nextTo"/>
        <c:crossAx val="135321088"/>
        <c:crosses val="autoZero"/>
        <c:crossBetween val="between"/>
      </c:valAx>
    </c:plotArea>
    <c:legend>
      <c:legendPos val="l"/>
      <c:layout>
        <c:manualLayout>
          <c:xMode val="edge"/>
          <c:yMode val="edge"/>
          <c:x val="0.12832926893206623"/>
          <c:y val="2.8389443379508203E-2"/>
          <c:w val="0.85052637805384634"/>
          <c:h val="0.18382500725164974"/>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10 km - 40 km Reach</a:t>
            </a:r>
            <a:endParaRPr lang="en-US">
              <a:effectLst/>
            </a:endParaRPr>
          </a:p>
        </c:rich>
      </c:tx>
      <c:layout>
        <c:manualLayout>
          <c:xMode val="edge"/>
          <c:yMode val="edge"/>
          <c:x val="0.40352210241903447"/>
          <c:y val="0.19298250945780066"/>
        </c:manualLayout>
      </c:layout>
      <c:overlay val="1"/>
    </c:title>
    <c:autoTitleDeleted val="0"/>
    <c:plotArea>
      <c:layout>
        <c:manualLayout>
          <c:layoutTarget val="inner"/>
          <c:xMode val="edge"/>
          <c:yMode val="edge"/>
          <c:x val="0.12767766468215863"/>
          <c:y val="0.10847329975778416"/>
          <c:w val="0.85446268484732091"/>
          <c:h val="0.80962006067690584"/>
        </c:manualLayout>
      </c:layout>
      <c:lineChart>
        <c:grouping val="standard"/>
        <c:varyColors val="0"/>
        <c:ser>
          <c:idx val="5"/>
          <c:order val="0"/>
          <c:tx>
            <c:strRef>
              <c:f>Summary!$B$493</c:f>
              <c:strCache>
                <c:ptCount val="1"/>
                <c:pt idx="0">
                  <c:v>100G LR4_10 km_CFP</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Summary!$C$493:$M$493</c:f>
              <c:numCache>
                <c:formatCode>_("$"* #,##0_);_("$"* \(#,##0\);_("$"* "-"??_);_(@_)</c:formatCode>
                <c:ptCount val="11"/>
                <c:pt idx="0">
                  <c:v>387.84002208207454</c:v>
                </c:pt>
                <c:pt idx="1">
                  <c:v>186.42675405916248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3F-0442-AB9C-3972521F7D5C}"/>
            </c:ext>
          </c:extLst>
        </c:ser>
        <c:ser>
          <c:idx val="6"/>
          <c:order val="1"/>
          <c:tx>
            <c:strRef>
              <c:f>Summary!$B$494</c:f>
              <c:strCache>
                <c:ptCount val="1"/>
                <c:pt idx="0">
                  <c:v>100G LR4_10 km_CFP2/4</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Summary!$C$494:$M$494</c:f>
              <c:numCache>
                <c:formatCode>_("$"* #,##0_);_("$"* \(#,##0\);_("$"* "-"??_);_(@_)</c:formatCode>
                <c:ptCount val="11"/>
                <c:pt idx="0">
                  <c:v>265.89292589706986</c:v>
                </c:pt>
                <c:pt idx="1">
                  <c:v>167.37814313065076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3F-0442-AB9C-3972521F7D5C}"/>
            </c:ext>
          </c:extLst>
        </c:ser>
        <c:ser>
          <c:idx val="7"/>
          <c:order val="2"/>
          <c:tx>
            <c:strRef>
              <c:f>Summary!$B$495</c:f>
              <c:strCache>
                <c:ptCount val="1"/>
                <c:pt idx="0">
                  <c:v>100G LR4 and LR1_10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Summary!$C$495:$M$495</c:f>
              <c:numCache>
                <c:formatCode>_("$"* #,##0_);_("$"* \(#,##0\);_("$"* "-"??_);_(@_)</c:formatCode>
                <c:ptCount val="11"/>
                <c:pt idx="0">
                  <c:v>175.29210971636297</c:v>
                </c:pt>
                <c:pt idx="1">
                  <c:v>434.82240000000002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E3F-0442-AB9C-3972521F7D5C}"/>
            </c:ext>
          </c:extLst>
        </c:ser>
        <c:ser>
          <c:idx val="8"/>
          <c:order val="3"/>
          <c:tx>
            <c:strRef>
              <c:f>Summary!$B$496</c:f>
              <c:strCache>
                <c:ptCount val="1"/>
                <c:pt idx="0">
                  <c:v>100G 4WDM10_10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Summary!$C$496:$M$496</c:f>
              <c:numCache>
                <c:formatCode>_("$"* #,##0_);_("$"* \(#,##0\);_("$"* "-"??_);_(@_)</c:formatCode>
                <c:ptCount val="11"/>
                <c:pt idx="0">
                  <c:v>0</c:v>
                </c:pt>
                <c:pt idx="1">
                  <c:v>22.5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2E3F-0442-AB9C-3972521F7D5C}"/>
            </c:ext>
          </c:extLst>
        </c:ser>
        <c:ser>
          <c:idx val="9"/>
          <c:order val="4"/>
          <c:tx>
            <c:strRef>
              <c:f>Summary!$B$497</c:f>
              <c:strCache>
                <c:ptCount val="1"/>
                <c:pt idx="0">
                  <c:v>100G 4WDM20_20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Summary!$C$497:$M$497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9-2E3F-0442-AB9C-3972521F7D5C}"/>
            </c:ext>
          </c:extLst>
        </c:ser>
        <c:ser>
          <c:idx val="10"/>
          <c:order val="5"/>
          <c:tx>
            <c:strRef>
              <c:f>Summary!$B$500</c:f>
              <c:strCache>
                <c:ptCount val="1"/>
                <c:pt idx="0">
                  <c:v>100G ZR4_80 km_QSFP28</c:v>
                </c:pt>
              </c:strCache>
            </c:strRef>
          </c:tx>
          <c:cat>
            <c:numRef>
              <c:f>Summary!$C$487:$M$487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Summary!$C$500:$M$500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A-2E3F-0442-AB9C-3972521F7D5C}"/>
            </c:ext>
          </c:extLst>
        </c:ser>
        <c:dLbls>
          <c:showLegendKey val="0"/>
          <c:showVal val="0"/>
          <c:showCatName val="0"/>
          <c:showSerName val="0"/>
          <c:showPercent val="0"/>
          <c:showBubbleSize val="0"/>
        </c:dLbls>
        <c:marker val="1"/>
        <c:smooth val="0"/>
        <c:axId val="135370624"/>
        <c:axId val="135372160"/>
      </c:lineChart>
      <c:catAx>
        <c:axId val="135370624"/>
        <c:scaling>
          <c:orientation val="minMax"/>
        </c:scaling>
        <c:delete val="0"/>
        <c:axPos val="b"/>
        <c:numFmt formatCode="General" sourceLinked="1"/>
        <c:majorTickMark val="out"/>
        <c:minorTickMark val="none"/>
        <c:tickLblPos val="nextTo"/>
        <c:crossAx val="135372160"/>
        <c:crosses val="autoZero"/>
        <c:auto val="1"/>
        <c:lblAlgn val="ctr"/>
        <c:lblOffset val="100"/>
        <c:noMultiLvlLbl val="0"/>
      </c:catAx>
      <c:valAx>
        <c:axId val="135372160"/>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2.2027270981371236E-2"/>
              <c:y val="0.2969314341325312"/>
            </c:manualLayout>
          </c:layout>
          <c:overlay val="0"/>
        </c:title>
        <c:numFmt formatCode="&quot;$&quot;#,##0" sourceLinked="0"/>
        <c:majorTickMark val="out"/>
        <c:minorTickMark val="none"/>
        <c:tickLblPos val="nextTo"/>
        <c:crossAx val="135370624"/>
        <c:crosses val="autoZero"/>
        <c:crossBetween val="between"/>
      </c:valAx>
    </c:plotArea>
    <c:legend>
      <c:legendPos val="l"/>
      <c:layout>
        <c:manualLayout>
          <c:xMode val="edge"/>
          <c:yMode val="edge"/>
          <c:x val="0.12872234711995242"/>
          <c:y val="2.1474242705965665E-2"/>
          <c:w val="0.85126207335299575"/>
          <c:h val="0.1624418186052821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Summary!$B$670</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Summary!$G$670:$M$670</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CD4-1B4A-BF00-DACF0025900F}"/>
            </c:ext>
          </c:extLst>
        </c:ser>
        <c:ser>
          <c:idx val="0"/>
          <c:order val="1"/>
          <c:tx>
            <c:strRef>
              <c:f>Summary!$B$671</c:f>
              <c:strCache>
                <c:ptCount val="1"/>
                <c:pt idx="0">
                  <c:v>800G DR8, DR4_500 m_OSFP, QSFP-DD800</c:v>
                </c:pt>
              </c:strCache>
            </c:strRef>
          </c:tx>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Summary!$G$671:$M$671</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DCD4-1B4A-BF00-DACF0025900F}"/>
            </c:ext>
          </c:extLst>
        </c:ser>
        <c:ser>
          <c:idx val="1"/>
          <c:order val="2"/>
          <c:tx>
            <c:strRef>
              <c:f>Summary!$B$672</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Summary!$G$672:$M$672</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DCD4-1B4A-BF00-DACF0025900F}"/>
            </c:ext>
          </c:extLst>
        </c:ser>
        <c:ser>
          <c:idx val="3"/>
          <c:order val="3"/>
          <c:tx>
            <c:strRef>
              <c:f>Summary!$B$673</c:f>
              <c:strCache>
                <c:ptCount val="1"/>
                <c:pt idx="0">
                  <c:v>800G LR8, LR4_6, 10 km_TBD</c:v>
                </c:pt>
              </c:strCache>
            </c:strRef>
          </c:tx>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Summary!$G$673:$M$673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F935-5641-B16A-9976EC2E5007}"/>
            </c:ext>
          </c:extLst>
        </c:ser>
        <c:ser>
          <c:idx val="4"/>
          <c:order val="4"/>
          <c:tx>
            <c:strRef>
              <c:f>Summary!$B$674</c:f>
              <c:strCache>
                <c:ptCount val="1"/>
                <c:pt idx="0">
                  <c:v>800G ZRlite_10 km, 20 km_TBD</c:v>
                </c:pt>
              </c:strCache>
            </c:strRef>
          </c:tx>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Summary!$G$674:$M$674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F935-5641-B16A-9976EC2E5007}"/>
            </c:ext>
          </c:extLst>
        </c:ser>
        <c:ser>
          <c:idx val="5"/>
          <c:order val="5"/>
          <c:tx>
            <c:strRef>
              <c:f>Summary!$B$675</c:f>
              <c:strCache>
                <c:ptCount val="1"/>
                <c:pt idx="0">
                  <c:v>800G ER4_40 km_TBD</c:v>
                </c:pt>
              </c:strCache>
            </c:strRef>
          </c:tx>
          <c:cat>
            <c:numRef>
              <c:f>Summary!$G$669:$M$669</c:f>
              <c:numCache>
                <c:formatCode>General</c:formatCode>
                <c:ptCount val="7"/>
                <c:pt idx="0">
                  <c:v>2020</c:v>
                </c:pt>
                <c:pt idx="1">
                  <c:v>2021</c:v>
                </c:pt>
                <c:pt idx="2">
                  <c:v>2022</c:v>
                </c:pt>
                <c:pt idx="3">
                  <c:v>2023</c:v>
                </c:pt>
                <c:pt idx="4">
                  <c:v>2024</c:v>
                </c:pt>
                <c:pt idx="5">
                  <c:v>2025</c:v>
                </c:pt>
                <c:pt idx="6">
                  <c:v>2026</c:v>
                </c:pt>
              </c:numCache>
            </c:numRef>
          </c:cat>
          <c:val>
            <c:numRef>
              <c:f>Summary!$G$675:$M$675</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F935-5641-B16A-9976EC2E5007}"/>
            </c:ext>
          </c:extLst>
        </c:ser>
        <c:dLbls>
          <c:showLegendKey val="0"/>
          <c:showVal val="0"/>
          <c:showCatName val="0"/>
          <c:showSerName val="0"/>
          <c:showPercent val="0"/>
          <c:showBubbleSize val="0"/>
        </c:dLbls>
        <c:marker val="1"/>
        <c:smooth val="0"/>
        <c:axId val="135908736"/>
        <c:axId val="135922816"/>
      </c:lineChart>
      <c:catAx>
        <c:axId val="135908736"/>
        <c:scaling>
          <c:orientation val="minMax"/>
        </c:scaling>
        <c:delete val="0"/>
        <c:axPos val="b"/>
        <c:numFmt formatCode="General" sourceLinked="1"/>
        <c:majorTickMark val="out"/>
        <c:minorTickMark val="none"/>
        <c:tickLblPos val="nextTo"/>
        <c:txPr>
          <a:bodyPr/>
          <a:lstStyle/>
          <a:p>
            <a:pPr>
              <a:defRPr sz="1000"/>
            </a:pPr>
            <a:endParaRPr lang="en-US"/>
          </a:p>
        </c:txPr>
        <c:crossAx val="135922816"/>
        <c:crosses val="autoZero"/>
        <c:auto val="1"/>
        <c:lblAlgn val="ctr"/>
        <c:lblOffset val="100"/>
        <c:noMultiLvlLbl val="0"/>
      </c:catAx>
      <c:valAx>
        <c:axId val="135922816"/>
        <c:scaling>
          <c:orientation val="minMax"/>
          <c:max val="2500000"/>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5908736"/>
        <c:crosses val="autoZero"/>
        <c:crossBetween val="between"/>
        <c:majorUnit val="500000"/>
      </c:valAx>
    </c:plotArea>
    <c:legend>
      <c:legendPos val="t"/>
      <c:layout>
        <c:manualLayout>
          <c:xMode val="edge"/>
          <c:yMode val="edge"/>
          <c:x val="0.17532950011636667"/>
          <c:y val="6.8869471953289907E-2"/>
          <c:w val="0.45501820842516488"/>
          <c:h val="0.4853915791486556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0.30977124857420302"/>
          <c:w val="0.83393308477067707"/>
          <c:h val="0.55375666505089682"/>
        </c:manualLayout>
      </c:layout>
      <c:lineChart>
        <c:grouping val="standard"/>
        <c:varyColors val="0"/>
        <c:ser>
          <c:idx val="2"/>
          <c:order val="0"/>
          <c:tx>
            <c:strRef>
              <c:f>Summary!$B$680</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Summary!$H$679:$M$679</c:f>
              <c:numCache>
                <c:formatCode>General</c:formatCode>
                <c:ptCount val="6"/>
                <c:pt idx="0">
                  <c:v>2021</c:v>
                </c:pt>
                <c:pt idx="1">
                  <c:v>2022</c:v>
                </c:pt>
                <c:pt idx="2">
                  <c:v>2023</c:v>
                </c:pt>
                <c:pt idx="3">
                  <c:v>2024</c:v>
                </c:pt>
                <c:pt idx="4">
                  <c:v>2025</c:v>
                </c:pt>
                <c:pt idx="5">
                  <c:v>2026</c:v>
                </c:pt>
              </c:numCache>
            </c:numRef>
          </c:cat>
          <c:val>
            <c:numRef>
              <c:f>Summary!$H$680:$M$680</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8FB-3C42-9AE7-8CFF292F800D}"/>
            </c:ext>
          </c:extLst>
        </c:ser>
        <c:ser>
          <c:idx val="0"/>
          <c:order val="1"/>
          <c:tx>
            <c:strRef>
              <c:f>Summary!$B$681</c:f>
              <c:strCache>
                <c:ptCount val="1"/>
                <c:pt idx="0">
                  <c:v>800G DR8, DR4_500 m_OSFP, QSFP-DD800</c:v>
                </c:pt>
              </c:strCache>
            </c:strRef>
          </c:tx>
          <c:cat>
            <c:numRef>
              <c:f>Summary!$H$679:$M$679</c:f>
              <c:numCache>
                <c:formatCode>General</c:formatCode>
                <c:ptCount val="6"/>
                <c:pt idx="0">
                  <c:v>2021</c:v>
                </c:pt>
                <c:pt idx="1">
                  <c:v>2022</c:v>
                </c:pt>
                <c:pt idx="2">
                  <c:v>2023</c:v>
                </c:pt>
                <c:pt idx="3">
                  <c:v>2024</c:v>
                </c:pt>
                <c:pt idx="4">
                  <c:v>2025</c:v>
                </c:pt>
                <c:pt idx="5">
                  <c:v>2026</c:v>
                </c:pt>
              </c:numCache>
            </c:numRef>
          </c:cat>
          <c:val>
            <c:numRef>
              <c:f>Summary!$H$681:$M$681</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28FB-3C42-9AE7-8CFF292F800D}"/>
            </c:ext>
          </c:extLst>
        </c:ser>
        <c:ser>
          <c:idx val="1"/>
          <c:order val="2"/>
          <c:tx>
            <c:strRef>
              <c:f>Summary!$B$682</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Summary!$H$679:$M$679</c:f>
              <c:numCache>
                <c:formatCode>General</c:formatCode>
                <c:ptCount val="6"/>
                <c:pt idx="0">
                  <c:v>2021</c:v>
                </c:pt>
                <c:pt idx="1">
                  <c:v>2022</c:v>
                </c:pt>
                <c:pt idx="2">
                  <c:v>2023</c:v>
                </c:pt>
                <c:pt idx="3">
                  <c:v>2024</c:v>
                </c:pt>
                <c:pt idx="4">
                  <c:v>2025</c:v>
                </c:pt>
                <c:pt idx="5">
                  <c:v>2026</c:v>
                </c:pt>
              </c:numCache>
            </c:numRef>
          </c:cat>
          <c:val>
            <c:numRef>
              <c:f>Summary!$H$682:$M$682</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28FB-3C42-9AE7-8CFF292F800D}"/>
            </c:ext>
          </c:extLst>
        </c:ser>
        <c:ser>
          <c:idx val="3"/>
          <c:order val="3"/>
          <c:tx>
            <c:strRef>
              <c:f>Summary!$B$683</c:f>
              <c:strCache>
                <c:ptCount val="1"/>
                <c:pt idx="0">
                  <c:v>800G LR8, LR4_6, 10 km_TBD</c:v>
                </c:pt>
              </c:strCache>
            </c:strRef>
          </c:tx>
          <c:cat>
            <c:numRef>
              <c:f>Summary!$H$679:$M$679</c:f>
              <c:numCache>
                <c:formatCode>General</c:formatCode>
                <c:ptCount val="6"/>
                <c:pt idx="0">
                  <c:v>2021</c:v>
                </c:pt>
                <c:pt idx="1">
                  <c:v>2022</c:v>
                </c:pt>
                <c:pt idx="2">
                  <c:v>2023</c:v>
                </c:pt>
                <c:pt idx="3">
                  <c:v>2024</c:v>
                </c:pt>
                <c:pt idx="4">
                  <c:v>2025</c:v>
                </c:pt>
                <c:pt idx="5">
                  <c:v>2026</c:v>
                </c:pt>
              </c:numCache>
            </c:numRef>
          </c:cat>
          <c:val>
            <c:numRef>
              <c:f>Summary!$H$683:$M$683</c:f>
              <c:numCache>
                <c:formatCode>_("$"* #,##0_);_("$"* \(#,##0\);_("$"* "-"??_);_(@_)</c:formatCode>
                <c:ptCount val="6"/>
                <c:pt idx="1">
                  <c:v>0</c:v>
                </c:pt>
                <c:pt idx="2">
                  <c:v>0</c:v>
                </c:pt>
                <c:pt idx="3">
                  <c:v>0</c:v>
                </c:pt>
                <c:pt idx="4">
                  <c:v>0</c:v>
                </c:pt>
                <c:pt idx="5">
                  <c:v>0</c:v>
                </c:pt>
              </c:numCache>
            </c:numRef>
          </c:val>
          <c:smooth val="0"/>
          <c:extLst>
            <c:ext xmlns:c16="http://schemas.microsoft.com/office/drawing/2014/chart" uri="{C3380CC4-5D6E-409C-BE32-E72D297353CC}">
              <c16:uniqueId val="{00000000-6B4D-3C47-BAEF-E92F37CA1333}"/>
            </c:ext>
          </c:extLst>
        </c:ser>
        <c:ser>
          <c:idx val="4"/>
          <c:order val="4"/>
          <c:tx>
            <c:strRef>
              <c:f>Summary!$B$684</c:f>
              <c:strCache>
                <c:ptCount val="1"/>
                <c:pt idx="0">
                  <c:v>800G ZRlite_10 km, 20 km_TBD</c:v>
                </c:pt>
              </c:strCache>
            </c:strRef>
          </c:tx>
          <c:cat>
            <c:numRef>
              <c:f>Summary!$H$679:$M$679</c:f>
              <c:numCache>
                <c:formatCode>General</c:formatCode>
                <c:ptCount val="6"/>
                <c:pt idx="0">
                  <c:v>2021</c:v>
                </c:pt>
                <c:pt idx="1">
                  <c:v>2022</c:v>
                </c:pt>
                <c:pt idx="2">
                  <c:v>2023</c:v>
                </c:pt>
                <c:pt idx="3">
                  <c:v>2024</c:v>
                </c:pt>
                <c:pt idx="4">
                  <c:v>2025</c:v>
                </c:pt>
                <c:pt idx="5">
                  <c:v>2026</c:v>
                </c:pt>
              </c:numCache>
            </c:numRef>
          </c:cat>
          <c:val>
            <c:numRef>
              <c:f>Summary!$H$684:$M$684</c:f>
              <c:numCache>
                <c:formatCode>_("$"* #,##0_);_("$"* \(#,##0\);_("$"* "-"??_);_(@_)</c:formatCode>
                <c:ptCount val="6"/>
                <c:pt idx="2">
                  <c:v>0</c:v>
                </c:pt>
                <c:pt idx="3">
                  <c:v>0</c:v>
                </c:pt>
                <c:pt idx="4">
                  <c:v>0</c:v>
                </c:pt>
                <c:pt idx="5">
                  <c:v>0</c:v>
                </c:pt>
              </c:numCache>
            </c:numRef>
          </c:val>
          <c:smooth val="0"/>
          <c:extLst>
            <c:ext xmlns:c16="http://schemas.microsoft.com/office/drawing/2014/chart" uri="{C3380CC4-5D6E-409C-BE32-E72D297353CC}">
              <c16:uniqueId val="{00000001-6B4D-3C47-BAEF-E92F37CA1333}"/>
            </c:ext>
          </c:extLst>
        </c:ser>
        <c:ser>
          <c:idx val="5"/>
          <c:order val="5"/>
          <c:tx>
            <c:strRef>
              <c:f>Summary!$B$685</c:f>
              <c:strCache>
                <c:ptCount val="1"/>
                <c:pt idx="0">
                  <c:v>800G ER4_40 km_TBD</c:v>
                </c:pt>
              </c:strCache>
            </c:strRef>
          </c:tx>
          <c:cat>
            <c:numRef>
              <c:f>Summary!$H$679:$M$679</c:f>
              <c:numCache>
                <c:formatCode>General</c:formatCode>
                <c:ptCount val="6"/>
                <c:pt idx="0">
                  <c:v>2021</c:v>
                </c:pt>
                <c:pt idx="1">
                  <c:v>2022</c:v>
                </c:pt>
                <c:pt idx="2">
                  <c:v>2023</c:v>
                </c:pt>
                <c:pt idx="3">
                  <c:v>2024</c:v>
                </c:pt>
                <c:pt idx="4">
                  <c:v>2025</c:v>
                </c:pt>
                <c:pt idx="5">
                  <c:v>2026</c:v>
                </c:pt>
              </c:numCache>
            </c:numRef>
          </c:cat>
          <c:val>
            <c:numRef>
              <c:f>Summary!$H$685:$M$685</c:f>
              <c:numCache>
                <c:formatCode>_("$"* #,##0_);_("$"* \(#,##0\);_("$"* "-"??_);_(@_)</c:formatCode>
                <c:ptCount val="6"/>
                <c:pt idx="0">
                  <c:v>0</c:v>
                </c:pt>
                <c:pt idx="1">
                  <c:v>0</c:v>
                </c:pt>
                <c:pt idx="4">
                  <c:v>0</c:v>
                </c:pt>
                <c:pt idx="5">
                  <c:v>0</c:v>
                </c:pt>
              </c:numCache>
            </c:numRef>
          </c:val>
          <c:smooth val="0"/>
          <c:extLst>
            <c:ext xmlns:c16="http://schemas.microsoft.com/office/drawing/2014/chart" uri="{C3380CC4-5D6E-409C-BE32-E72D297353CC}">
              <c16:uniqueId val="{00000002-6B4D-3C47-BAEF-E92F37CA1333}"/>
            </c:ext>
          </c:extLst>
        </c:ser>
        <c:dLbls>
          <c:showLegendKey val="0"/>
          <c:showVal val="0"/>
          <c:showCatName val="0"/>
          <c:showSerName val="0"/>
          <c:showPercent val="0"/>
          <c:showBubbleSize val="0"/>
        </c:dLbls>
        <c:marker val="1"/>
        <c:smooth val="0"/>
        <c:axId val="135974272"/>
        <c:axId val="135980160"/>
      </c:lineChart>
      <c:catAx>
        <c:axId val="135974272"/>
        <c:scaling>
          <c:orientation val="minMax"/>
        </c:scaling>
        <c:delete val="0"/>
        <c:axPos val="b"/>
        <c:numFmt formatCode="General" sourceLinked="1"/>
        <c:majorTickMark val="out"/>
        <c:minorTickMark val="none"/>
        <c:tickLblPos val="nextTo"/>
        <c:txPr>
          <a:bodyPr/>
          <a:lstStyle/>
          <a:p>
            <a:pPr>
              <a:defRPr sz="1000"/>
            </a:pPr>
            <a:endParaRPr lang="en-US"/>
          </a:p>
        </c:txPr>
        <c:crossAx val="135980160"/>
        <c:crosses val="autoZero"/>
        <c:auto val="1"/>
        <c:lblAlgn val="ctr"/>
        <c:lblOffset val="100"/>
        <c:noMultiLvlLbl val="0"/>
      </c:catAx>
      <c:valAx>
        <c:axId val="135980160"/>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5974272"/>
        <c:crosses val="autoZero"/>
        <c:crossBetween val="between"/>
      </c:valAx>
    </c:plotArea>
    <c:legend>
      <c:legendPos val="t"/>
      <c:layout>
        <c:manualLayout>
          <c:xMode val="edge"/>
          <c:yMode val="edge"/>
          <c:x val="1.6187293014423194E-2"/>
          <c:y val="6.0317810743750104E-3"/>
          <c:w val="0.96597322681157627"/>
          <c:h val="0.2662404873546007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Summary!$B$690</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Summary!$G$690:$M$690</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A8F-0344-B2CD-C518500A5542}"/>
            </c:ext>
          </c:extLst>
        </c:ser>
        <c:ser>
          <c:idx val="0"/>
          <c:order val="1"/>
          <c:tx>
            <c:strRef>
              <c:f>Summary!$B$691</c:f>
              <c:strCache>
                <c:ptCount val="1"/>
                <c:pt idx="0">
                  <c:v>800G DR8, DR4_500 m_OSFP, QSFP-DD800</c:v>
                </c:pt>
              </c:strCache>
            </c:strRef>
          </c:tx>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Summary!$G$691:$M$691</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5A8F-0344-B2CD-C518500A5542}"/>
            </c:ext>
          </c:extLst>
        </c:ser>
        <c:ser>
          <c:idx val="1"/>
          <c:order val="2"/>
          <c:tx>
            <c:strRef>
              <c:f>Summary!$B$692</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Summary!$G$692:$M$692</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5A8F-0344-B2CD-C518500A5542}"/>
            </c:ext>
          </c:extLst>
        </c:ser>
        <c:ser>
          <c:idx val="3"/>
          <c:order val="3"/>
          <c:tx>
            <c:strRef>
              <c:f>Summary!$B$693</c:f>
              <c:strCache>
                <c:ptCount val="1"/>
                <c:pt idx="0">
                  <c:v>800G LR8, LR4_6, 10 km_TBD</c:v>
                </c:pt>
              </c:strCache>
            </c:strRef>
          </c:tx>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Summary!$G$693:$M$693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157-7748-9A77-0F7C1206B24A}"/>
            </c:ext>
          </c:extLst>
        </c:ser>
        <c:ser>
          <c:idx val="4"/>
          <c:order val="4"/>
          <c:tx>
            <c:strRef>
              <c:f>Summary!$B$694</c:f>
              <c:strCache>
                <c:ptCount val="1"/>
                <c:pt idx="0">
                  <c:v>800G ZRlite_10 km, 20 km_TBD</c:v>
                </c:pt>
              </c:strCache>
            </c:strRef>
          </c:tx>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Summary!$G$694:$M$694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B157-7748-9A77-0F7C1206B24A}"/>
            </c:ext>
          </c:extLst>
        </c:ser>
        <c:ser>
          <c:idx val="5"/>
          <c:order val="5"/>
          <c:tx>
            <c:strRef>
              <c:f>Summary!$B$695</c:f>
              <c:strCache>
                <c:ptCount val="1"/>
                <c:pt idx="0">
                  <c:v>800G ER4_40 km_TBD</c:v>
                </c:pt>
              </c:strCache>
            </c:strRef>
          </c:tx>
          <c:cat>
            <c:numRef>
              <c:f>Summary!$G$635:$M$635</c:f>
              <c:numCache>
                <c:formatCode>General</c:formatCode>
                <c:ptCount val="7"/>
                <c:pt idx="0">
                  <c:v>2020</c:v>
                </c:pt>
                <c:pt idx="1">
                  <c:v>2021</c:v>
                </c:pt>
                <c:pt idx="2">
                  <c:v>2022</c:v>
                </c:pt>
                <c:pt idx="3">
                  <c:v>2023</c:v>
                </c:pt>
                <c:pt idx="4">
                  <c:v>2024</c:v>
                </c:pt>
                <c:pt idx="5">
                  <c:v>2025</c:v>
                </c:pt>
                <c:pt idx="6">
                  <c:v>2026</c:v>
                </c:pt>
              </c:numCache>
            </c:numRef>
          </c:cat>
          <c:val>
            <c:numRef>
              <c:f>Summary!$G$695:$M$695</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B157-7748-9A77-0F7C1206B24A}"/>
            </c:ext>
          </c:extLst>
        </c:ser>
        <c:dLbls>
          <c:showLegendKey val="0"/>
          <c:showVal val="0"/>
          <c:showCatName val="0"/>
          <c:showSerName val="0"/>
          <c:showPercent val="0"/>
          <c:showBubbleSize val="0"/>
        </c:dLbls>
        <c:marker val="1"/>
        <c:smooth val="0"/>
        <c:axId val="135572864"/>
        <c:axId val="135574656"/>
      </c:lineChart>
      <c:catAx>
        <c:axId val="135572864"/>
        <c:scaling>
          <c:orientation val="minMax"/>
        </c:scaling>
        <c:delete val="0"/>
        <c:axPos val="b"/>
        <c:numFmt formatCode="General" sourceLinked="1"/>
        <c:majorTickMark val="out"/>
        <c:minorTickMark val="none"/>
        <c:tickLblPos val="nextTo"/>
        <c:txPr>
          <a:bodyPr/>
          <a:lstStyle/>
          <a:p>
            <a:pPr>
              <a:defRPr sz="1000"/>
            </a:pPr>
            <a:endParaRPr lang="en-US"/>
          </a:p>
        </c:txPr>
        <c:crossAx val="135574656"/>
        <c:crosses val="autoZero"/>
        <c:auto val="1"/>
        <c:lblAlgn val="ctr"/>
        <c:lblOffset val="100"/>
        <c:noMultiLvlLbl val="0"/>
      </c:catAx>
      <c:valAx>
        <c:axId val="135574656"/>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5572864"/>
        <c:crosses val="autoZero"/>
        <c:crossBetween val="between"/>
      </c:valAx>
    </c:plotArea>
    <c:legend>
      <c:legendPos val="t"/>
      <c:layout>
        <c:manualLayout>
          <c:xMode val="edge"/>
          <c:yMode val="edge"/>
          <c:x val="0.13432250966082437"/>
          <c:y val="4.9710763796812933E-2"/>
          <c:w val="0.49604155360213514"/>
          <c:h val="0.4959992441034768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805605883631"/>
          <c:y val="4.8133783277090364E-2"/>
          <c:w val="0.7911277752870971"/>
          <c:h val="0.86605654293213352"/>
        </c:manualLayout>
      </c:layout>
      <c:lineChart>
        <c:grouping val="standard"/>
        <c:varyColors val="0"/>
        <c:ser>
          <c:idx val="1"/>
          <c:order val="0"/>
          <c:tx>
            <c:strRef>
              <c:f>Summary!$B$523</c:f>
              <c:strCache>
                <c:ptCount val="1"/>
                <c:pt idx="0">
                  <c:v>100G SR4 </c:v>
                </c:pt>
              </c:strCache>
            </c:strRef>
          </c:tx>
          <c:cat>
            <c:numRef>
              <c:f>Summary!$C$522:$M$522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Summary!$C$523:$M$523</c:f>
              <c:numCache>
                <c:formatCode>_(* #,##0_);_(* \(#,##0\);_(* "-"??_);_(@_)</c:formatCode>
                <c:ptCount val="11"/>
                <c:pt idx="0">
                  <c:v>280058</c:v>
                </c:pt>
                <c:pt idx="1">
                  <c:v>622792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AF-4145-A2BA-302D07AC74A2}"/>
            </c:ext>
          </c:extLst>
        </c:ser>
        <c:ser>
          <c:idx val="2"/>
          <c:order val="1"/>
          <c:tx>
            <c:strRef>
              <c:f>Summary!$B$524</c:f>
              <c:strCache>
                <c:ptCount val="1"/>
                <c:pt idx="0">
                  <c:v>100G PSM4 </c:v>
                </c:pt>
              </c:strCache>
            </c:strRef>
          </c:tx>
          <c:cat>
            <c:numRef>
              <c:f>Summary!$C$522:$M$522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Summary!$C$524:$M$524</c:f>
              <c:numCache>
                <c:formatCode>_(* #,##0_);_(* \(#,##0\);_(* "-"??_);_(@_)</c:formatCode>
                <c:ptCount val="11"/>
                <c:pt idx="0">
                  <c:v>200861</c:v>
                </c:pt>
                <c:pt idx="1">
                  <c:v>710038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4AF-4145-A2BA-302D07AC74A2}"/>
            </c:ext>
          </c:extLst>
        </c:ser>
        <c:ser>
          <c:idx val="3"/>
          <c:order val="2"/>
          <c:tx>
            <c:strRef>
              <c:f>Summary!$B$525</c:f>
              <c:strCache>
                <c:ptCount val="1"/>
                <c:pt idx="0">
                  <c:v>100G DR1 and FR1</c:v>
                </c:pt>
              </c:strCache>
            </c:strRef>
          </c:tx>
          <c:marker>
            <c:symbol val="square"/>
            <c:size val="5"/>
          </c:marker>
          <c:cat>
            <c:numRef>
              <c:f>Summary!$C$522:$M$522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Summary!$C$525:$M$525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4AF-4145-A2BA-302D07AC74A2}"/>
            </c:ext>
          </c:extLst>
        </c:ser>
        <c:ser>
          <c:idx val="9"/>
          <c:order val="3"/>
          <c:tx>
            <c:strRef>
              <c:f>Summary!$B$526</c:f>
              <c:strCache>
                <c:ptCount val="1"/>
                <c:pt idx="0">
                  <c:v>100G CWDM4 </c:v>
                </c:pt>
              </c:strCache>
            </c:strRef>
          </c:tx>
          <c:cat>
            <c:numRef>
              <c:f>Summary!$C$522:$M$522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Summary!$C$526:$M$526</c:f>
              <c:numCache>
                <c:formatCode>_(* #,##0_);_(* \(#,##0\);_(* "-"??_);_(@_)</c:formatCode>
                <c:ptCount val="11"/>
                <c:pt idx="0">
                  <c:v>119190</c:v>
                </c:pt>
                <c:pt idx="1">
                  <c:v>976303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4AF-4145-A2BA-302D07AC74A2}"/>
            </c:ext>
          </c:extLst>
        </c:ser>
        <c:ser>
          <c:idx val="6"/>
          <c:order val="4"/>
          <c:tx>
            <c:strRef>
              <c:f>Summary!$B$527</c:f>
              <c:strCache>
                <c:ptCount val="1"/>
                <c:pt idx="0">
                  <c:v>100G LR4 and LR1</c:v>
                </c:pt>
              </c:strCache>
            </c:strRef>
          </c:tx>
          <c:cat>
            <c:numRef>
              <c:f>Summary!$C$522:$M$522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Summary!$C$527:$M$527</c:f>
              <c:numCache>
                <c:formatCode>_(* #,##0_);_(* \(#,##0\);_(* "-"??_);_(@_)</c:formatCode>
                <c:ptCount val="11"/>
                <c:pt idx="0">
                  <c:v>90443</c:v>
                </c:pt>
                <c:pt idx="1">
                  <c:v>362352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5678208"/>
        <c:axId val="135688192"/>
      </c:lineChart>
      <c:catAx>
        <c:axId val="135678208"/>
        <c:scaling>
          <c:orientation val="minMax"/>
        </c:scaling>
        <c:delete val="0"/>
        <c:axPos val="b"/>
        <c:numFmt formatCode="General" sourceLinked="1"/>
        <c:majorTickMark val="out"/>
        <c:minorTickMark val="none"/>
        <c:tickLblPos val="nextTo"/>
        <c:txPr>
          <a:bodyPr/>
          <a:lstStyle/>
          <a:p>
            <a:pPr>
              <a:defRPr sz="1200"/>
            </a:pPr>
            <a:endParaRPr lang="en-US"/>
          </a:p>
        </c:txPr>
        <c:crossAx val="135688192"/>
        <c:crosses val="autoZero"/>
        <c:auto val="1"/>
        <c:lblAlgn val="ctr"/>
        <c:lblOffset val="100"/>
        <c:noMultiLvlLbl val="0"/>
      </c:catAx>
      <c:valAx>
        <c:axId val="13568819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200"/>
            </a:pPr>
            <a:endParaRPr lang="en-US"/>
          </a:p>
        </c:txPr>
        <c:crossAx val="135678208"/>
        <c:crosses val="autoZero"/>
        <c:crossBetween val="between"/>
        <c:majorUnit val="2000000"/>
      </c:valAx>
    </c:plotArea>
    <c:legend>
      <c:legendPos val="t"/>
      <c:layout>
        <c:manualLayout>
          <c:xMode val="edge"/>
          <c:yMode val="edge"/>
          <c:x val="0.18167823826649104"/>
          <c:y val="7.5790257863901617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Summary!$B$532</c:f>
              <c:strCache>
                <c:ptCount val="1"/>
                <c:pt idx="0">
                  <c:v>100G SR4 </c:v>
                </c:pt>
              </c:strCache>
            </c:strRef>
          </c:tx>
          <c:cat>
            <c:numRef>
              <c:f>Summary!$E$531:$M$531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Summary!$E$532:$M$532</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74AF-4145-A2BA-302D07AC74A2}"/>
            </c:ext>
          </c:extLst>
        </c:ser>
        <c:ser>
          <c:idx val="2"/>
          <c:order val="1"/>
          <c:tx>
            <c:strRef>
              <c:f>Summary!$B$533</c:f>
              <c:strCache>
                <c:ptCount val="1"/>
                <c:pt idx="0">
                  <c:v>100G PSM4 </c:v>
                </c:pt>
              </c:strCache>
            </c:strRef>
          </c:tx>
          <c:cat>
            <c:numRef>
              <c:f>Summary!$E$531:$M$531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Summary!$E$533:$M$533</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74AF-4145-A2BA-302D07AC74A2}"/>
            </c:ext>
          </c:extLst>
        </c:ser>
        <c:ser>
          <c:idx val="3"/>
          <c:order val="2"/>
          <c:tx>
            <c:strRef>
              <c:f>Summary!$B$534</c:f>
              <c:strCache>
                <c:ptCount val="1"/>
                <c:pt idx="0">
                  <c:v>100G DR1 and FR1</c:v>
                </c:pt>
              </c:strCache>
            </c:strRef>
          </c:tx>
          <c:marker>
            <c:symbol val="square"/>
            <c:size val="5"/>
          </c:marker>
          <c:cat>
            <c:numRef>
              <c:f>Summary!$E$531:$M$531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Summary!$E$534:$M$534</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74AF-4145-A2BA-302D07AC74A2}"/>
            </c:ext>
          </c:extLst>
        </c:ser>
        <c:ser>
          <c:idx val="9"/>
          <c:order val="3"/>
          <c:tx>
            <c:strRef>
              <c:f>Summary!$B$535</c:f>
              <c:strCache>
                <c:ptCount val="1"/>
                <c:pt idx="0">
                  <c:v>100G CWDM4 </c:v>
                </c:pt>
              </c:strCache>
            </c:strRef>
          </c:tx>
          <c:cat>
            <c:numRef>
              <c:f>Summary!$E$531:$M$531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Summary!$E$535:$M$535</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74AF-4145-A2BA-302D07AC74A2}"/>
            </c:ext>
          </c:extLst>
        </c:ser>
        <c:ser>
          <c:idx val="6"/>
          <c:order val="4"/>
          <c:tx>
            <c:strRef>
              <c:f>Summary!$B$536</c:f>
              <c:strCache>
                <c:ptCount val="1"/>
                <c:pt idx="0">
                  <c:v>100G LR4 and LR1</c:v>
                </c:pt>
              </c:strCache>
            </c:strRef>
          </c:tx>
          <c:cat>
            <c:numRef>
              <c:f>Summary!$E$531:$M$531</c:f>
              <c:numCache>
                <c:formatCode>General</c:formatCode>
                <c:ptCount val="9"/>
                <c:pt idx="0">
                  <c:v>2018</c:v>
                </c:pt>
                <c:pt idx="1">
                  <c:v>2019</c:v>
                </c:pt>
                <c:pt idx="2">
                  <c:v>2020</c:v>
                </c:pt>
                <c:pt idx="3">
                  <c:v>2021</c:v>
                </c:pt>
                <c:pt idx="4">
                  <c:v>2022</c:v>
                </c:pt>
                <c:pt idx="5">
                  <c:v>2023</c:v>
                </c:pt>
                <c:pt idx="6">
                  <c:v>2024</c:v>
                </c:pt>
                <c:pt idx="7">
                  <c:v>2025</c:v>
                </c:pt>
                <c:pt idx="8">
                  <c:v>2026</c:v>
                </c:pt>
              </c:numCache>
            </c:numRef>
          </c:cat>
          <c:val>
            <c:numRef>
              <c:f>Summary!$E$536:$M$536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5595136"/>
        <c:axId val="135596672"/>
      </c:lineChart>
      <c:catAx>
        <c:axId val="135595136"/>
        <c:scaling>
          <c:orientation val="minMax"/>
        </c:scaling>
        <c:delete val="0"/>
        <c:axPos val="b"/>
        <c:numFmt formatCode="General" sourceLinked="1"/>
        <c:majorTickMark val="out"/>
        <c:minorTickMark val="none"/>
        <c:tickLblPos val="nextTo"/>
        <c:txPr>
          <a:bodyPr/>
          <a:lstStyle/>
          <a:p>
            <a:pPr>
              <a:defRPr sz="1200"/>
            </a:pPr>
            <a:endParaRPr lang="en-US"/>
          </a:p>
        </c:txPr>
        <c:crossAx val="135596672"/>
        <c:crosses val="autoZero"/>
        <c:auto val="1"/>
        <c:lblAlgn val="ctr"/>
        <c:lblOffset val="100"/>
        <c:noMultiLvlLbl val="0"/>
      </c:catAx>
      <c:valAx>
        <c:axId val="135596672"/>
        <c:scaling>
          <c:orientation val="minMax"/>
          <c:max val="1000"/>
          <c:min val="0"/>
        </c:scaling>
        <c:delete val="0"/>
        <c:axPos val="l"/>
        <c:majorGridlines/>
        <c:title>
          <c:tx>
            <c:rich>
              <a:bodyPr rot="-5400000" vert="horz"/>
              <a:lstStyle/>
              <a:p>
                <a:pPr>
                  <a:defRPr sz="1400"/>
                </a:pPr>
                <a:r>
                  <a:rPr lang="en-US" sz="1400"/>
                  <a:t>A.S.P.s</a:t>
                </a:r>
              </a:p>
            </c:rich>
          </c:tx>
          <c:layout>
            <c:manualLayout>
              <c:xMode val="edge"/>
              <c:yMode val="edge"/>
              <c:x val="4.1663429101162055E-3"/>
              <c:y val="0.38845680215320644"/>
            </c:manualLayout>
          </c:layout>
          <c:overlay val="0"/>
        </c:title>
        <c:numFmt formatCode="&quot;$&quot;#,##0" sourceLinked="0"/>
        <c:majorTickMark val="out"/>
        <c:minorTickMark val="none"/>
        <c:tickLblPos val="nextTo"/>
        <c:txPr>
          <a:bodyPr/>
          <a:lstStyle/>
          <a:p>
            <a:pPr>
              <a:defRPr sz="1200"/>
            </a:pPr>
            <a:endParaRPr lang="en-US"/>
          </a:p>
        </c:txPr>
        <c:crossAx val="135595136"/>
        <c:crosses val="autoZero"/>
        <c:crossBetween val="between"/>
      </c:valAx>
    </c:plotArea>
    <c:legend>
      <c:legendPos val="t"/>
      <c:layout>
        <c:manualLayout>
          <c:xMode val="edge"/>
          <c:yMode val="edge"/>
          <c:x val="0.65563143134260815"/>
          <c:y val="9.5933234399252248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Summary!$B$541</c:f>
              <c:strCache>
                <c:ptCount val="1"/>
                <c:pt idx="0">
                  <c:v>100G SR4 </c:v>
                </c:pt>
              </c:strCache>
            </c:strRef>
          </c:tx>
          <c:cat>
            <c:numRef>
              <c:f>Summary!$C$540:$M$540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Summary!$C$541:$M$541</c:f>
              <c:numCache>
                <c:formatCode>_("$"* #,##0_);_("$"* \(#,##0\);_("$"* "-"??_);_(@_)</c:formatCode>
                <c:ptCount val="11"/>
                <c:pt idx="0">
                  <c:v>72.281363999999996</c:v>
                </c:pt>
                <c:pt idx="1">
                  <c:v>113.36232738072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4AF-4145-A2BA-302D07AC74A2}"/>
            </c:ext>
          </c:extLst>
        </c:ser>
        <c:ser>
          <c:idx val="2"/>
          <c:order val="1"/>
          <c:tx>
            <c:strRef>
              <c:f>Summary!$B$542</c:f>
              <c:strCache>
                <c:ptCount val="1"/>
                <c:pt idx="0">
                  <c:v>100G PSM4 </c:v>
                </c:pt>
              </c:strCache>
            </c:strRef>
          </c:tx>
          <c:cat>
            <c:numRef>
              <c:f>Summary!$C$540:$M$540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Summary!$C$542:$M$542</c:f>
              <c:numCache>
                <c:formatCode>_("$"* #,##0_);_("$"* \(#,##0\);_("$"* "-"??_);_(@_)</c:formatCode>
                <c:ptCount val="11"/>
                <c:pt idx="0">
                  <c:v>67.773890240000014</c:v>
                </c:pt>
                <c:pt idx="1">
                  <c:v>158.09400299999999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4AF-4145-A2BA-302D07AC74A2}"/>
            </c:ext>
          </c:extLst>
        </c:ser>
        <c:ser>
          <c:idx val="3"/>
          <c:order val="2"/>
          <c:tx>
            <c:strRef>
              <c:f>Summary!$B$543</c:f>
              <c:strCache>
                <c:ptCount val="1"/>
                <c:pt idx="0">
                  <c:v>100G DR1 and FR1</c:v>
                </c:pt>
              </c:strCache>
            </c:strRef>
          </c:tx>
          <c:marker>
            <c:symbol val="square"/>
            <c:size val="5"/>
          </c:marker>
          <c:cat>
            <c:numRef>
              <c:f>Summary!$C$540:$M$540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Summary!$C$543:$M$543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4AF-4145-A2BA-302D07AC74A2}"/>
            </c:ext>
          </c:extLst>
        </c:ser>
        <c:ser>
          <c:idx val="9"/>
          <c:order val="3"/>
          <c:tx>
            <c:strRef>
              <c:f>Summary!$B$544</c:f>
              <c:strCache>
                <c:ptCount val="1"/>
                <c:pt idx="0">
                  <c:v>100G CWDM4 </c:v>
                </c:pt>
              </c:strCache>
            </c:strRef>
          </c:tx>
          <c:cat>
            <c:numRef>
              <c:f>Summary!$C$540:$M$540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Summary!$C$544:$M$544</c:f>
              <c:numCache>
                <c:formatCode>_("$"* #,##0_);_("$"* \(#,##0\);_("$"* "-"??_);_(@_)</c:formatCode>
                <c:ptCount val="11"/>
                <c:pt idx="0">
                  <c:v>80.691629999999989</c:v>
                </c:pt>
                <c:pt idx="1">
                  <c:v>497.91453000000001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4AF-4145-A2BA-302D07AC74A2}"/>
            </c:ext>
          </c:extLst>
        </c:ser>
        <c:ser>
          <c:idx val="6"/>
          <c:order val="4"/>
          <c:tx>
            <c:strRef>
              <c:f>Summary!$B$545</c:f>
              <c:strCache>
                <c:ptCount val="1"/>
                <c:pt idx="0">
                  <c:v>100G LR4 and LR1</c:v>
                </c:pt>
              </c:strCache>
            </c:strRef>
          </c:tx>
          <c:cat>
            <c:numRef>
              <c:f>Summary!$C$540:$M$540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Summary!$C$545:$M$545</c:f>
              <c:numCache>
                <c:formatCode>_("$"* #,##0_);_("$"* \(#,##0\);_("$"* "-"??_);_(@_)</c:formatCode>
                <c:ptCount val="11"/>
                <c:pt idx="0">
                  <c:v>175.29210971636297</c:v>
                </c:pt>
                <c:pt idx="1">
                  <c:v>434.82240000000002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5729152"/>
        <c:axId val="135730688"/>
      </c:lineChart>
      <c:catAx>
        <c:axId val="135729152"/>
        <c:scaling>
          <c:orientation val="minMax"/>
        </c:scaling>
        <c:delete val="0"/>
        <c:axPos val="b"/>
        <c:numFmt formatCode="General" sourceLinked="1"/>
        <c:majorTickMark val="out"/>
        <c:minorTickMark val="none"/>
        <c:tickLblPos val="nextTo"/>
        <c:txPr>
          <a:bodyPr/>
          <a:lstStyle/>
          <a:p>
            <a:pPr>
              <a:defRPr sz="1200"/>
            </a:pPr>
            <a:endParaRPr lang="en-US"/>
          </a:p>
        </c:txPr>
        <c:crossAx val="135730688"/>
        <c:crosses val="autoZero"/>
        <c:auto val="1"/>
        <c:lblAlgn val="ctr"/>
        <c:lblOffset val="100"/>
        <c:noMultiLvlLbl val="0"/>
      </c:catAx>
      <c:valAx>
        <c:axId val="135730688"/>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mn)</a:t>
                </a:r>
                <a:endParaRPr lang="en-US" sz="1400"/>
              </a:p>
            </c:rich>
          </c:tx>
          <c:layout>
            <c:manualLayout>
              <c:xMode val="edge"/>
              <c:yMode val="edge"/>
              <c:x val="1.0075156952235971E-2"/>
              <c:y val="0.26658162727267359"/>
            </c:manualLayout>
          </c:layout>
          <c:overlay val="0"/>
        </c:title>
        <c:numFmt formatCode="&quot;$&quot;#,##0" sourceLinked="0"/>
        <c:majorTickMark val="out"/>
        <c:minorTickMark val="none"/>
        <c:tickLblPos val="nextTo"/>
        <c:txPr>
          <a:bodyPr/>
          <a:lstStyle/>
          <a:p>
            <a:pPr>
              <a:defRPr sz="1200"/>
            </a:pPr>
            <a:endParaRPr lang="en-US"/>
          </a:p>
        </c:txPr>
        <c:crossAx val="135729152"/>
        <c:crosses val="autoZero"/>
        <c:crossBetween val="between"/>
      </c:valAx>
    </c:plotArea>
    <c:legend>
      <c:legendPos val="t"/>
      <c:layout>
        <c:manualLayout>
          <c:xMode val="edge"/>
          <c:yMode val="edge"/>
          <c:x val="0.71210960078701879"/>
          <c:y val="4.4779436723704359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Summary!$B$722</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Summary!$G$721:$M$721</c:f>
              <c:numCache>
                <c:formatCode>General</c:formatCode>
                <c:ptCount val="7"/>
                <c:pt idx="0">
                  <c:v>2020</c:v>
                </c:pt>
                <c:pt idx="1">
                  <c:v>2021</c:v>
                </c:pt>
                <c:pt idx="2">
                  <c:v>2022</c:v>
                </c:pt>
                <c:pt idx="3">
                  <c:v>2023</c:v>
                </c:pt>
                <c:pt idx="4">
                  <c:v>2024</c:v>
                </c:pt>
                <c:pt idx="5">
                  <c:v>2025</c:v>
                </c:pt>
                <c:pt idx="6">
                  <c:v>2026</c:v>
                </c:pt>
              </c:numCache>
            </c:numRef>
          </c:cat>
          <c:val>
            <c:numRef>
              <c:f>Summary!$G$722:$M$722</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0-DCD4-1B4A-BF00-DACF0025900F}"/>
            </c:ext>
          </c:extLst>
        </c:ser>
        <c:ser>
          <c:idx val="0"/>
          <c:order val="1"/>
          <c:tx>
            <c:strRef>
              <c:f>Summary!$B$723</c:f>
              <c:strCache>
                <c:ptCount val="1"/>
                <c:pt idx="0">
                  <c:v>1.6T DR8_500 m_OSFP-XD and TBD</c:v>
                </c:pt>
              </c:strCache>
            </c:strRef>
          </c:tx>
          <c:cat>
            <c:numRef>
              <c:f>Summary!$G$721:$M$721</c:f>
              <c:numCache>
                <c:formatCode>General</c:formatCode>
                <c:ptCount val="7"/>
                <c:pt idx="0">
                  <c:v>2020</c:v>
                </c:pt>
                <c:pt idx="1">
                  <c:v>2021</c:v>
                </c:pt>
                <c:pt idx="2">
                  <c:v>2022</c:v>
                </c:pt>
                <c:pt idx="3">
                  <c:v>2023</c:v>
                </c:pt>
                <c:pt idx="4">
                  <c:v>2024</c:v>
                </c:pt>
                <c:pt idx="5">
                  <c:v>2025</c:v>
                </c:pt>
                <c:pt idx="6">
                  <c:v>2026</c:v>
                </c:pt>
              </c:numCache>
            </c:numRef>
          </c:cat>
          <c:val>
            <c:numRef>
              <c:f>Summary!$G$723:$M$723</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1-DCD4-1B4A-BF00-DACF0025900F}"/>
            </c:ext>
          </c:extLst>
        </c:ser>
        <c:ser>
          <c:idx val="1"/>
          <c:order val="2"/>
          <c:tx>
            <c:strRef>
              <c:f>Summary!$B$724</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Summary!$G$721:$M$721</c:f>
              <c:numCache>
                <c:formatCode>General</c:formatCode>
                <c:ptCount val="7"/>
                <c:pt idx="0">
                  <c:v>2020</c:v>
                </c:pt>
                <c:pt idx="1">
                  <c:v>2021</c:v>
                </c:pt>
                <c:pt idx="2">
                  <c:v>2022</c:v>
                </c:pt>
                <c:pt idx="3">
                  <c:v>2023</c:v>
                </c:pt>
                <c:pt idx="4">
                  <c:v>2024</c:v>
                </c:pt>
                <c:pt idx="5">
                  <c:v>2025</c:v>
                </c:pt>
                <c:pt idx="6">
                  <c:v>2026</c:v>
                </c:pt>
              </c:numCache>
            </c:numRef>
          </c:cat>
          <c:val>
            <c:numRef>
              <c:f>Summary!$G$724:$M$724</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2-DCD4-1B4A-BF00-DACF0025900F}"/>
            </c:ext>
          </c:extLst>
        </c:ser>
        <c:dLbls>
          <c:showLegendKey val="0"/>
          <c:showVal val="0"/>
          <c:showCatName val="0"/>
          <c:showSerName val="0"/>
          <c:showPercent val="0"/>
          <c:showBubbleSize val="0"/>
        </c:dLbls>
        <c:marker val="1"/>
        <c:smooth val="0"/>
        <c:axId val="135761920"/>
        <c:axId val="135763840"/>
      </c:lineChart>
      <c:catAx>
        <c:axId val="135761920"/>
        <c:scaling>
          <c:orientation val="minMax"/>
        </c:scaling>
        <c:delete val="0"/>
        <c:axPos val="b"/>
        <c:numFmt formatCode="General" sourceLinked="1"/>
        <c:majorTickMark val="out"/>
        <c:minorTickMark val="none"/>
        <c:tickLblPos val="nextTo"/>
        <c:txPr>
          <a:bodyPr/>
          <a:lstStyle/>
          <a:p>
            <a:pPr>
              <a:defRPr sz="1000"/>
            </a:pPr>
            <a:endParaRPr lang="en-US"/>
          </a:p>
        </c:txPr>
        <c:crossAx val="135763840"/>
        <c:crosses val="autoZero"/>
        <c:auto val="1"/>
        <c:lblAlgn val="ctr"/>
        <c:lblOffset val="100"/>
        <c:noMultiLvlLbl val="0"/>
      </c:catAx>
      <c:valAx>
        <c:axId val="135763840"/>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5761920"/>
        <c:crosses val="autoZero"/>
        <c:crossBetween val="between"/>
      </c:valAx>
    </c:plotArea>
    <c:legend>
      <c:legendPos val="t"/>
      <c:layout>
        <c:manualLayout>
          <c:xMode val="edge"/>
          <c:yMode val="edge"/>
          <c:x val="0.17532950011636667"/>
          <c:y val="6.8869471953289907E-2"/>
          <c:w val="0.49595437786734969"/>
          <c:h val="0.3063369298897229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4808094640299"/>
          <c:y val="4.7522815683520098E-2"/>
          <c:w val="0.65378166762576706"/>
          <c:h val="0.78416608000478838"/>
        </c:manualLayout>
      </c:layout>
      <c:lineChart>
        <c:grouping val="standard"/>
        <c:varyColors val="0"/>
        <c:ser>
          <c:idx val="0"/>
          <c:order val="0"/>
          <c:tx>
            <c:strRef>
              <c:f>Summary!$B$281</c:f>
              <c:strCache>
                <c:ptCount val="1"/>
                <c:pt idx="0">
                  <c:v>&lt;10G MMF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Summary!$C$281:$M$281</c:f>
              <c:numCache>
                <c:formatCode>_(* #,##0_);_(* \(#,##0\);_(* "-"??_);_(@_)</c:formatCode>
                <c:ptCount val="11"/>
                <c:pt idx="0">
                  <c:v>4496175.0999999996</c:v>
                </c:pt>
                <c:pt idx="1">
                  <c:v>4278484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A67-684C-A9F7-171CBA15FEFF}"/>
            </c:ext>
          </c:extLst>
        </c:ser>
        <c:ser>
          <c:idx val="1"/>
          <c:order val="1"/>
          <c:tx>
            <c:strRef>
              <c:f>Summary!$B$282</c:f>
              <c:strCache>
                <c:ptCount val="1"/>
                <c:pt idx="0">
                  <c:v>10G MMF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Summary!$C$282:$M$282</c:f>
              <c:numCache>
                <c:formatCode>_(* #,##0_);_(* \(#,##0\);_(* "-"??_);_(@_)</c:formatCode>
                <c:ptCount val="11"/>
                <c:pt idx="0">
                  <c:v>13000883.93</c:v>
                </c:pt>
                <c:pt idx="1">
                  <c:v>14702610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A67-684C-A9F7-171CBA15FEFF}"/>
            </c:ext>
          </c:extLst>
        </c:ser>
        <c:ser>
          <c:idx val="2"/>
          <c:order val="2"/>
          <c:tx>
            <c:strRef>
              <c:f>Summary!$B$283</c:f>
              <c:strCache>
                <c:ptCount val="1"/>
                <c:pt idx="0">
                  <c:v>25G MMF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Summary!$C$283:$M$283</c:f>
              <c:numCache>
                <c:formatCode>_(* #,##0_);_(* \(#,##0\);_(* "-"??_);_(@_)</c:formatCode>
                <c:ptCount val="11"/>
                <c:pt idx="0">
                  <c:v>306387</c:v>
                </c:pt>
                <c:pt idx="1">
                  <c:v>727839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BA67-684C-A9F7-171CBA15FEFF}"/>
            </c:ext>
          </c:extLst>
        </c:ser>
        <c:ser>
          <c:idx val="3"/>
          <c:order val="3"/>
          <c:tx>
            <c:strRef>
              <c:f>Summary!$B$287</c:f>
              <c:strCache>
                <c:ptCount val="1"/>
                <c:pt idx="0">
                  <c:v>&lt;10G SMF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Summary!$C$287:$M$287</c:f>
              <c:numCache>
                <c:formatCode>_(* #,##0_);_(* \(#,##0\);_(* "-"??_);_(@_)</c:formatCode>
                <c:ptCount val="11"/>
                <c:pt idx="0">
                  <c:v>9071235.0050000008</c:v>
                </c:pt>
                <c:pt idx="1">
                  <c:v>6995211.0500000007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A67-684C-A9F7-171CBA15FEFF}"/>
            </c:ext>
          </c:extLst>
        </c:ser>
        <c:ser>
          <c:idx val="4"/>
          <c:order val="4"/>
          <c:tx>
            <c:strRef>
              <c:f>Summary!$B$288</c:f>
              <c:strCache>
                <c:ptCount val="1"/>
                <c:pt idx="0">
                  <c:v>10G SMF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Summary!$C$288:$M$288</c:f>
              <c:numCache>
                <c:formatCode>_(* #,##0_);_(* \(#,##0\);_(* "-"??_);_(@_)</c:formatCode>
                <c:ptCount val="11"/>
                <c:pt idx="0">
                  <c:v>8669003</c:v>
                </c:pt>
                <c:pt idx="1">
                  <c:v>9106572.0999999996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BA67-684C-A9F7-171CBA15FEFF}"/>
            </c:ext>
          </c:extLst>
        </c:ser>
        <c:ser>
          <c:idx val="5"/>
          <c:order val="5"/>
          <c:tx>
            <c:strRef>
              <c:f>Summary!$B$289</c:f>
              <c:strCache>
                <c:ptCount val="1"/>
                <c:pt idx="0">
                  <c:v>25G SMF</c:v>
                </c:pt>
              </c:strCache>
            </c:strRef>
          </c:tx>
          <c:marker>
            <c:symbol val="none"/>
          </c:marker>
          <c:cat>
            <c:numRef>
              <c:f>Summary!$C$280:$M$280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Summary!$C$289:$M$289</c:f>
              <c:numCache>
                <c:formatCode>_(* #,##0_);_(* \(#,##0\);_(* "-"??_);_(@_)</c:formatCode>
                <c:ptCount val="11"/>
                <c:pt idx="0">
                  <c:v>624677</c:v>
                </c:pt>
                <c:pt idx="1">
                  <c:v>2266978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BA67-684C-A9F7-171CBA15FEFF}"/>
            </c:ext>
          </c:extLst>
        </c:ser>
        <c:dLbls>
          <c:showLegendKey val="0"/>
          <c:showVal val="0"/>
          <c:showCatName val="0"/>
          <c:showSerName val="0"/>
          <c:showPercent val="0"/>
          <c:showBubbleSize val="0"/>
        </c:dLbls>
        <c:smooth val="0"/>
        <c:axId val="132058496"/>
        <c:axId val="132068480"/>
      </c:lineChart>
      <c:catAx>
        <c:axId val="132058496"/>
        <c:scaling>
          <c:orientation val="minMax"/>
        </c:scaling>
        <c:delete val="0"/>
        <c:axPos val="b"/>
        <c:numFmt formatCode="General" sourceLinked="1"/>
        <c:majorTickMark val="out"/>
        <c:minorTickMark val="none"/>
        <c:tickLblPos val="nextTo"/>
        <c:txPr>
          <a:bodyPr/>
          <a:lstStyle/>
          <a:p>
            <a:pPr>
              <a:defRPr sz="1200"/>
            </a:pPr>
            <a:endParaRPr lang="en-US"/>
          </a:p>
        </c:txPr>
        <c:crossAx val="132068480"/>
        <c:crosses val="autoZero"/>
        <c:auto val="1"/>
        <c:lblAlgn val="ctr"/>
        <c:lblOffset val="100"/>
        <c:noMultiLvlLbl val="0"/>
      </c:catAx>
      <c:valAx>
        <c:axId val="132068480"/>
        <c:scaling>
          <c:orientation val="minMax"/>
        </c:scaling>
        <c:delete val="0"/>
        <c:axPos val="l"/>
        <c:majorGridlines/>
        <c:title>
          <c:tx>
            <c:rich>
              <a:bodyPr rot="-5400000" vert="horz"/>
              <a:lstStyle/>
              <a:p>
                <a:pPr>
                  <a:defRPr sz="1400"/>
                </a:pPr>
                <a:r>
                  <a:rPr lang="en-US" sz="1400"/>
                  <a:t>Annual shipments</a:t>
                </a:r>
              </a:p>
            </c:rich>
          </c:tx>
          <c:overlay val="0"/>
        </c:title>
        <c:numFmt formatCode="_(* #,##0_);_(* \(#,##0\);_(* &quot;-&quot;??_);_(@_)" sourceLinked="1"/>
        <c:majorTickMark val="out"/>
        <c:minorTickMark val="none"/>
        <c:tickLblPos val="nextTo"/>
        <c:crossAx val="132058496"/>
        <c:crosses val="autoZero"/>
        <c:crossBetween val="between"/>
      </c:valAx>
    </c:plotArea>
    <c:legend>
      <c:legendPos val="r"/>
      <c:layout>
        <c:manualLayout>
          <c:xMode val="edge"/>
          <c:yMode val="edge"/>
          <c:x val="0.82520750123625797"/>
          <c:y val="0.12970309109623801"/>
          <c:w val="0.163198295865191"/>
          <c:h val="0.7106312760402799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6.190251394785997E-2"/>
          <c:w val="0.83393308477067707"/>
          <c:h val="0.80162524905012333"/>
        </c:manualLayout>
      </c:layout>
      <c:lineChart>
        <c:grouping val="standard"/>
        <c:varyColors val="0"/>
        <c:ser>
          <c:idx val="2"/>
          <c:order val="0"/>
          <c:tx>
            <c:strRef>
              <c:f>Summary!$B$729</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Summary!$H$728:$M$728</c:f>
              <c:numCache>
                <c:formatCode>General</c:formatCode>
                <c:ptCount val="6"/>
                <c:pt idx="0">
                  <c:v>2021</c:v>
                </c:pt>
                <c:pt idx="1">
                  <c:v>2022</c:v>
                </c:pt>
                <c:pt idx="2">
                  <c:v>2023</c:v>
                </c:pt>
                <c:pt idx="3">
                  <c:v>2024</c:v>
                </c:pt>
                <c:pt idx="4">
                  <c:v>2025</c:v>
                </c:pt>
                <c:pt idx="5">
                  <c:v>2026</c:v>
                </c:pt>
              </c:numCache>
            </c:numRef>
          </c:cat>
          <c:val>
            <c:numRef>
              <c:f>Summary!$H$729:$M$729</c:f>
              <c:numCache>
                <c:formatCode>_("$"* #,##0_);_("$"* \(#,##0\);_("$"* "-"??_);_(@_)</c:formatCode>
                <c:ptCount val="6"/>
                <c:pt idx="3">
                  <c:v>0</c:v>
                </c:pt>
                <c:pt idx="4">
                  <c:v>0</c:v>
                </c:pt>
                <c:pt idx="5">
                  <c:v>0</c:v>
                </c:pt>
              </c:numCache>
            </c:numRef>
          </c:val>
          <c:smooth val="0"/>
          <c:extLst>
            <c:ext xmlns:c16="http://schemas.microsoft.com/office/drawing/2014/chart" uri="{C3380CC4-5D6E-409C-BE32-E72D297353CC}">
              <c16:uniqueId val="{00000000-28FB-3C42-9AE7-8CFF292F800D}"/>
            </c:ext>
          </c:extLst>
        </c:ser>
        <c:ser>
          <c:idx val="0"/>
          <c:order val="1"/>
          <c:tx>
            <c:strRef>
              <c:f>Summary!$B$730</c:f>
              <c:strCache>
                <c:ptCount val="1"/>
                <c:pt idx="0">
                  <c:v>1.6T DR8_500 m_OSFP-XD and TBD</c:v>
                </c:pt>
              </c:strCache>
            </c:strRef>
          </c:tx>
          <c:cat>
            <c:numRef>
              <c:f>Summary!$H$728:$M$728</c:f>
              <c:numCache>
                <c:formatCode>General</c:formatCode>
                <c:ptCount val="6"/>
                <c:pt idx="0">
                  <c:v>2021</c:v>
                </c:pt>
                <c:pt idx="1">
                  <c:v>2022</c:v>
                </c:pt>
                <c:pt idx="2">
                  <c:v>2023</c:v>
                </c:pt>
                <c:pt idx="3">
                  <c:v>2024</c:v>
                </c:pt>
                <c:pt idx="4">
                  <c:v>2025</c:v>
                </c:pt>
                <c:pt idx="5">
                  <c:v>2026</c:v>
                </c:pt>
              </c:numCache>
            </c:numRef>
          </c:cat>
          <c:val>
            <c:numRef>
              <c:f>Summary!$H$730:$M$730</c:f>
              <c:numCache>
                <c:formatCode>_("$"* #,##0_);_("$"* \(#,##0\);_("$"* "-"??_);_(@_)</c:formatCode>
                <c:ptCount val="6"/>
                <c:pt idx="3">
                  <c:v>0</c:v>
                </c:pt>
                <c:pt idx="4">
                  <c:v>0</c:v>
                </c:pt>
                <c:pt idx="5">
                  <c:v>0</c:v>
                </c:pt>
              </c:numCache>
            </c:numRef>
          </c:val>
          <c:smooth val="0"/>
          <c:extLst>
            <c:ext xmlns:c16="http://schemas.microsoft.com/office/drawing/2014/chart" uri="{C3380CC4-5D6E-409C-BE32-E72D297353CC}">
              <c16:uniqueId val="{00000001-28FB-3C42-9AE7-8CFF292F800D}"/>
            </c:ext>
          </c:extLst>
        </c:ser>
        <c:ser>
          <c:idx val="1"/>
          <c:order val="2"/>
          <c:tx>
            <c:strRef>
              <c:f>Summary!$B$731</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Summary!$H$728:$M$728</c:f>
              <c:numCache>
                <c:formatCode>General</c:formatCode>
                <c:ptCount val="6"/>
                <c:pt idx="0">
                  <c:v>2021</c:v>
                </c:pt>
                <c:pt idx="1">
                  <c:v>2022</c:v>
                </c:pt>
                <c:pt idx="2">
                  <c:v>2023</c:v>
                </c:pt>
                <c:pt idx="3">
                  <c:v>2024</c:v>
                </c:pt>
                <c:pt idx="4">
                  <c:v>2025</c:v>
                </c:pt>
                <c:pt idx="5">
                  <c:v>2026</c:v>
                </c:pt>
              </c:numCache>
            </c:numRef>
          </c:cat>
          <c:val>
            <c:numRef>
              <c:f>Summary!$H$731:$M$731</c:f>
              <c:numCache>
                <c:formatCode>_("$"* #,##0_);_("$"* \(#,##0\);_("$"* "-"??_);_(@_)</c:formatCode>
                <c:ptCount val="6"/>
                <c:pt idx="3">
                  <c:v>0</c:v>
                </c:pt>
                <c:pt idx="4">
                  <c:v>0</c:v>
                </c:pt>
                <c:pt idx="5">
                  <c:v>0</c:v>
                </c:pt>
              </c:numCache>
            </c:numRef>
          </c:val>
          <c:smooth val="0"/>
          <c:extLst>
            <c:ext xmlns:c16="http://schemas.microsoft.com/office/drawing/2014/chart" uri="{C3380CC4-5D6E-409C-BE32-E72D297353CC}">
              <c16:uniqueId val="{00000002-28FB-3C42-9AE7-8CFF292F800D}"/>
            </c:ext>
          </c:extLst>
        </c:ser>
        <c:dLbls>
          <c:showLegendKey val="0"/>
          <c:showVal val="0"/>
          <c:showCatName val="0"/>
          <c:showSerName val="0"/>
          <c:showPercent val="0"/>
          <c:showBubbleSize val="0"/>
        </c:dLbls>
        <c:marker val="1"/>
        <c:smooth val="0"/>
        <c:axId val="136454528"/>
        <c:axId val="136456448"/>
      </c:lineChart>
      <c:catAx>
        <c:axId val="136454528"/>
        <c:scaling>
          <c:orientation val="minMax"/>
        </c:scaling>
        <c:delete val="0"/>
        <c:axPos val="b"/>
        <c:numFmt formatCode="General" sourceLinked="1"/>
        <c:majorTickMark val="out"/>
        <c:minorTickMark val="none"/>
        <c:tickLblPos val="nextTo"/>
        <c:txPr>
          <a:bodyPr/>
          <a:lstStyle/>
          <a:p>
            <a:pPr>
              <a:defRPr sz="1000"/>
            </a:pPr>
            <a:endParaRPr lang="en-US"/>
          </a:p>
        </c:txPr>
        <c:crossAx val="136456448"/>
        <c:crosses val="autoZero"/>
        <c:auto val="1"/>
        <c:lblAlgn val="ctr"/>
        <c:lblOffset val="100"/>
        <c:noMultiLvlLbl val="0"/>
      </c:catAx>
      <c:valAx>
        <c:axId val="136456448"/>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6454528"/>
        <c:crosses val="autoZero"/>
        <c:crossBetween val="between"/>
      </c:valAx>
    </c:plotArea>
    <c:legend>
      <c:legendPos val="t"/>
      <c:layout>
        <c:manualLayout>
          <c:xMode val="edge"/>
          <c:yMode val="edge"/>
          <c:x val="0.17062587393453732"/>
          <c:y val="0.54240357530002137"/>
          <c:w val="0.49689998706970323"/>
          <c:h val="0.280780654870928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Summary!$B$736</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Summary!$G$735:$M$735</c:f>
              <c:numCache>
                <c:formatCode>General</c:formatCode>
                <c:ptCount val="7"/>
                <c:pt idx="0">
                  <c:v>2020</c:v>
                </c:pt>
                <c:pt idx="1">
                  <c:v>2021</c:v>
                </c:pt>
                <c:pt idx="2">
                  <c:v>2022</c:v>
                </c:pt>
                <c:pt idx="3">
                  <c:v>2023</c:v>
                </c:pt>
                <c:pt idx="4">
                  <c:v>2024</c:v>
                </c:pt>
                <c:pt idx="5">
                  <c:v>2025</c:v>
                </c:pt>
                <c:pt idx="6">
                  <c:v>2026</c:v>
                </c:pt>
              </c:numCache>
            </c:numRef>
          </c:cat>
          <c:val>
            <c:numRef>
              <c:f>Summary!$G$736:$M$736</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0-5A8F-0344-B2CD-C518500A5542}"/>
            </c:ext>
          </c:extLst>
        </c:ser>
        <c:ser>
          <c:idx val="0"/>
          <c:order val="1"/>
          <c:tx>
            <c:strRef>
              <c:f>Summary!$B$737</c:f>
              <c:strCache>
                <c:ptCount val="1"/>
                <c:pt idx="0">
                  <c:v>1.6T DR8_500 m_OSFP-XD and TBD</c:v>
                </c:pt>
              </c:strCache>
            </c:strRef>
          </c:tx>
          <c:cat>
            <c:numRef>
              <c:f>Summary!$G$735:$M$735</c:f>
              <c:numCache>
                <c:formatCode>General</c:formatCode>
                <c:ptCount val="7"/>
                <c:pt idx="0">
                  <c:v>2020</c:v>
                </c:pt>
                <c:pt idx="1">
                  <c:v>2021</c:v>
                </c:pt>
                <c:pt idx="2">
                  <c:v>2022</c:v>
                </c:pt>
                <c:pt idx="3">
                  <c:v>2023</c:v>
                </c:pt>
                <c:pt idx="4">
                  <c:v>2024</c:v>
                </c:pt>
                <c:pt idx="5">
                  <c:v>2025</c:v>
                </c:pt>
                <c:pt idx="6">
                  <c:v>2026</c:v>
                </c:pt>
              </c:numCache>
            </c:numRef>
          </c:cat>
          <c:val>
            <c:numRef>
              <c:f>Summary!$G$737:$M$737</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1-5A8F-0344-B2CD-C518500A5542}"/>
            </c:ext>
          </c:extLst>
        </c:ser>
        <c:ser>
          <c:idx val="1"/>
          <c:order val="2"/>
          <c:tx>
            <c:strRef>
              <c:f>Summary!$B$738</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Summary!$G$735:$M$735</c:f>
              <c:numCache>
                <c:formatCode>General</c:formatCode>
                <c:ptCount val="7"/>
                <c:pt idx="0">
                  <c:v>2020</c:v>
                </c:pt>
                <c:pt idx="1">
                  <c:v>2021</c:v>
                </c:pt>
                <c:pt idx="2">
                  <c:v>2022</c:v>
                </c:pt>
                <c:pt idx="3">
                  <c:v>2023</c:v>
                </c:pt>
                <c:pt idx="4">
                  <c:v>2024</c:v>
                </c:pt>
                <c:pt idx="5">
                  <c:v>2025</c:v>
                </c:pt>
                <c:pt idx="6">
                  <c:v>2026</c:v>
                </c:pt>
              </c:numCache>
            </c:numRef>
          </c:cat>
          <c:val>
            <c:numRef>
              <c:f>Summary!$G$738:$M$738</c:f>
              <c:numCache>
                <c:formatCode>_("$"* #,##0_);_("$"* \(#,##0\);_("$"* "-"??_);_(@_)</c:formatCode>
                <c:ptCount val="7"/>
                <c:pt idx="4">
                  <c:v>0</c:v>
                </c:pt>
                <c:pt idx="5">
                  <c:v>0</c:v>
                </c:pt>
                <c:pt idx="6">
                  <c:v>0</c:v>
                </c:pt>
              </c:numCache>
            </c:numRef>
          </c:val>
          <c:smooth val="0"/>
          <c:extLst>
            <c:ext xmlns:c16="http://schemas.microsoft.com/office/drawing/2014/chart" uri="{C3380CC4-5D6E-409C-BE32-E72D297353CC}">
              <c16:uniqueId val="{00000002-5A8F-0344-B2CD-C518500A5542}"/>
            </c:ext>
          </c:extLst>
        </c:ser>
        <c:dLbls>
          <c:showLegendKey val="0"/>
          <c:showVal val="0"/>
          <c:showCatName val="0"/>
          <c:showSerName val="0"/>
          <c:showPercent val="0"/>
          <c:showBubbleSize val="0"/>
        </c:dLbls>
        <c:marker val="1"/>
        <c:smooth val="0"/>
        <c:axId val="130888448"/>
        <c:axId val="130890368"/>
      </c:lineChart>
      <c:catAx>
        <c:axId val="130888448"/>
        <c:scaling>
          <c:orientation val="minMax"/>
        </c:scaling>
        <c:delete val="0"/>
        <c:axPos val="b"/>
        <c:numFmt formatCode="General" sourceLinked="1"/>
        <c:majorTickMark val="out"/>
        <c:minorTickMark val="none"/>
        <c:tickLblPos val="nextTo"/>
        <c:txPr>
          <a:bodyPr/>
          <a:lstStyle/>
          <a:p>
            <a:pPr>
              <a:defRPr sz="1000"/>
            </a:pPr>
            <a:endParaRPr lang="en-US"/>
          </a:p>
        </c:txPr>
        <c:crossAx val="130890368"/>
        <c:crosses val="autoZero"/>
        <c:auto val="1"/>
        <c:lblAlgn val="ctr"/>
        <c:lblOffset val="100"/>
        <c:noMultiLvlLbl val="0"/>
      </c:catAx>
      <c:valAx>
        <c:axId val="130890368"/>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0888448"/>
        <c:crosses val="autoZero"/>
        <c:crossBetween val="between"/>
      </c:valAx>
    </c:plotArea>
    <c:legend>
      <c:legendPos val="t"/>
      <c:layout>
        <c:manualLayout>
          <c:xMode val="edge"/>
          <c:yMode val="edge"/>
          <c:x val="0.13432250966082437"/>
          <c:y val="4.9710763796812933E-2"/>
          <c:w val="0.54194027747577234"/>
          <c:h val="0.30690510428085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Dashboard!$E$31:$O$31</c:f>
              <c:numCache>
                <c:formatCode>_(* #,##0_);_(* \(#,##0\);_(* "-"??_);_(@_)</c:formatCode>
                <c:ptCount val="11"/>
                <c:pt idx="0">
                  <c:v>30525.800000000003</c:v>
                </c:pt>
                <c:pt idx="1">
                  <c:v>21446.800000000003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B7B-5640-977F-64B4885FA3CE}"/>
            </c:ext>
          </c:extLst>
        </c:ser>
        <c:dLbls>
          <c:showLegendKey val="0"/>
          <c:showVal val="0"/>
          <c:showCatName val="0"/>
          <c:showSerName val="0"/>
          <c:showPercent val="0"/>
          <c:showBubbleSize val="0"/>
        </c:dLbls>
        <c:gapWidth val="150"/>
        <c:axId val="136195456"/>
        <c:axId val="136209536"/>
      </c:barChart>
      <c:catAx>
        <c:axId val="136195456"/>
        <c:scaling>
          <c:orientation val="minMax"/>
        </c:scaling>
        <c:delete val="0"/>
        <c:axPos val="b"/>
        <c:numFmt formatCode="General" sourceLinked="1"/>
        <c:majorTickMark val="out"/>
        <c:minorTickMark val="none"/>
        <c:tickLblPos val="nextTo"/>
        <c:txPr>
          <a:bodyPr/>
          <a:lstStyle/>
          <a:p>
            <a:pPr>
              <a:defRPr sz="1100"/>
            </a:pPr>
            <a:endParaRPr lang="en-US"/>
          </a:p>
        </c:txPr>
        <c:crossAx val="136209536"/>
        <c:crosses val="autoZero"/>
        <c:auto val="1"/>
        <c:lblAlgn val="ctr"/>
        <c:lblOffset val="100"/>
        <c:noMultiLvlLbl val="0"/>
      </c:catAx>
      <c:valAx>
        <c:axId val="136209536"/>
        <c:scaling>
          <c:orientation val="minMax"/>
        </c:scaling>
        <c:delete val="0"/>
        <c:axPos val="l"/>
        <c:majorGridlines/>
        <c:numFmt formatCode="_(* #,##0_);_(* \(#,##0\);_(* &quot;-&quot;??_);_(@_)" sourceLinked="1"/>
        <c:majorTickMark val="out"/>
        <c:minorTickMark val="none"/>
        <c:tickLblPos val="nextTo"/>
        <c:crossAx val="1361954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Dashboard!$E$32:$O$32</c:f>
              <c:numCache>
                <c:formatCode>_("$"* #,##0_);_("$"* \(#,##0\);_("$"* "-"??_);_(@_)</c:formatCode>
                <c:ptCount val="11"/>
                <c:pt idx="0">
                  <c:v>202.96860771881492</c:v>
                </c:pt>
                <c:pt idx="1">
                  <c:v>139.47449702400385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4A6-2F43-A902-FD1B1BED9433}"/>
            </c:ext>
          </c:extLst>
        </c:ser>
        <c:dLbls>
          <c:showLegendKey val="0"/>
          <c:showVal val="0"/>
          <c:showCatName val="0"/>
          <c:showSerName val="0"/>
          <c:showPercent val="0"/>
          <c:showBubbleSize val="0"/>
        </c:dLbls>
        <c:gapWidth val="150"/>
        <c:axId val="136243456"/>
        <c:axId val="136245248"/>
      </c:barChart>
      <c:catAx>
        <c:axId val="136243456"/>
        <c:scaling>
          <c:orientation val="minMax"/>
        </c:scaling>
        <c:delete val="0"/>
        <c:axPos val="b"/>
        <c:numFmt formatCode="General" sourceLinked="1"/>
        <c:majorTickMark val="out"/>
        <c:minorTickMark val="none"/>
        <c:tickLblPos val="nextTo"/>
        <c:txPr>
          <a:bodyPr/>
          <a:lstStyle/>
          <a:p>
            <a:pPr>
              <a:defRPr sz="1100"/>
            </a:pPr>
            <a:endParaRPr lang="en-US"/>
          </a:p>
        </c:txPr>
        <c:crossAx val="136245248"/>
        <c:crosses val="autoZero"/>
        <c:auto val="1"/>
        <c:lblAlgn val="ctr"/>
        <c:lblOffset val="100"/>
        <c:noMultiLvlLbl val="0"/>
      </c:catAx>
      <c:valAx>
        <c:axId val="136245248"/>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362434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Dashboard!$E$30:$O$30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Dashboard!$E$33:$O$33</c:f>
              <c:numCache>
                <c:formatCode>_("$"* #,##0_);_("$"* \(#,##0\);_("$"* "-"??_);_(@_)</c:formatCode>
                <c:ptCount val="11"/>
                <c:pt idx="0">
                  <c:v>6.1957791255030008</c:v>
                </c:pt>
                <c:pt idx="1">
                  <c:v>2.9912816427744064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8EF-A746-9D94-DF4DD933684D}"/>
            </c:ext>
          </c:extLst>
        </c:ser>
        <c:dLbls>
          <c:showLegendKey val="0"/>
          <c:showVal val="0"/>
          <c:showCatName val="0"/>
          <c:showSerName val="0"/>
          <c:showPercent val="0"/>
          <c:showBubbleSize val="0"/>
        </c:dLbls>
        <c:gapWidth val="150"/>
        <c:axId val="136274304"/>
        <c:axId val="136275840"/>
      </c:barChart>
      <c:catAx>
        <c:axId val="136274304"/>
        <c:scaling>
          <c:orientation val="minMax"/>
        </c:scaling>
        <c:delete val="0"/>
        <c:axPos val="b"/>
        <c:numFmt formatCode="General" sourceLinked="1"/>
        <c:majorTickMark val="out"/>
        <c:minorTickMark val="none"/>
        <c:tickLblPos val="nextTo"/>
        <c:txPr>
          <a:bodyPr/>
          <a:lstStyle/>
          <a:p>
            <a:pPr>
              <a:defRPr sz="1100"/>
            </a:pPr>
            <a:endParaRPr lang="en-US"/>
          </a:p>
        </c:txPr>
        <c:crossAx val="136275840"/>
        <c:crosses val="autoZero"/>
        <c:auto val="1"/>
        <c:lblAlgn val="ctr"/>
        <c:lblOffset val="100"/>
        <c:noMultiLvlLbl val="0"/>
      </c:catAx>
      <c:valAx>
        <c:axId val="136275840"/>
        <c:scaling>
          <c:orientation val="minMax"/>
        </c:scaling>
        <c:delete val="0"/>
        <c:axPos val="l"/>
        <c:majorGridlines/>
        <c:numFmt formatCode="_(&quot;$&quot;* #,##0_);_(&quot;$&quot;* \(#,##0\);_(&quot;$&quot;* &quot;-&quot;??_);_(@_)" sourceLinked="1"/>
        <c:majorTickMark val="out"/>
        <c:minorTickMark val="none"/>
        <c:tickLblPos val="nextTo"/>
        <c:txPr>
          <a:bodyPr/>
          <a:lstStyle/>
          <a:p>
            <a:pPr>
              <a:defRPr sz="1100"/>
            </a:pPr>
            <a:endParaRPr lang="en-US"/>
          </a:p>
        </c:txPr>
        <c:crossAx val="136274304"/>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909917581493"/>
          <c:y val="8.2581983937649331E-2"/>
          <c:w val="0.80056916459295702"/>
          <c:h val="0.83145695333175107"/>
        </c:manualLayout>
      </c:layout>
      <c:barChart>
        <c:barDir val="col"/>
        <c:grouping val="stacked"/>
        <c:varyColors val="0"/>
        <c:ser>
          <c:idx val="0"/>
          <c:order val="0"/>
          <c:tx>
            <c:strRef>
              <c:f>'112 Adoption'!$B$30</c:f>
              <c:strCache>
                <c:ptCount val="1"/>
                <c:pt idx="0">
                  <c:v>100G QSFP28</c:v>
                </c:pt>
              </c:strCache>
            </c:strRef>
          </c:tx>
          <c:spPr>
            <a:solidFill>
              <a:schemeClr val="accent1"/>
            </a:solidFill>
            <a:ln>
              <a:noFill/>
            </a:ln>
            <a:effectLst/>
          </c:spPr>
          <c:invertIfNegative val="0"/>
          <c:cat>
            <c:numRef>
              <c:f>'112 Adoption'!$C$29:$M$29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'112 Adoption'!$C$30:$M$30</c:f>
              <c:numCache>
                <c:formatCode>_(* #,##0_);_(* \(#,##0\);_(* "-"??_);_(@_)</c:formatCode>
                <c:ptCount val="11"/>
                <c:pt idx="0">
                  <c:v>370501</c:v>
                </c:pt>
                <c:pt idx="1">
                  <c:v>985144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B57-9941-B42E-300DD673EA5D}"/>
            </c:ext>
          </c:extLst>
        </c:ser>
        <c:ser>
          <c:idx val="1"/>
          <c:order val="1"/>
          <c:tx>
            <c:strRef>
              <c:f>'112 Adoption'!$B$31</c:f>
              <c:strCache>
                <c:ptCount val="1"/>
                <c:pt idx="0">
                  <c:v>100G SFP112</c:v>
                </c:pt>
              </c:strCache>
            </c:strRef>
          </c:tx>
          <c:spPr>
            <a:solidFill>
              <a:schemeClr val="accent2"/>
            </a:solidFill>
            <a:ln>
              <a:noFill/>
            </a:ln>
            <a:effectLst/>
          </c:spPr>
          <c:invertIfNegative val="0"/>
          <c:cat>
            <c:numRef>
              <c:f>'112 Adoption'!$C$29:$M$29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'112 Adoption'!$C$31:$M$31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B57-9941-B42E-300DD673EA5D}"/>
            </c:ext>
          </c:extLst>
        </c:ser>
        <c:dLbls>
          <c:showLegendKey val="0"/>
          <c:showVal val="0"/>
          <c:showCatName val="0"/>
          <c:showSerName val="0"/>
          <c:showPercent val="0"/>
          <c:showBubbleSize val="0"/>
        </c:dLbls>
        <c:gapWidth val="150"/>
        <c:overlap val="100"/>
        <c:axId val="131218432"/>
        <c:axId val="131224320"/>
      </c:barChart>
      <c:catAx>
        <c:axId val="13121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1224320"/>
        <c:crosses val="autoZero"/>
        <c:auto val="1"/>
        <c:lblAlgn val="ctr"/>
        <c:lblOffset val="100"/>
        <c:noMultiLvlLbl val="0"/>
      </c:catAx>
      <c:valAx>
        <c:axId val="131224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4763473006121557E-2"/>
              <c:y val="0.294153718378204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1218432"/>
        <c:crosses val="autoZero"/>
        <c:crossBetween val="between"/>
        <c:majorUnit val="5000000"/>
      </c:valAx>
      <c:spPr>
        <a:noFill/>
        <a:ln>
          <a:noFill/>
        </a:ln>
        <a:effectLst/>
      </c:spPr>
    </c:plotArea>
    <c:legend>
      <c:legendPos val="b"/>
      <c:layout>
        <c:manualLayout>
          <c:xMode val="edge"/>
          <c:yMode val="edge"/>
          <c:x val="0.18984843551388503"/>
          <c:y val="0.12775113019022094"/>
          <c:w val="0.46237687010590256"/>
          <c:h val="9.584500891675289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99455050571854"/>
          <c:y val="7.8421321916405162E-2"/>
          <c:w val="0.80524360070074441"/>
          <c:h val="0.83561762868904732"/>
        </c:manualLayout>
      </c:layout>
      <c:barChart>
        <c:barDir val="col"/>
        <c:grouping val="stacked"/>
        <c:varyColors val="0"/>
        <c:ser>
          <c:idx val="0"/>
          <c:order val="0"/>
          <c:tx>
            <c:strRef>
              <c:f>'112 Adoption'!$S$30</c:f>
              <c:strCache>
                <c:ptCount val="1"/>
                <c:pt idx="0">
                  <c:v>400G QSFP-DD/OSFP</c:v>
                </c:pt>
              </c:strCache>
            </c:strRef>
          </c:tx>
          <c:spPr>
            <a:solidFill>
              <a:schemeClr val="accent1"/>
            </a:solidFill>
            <a:ln>
              <a:noFill/>
            </a:ln>
            <a:effectLst/>
          </c:spPr>
          <c:invertIfNegative val="0"/>
          <c:cat>
            <c:numRef>
              <c:f>'112 Adoption'!$T$29:$AD$29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'112 Adoption'!$T$30:$AD$30</c:f>
              <c:numCache>
                <c:formatCode>_(* #,##0_);_(* \(#,##0\);_(* "-"??_);_(@_)</c:formatCode>
                <c:ptCount val="11"/>
                <c:pt idx="0">
                  <c:v>0</c:v>
                </c:pt>
                <c:pt idx="1">
                  <c:v>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441-D04E-AC2F-F514AB5AB329}"/>
            </c:ext>
          </c:extLst>
        </c:ser>
        <c:ser>
          <c:idx val="1"/>
          <c:order val="1"/>
          <c:tx>
            <c:strRef>
              <c:f>'112 Adoption'!$S$31</c:f>
              <c:strCache>
                <c:ptCount val="1"/>
                <c:pt idx="0">
                  <c:v>400G QSFP112</c:v>
                </c:pt>
              </c:strCache>
            </c:strRef>
          </c:tx>
          <c:spPr>
            <a:solidFill>
              <a:schemeClr val="accent2"/>
            </a:solidFill>
            <a:ln>
              <a:noFill/>
            </a:ln>
            <a:effectLst/>
          </c:spPr>
          <c:invertIfNegative val="0"/>
          <c:cat>
            <c:numRef>
              <c:f>'112 Adoption'!$T$29:$AD$29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'112 Adoption'!$T$31:$AD$31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441-D04E-AC2F-F514AB5AB329}"/>
            </c:ext>
          </c:extLst>
        </c:ser>
        <c:dLbls>
          <c:showLegendKey val="0"/>
          <c:showVal val="0"/>
          <c:showCatName val="0"/>
          <c:showSerName val="0"/>
          <c:showPercent val="0"/>
          <c:showBubbleSize val="0"/>
        </c:dLbls>
        <c:gapWidth val="150"/>
        <c:overlap val="100"/>
        <c:axId val="131267200"/>
        <c:axId val="136929664"/>
      </c:barChart>
      <c:catAx>
        <c:axId val="13126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6929664"/>
        <c:crosses val="autoZero"/>
        <c:auto val="1"/>
        <c:lblAlgn val="ctr"/>
        <c:lblOffset val="100"/>
        <c:noMultiLvlLbl val="0"/>
      </c:catAx>
      <c:valAx>
        <c:axId val="13692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8733305876996963E-2"/>
              <c:y val="0.283456736833552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1267200"/>
        <c:crosses val="autoZero"/>
        <c:crossBetween val="between"/>
      </c:valAx>
      <c:spPr>
        <a:noFill/>
        <a:ln>
          <a:noFill/>
        </a:ln>
        <a:effectLst/>
      </c:spPr>
    </c:plotArea>
    <c:legend>
      <c:legendPos val="b"/>
      <c:layout>
        <c:manualLayout>
          <c:xMode val="edge"/>
          <c:yMode val="edge"/>
          <c:x val="0.17626273340659526"/>
          <c:y val="0.12413337051698345"/>
          <c:w val="0.5493001622789454"/>
          <c:h val="8.14968378297587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(linear scale)</a:t>
            </a:r>
          </a:p>
        </c:rich>
      </c:tx>
      <c:overlay val="0"/>
    </c:title>
    <c:autoTitleDeleted val="0"/>
    <c:plotArea>
      <c:layout/>
      <c:lineChart>
        <c:grouping val="standard"/>
        <c:varyColors val="0"/>
        <c:ser>
          <c:idx val="1"/>
          <c:order val="0"/>
          <c:tx>
            <c:strRef>
              <c:f>'Cost per Gbps'!$D$35</c:f>
              <c:strCache>
                <c:ptCount val="1"/>
                <c:pt idx="0">
                  <c:v>1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Gbps'!$E$35:$U$35</c:f>
              <c:numCache>
                <c:formatCode>_("$"* #,##0_);_("$"* \(#,##0\);_("$"* "-"??_);_(@_)</c:formatCode>
                <c:ptCount val="17"/>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476F-BB45-9EB4-52EF862F6C10}"/>
            </c:ext>
          </c:extLst>
        </c:ser>
        <c:ser>
          <c:idx val="2"/>
          <c:order val="1"/>
          <c:tx>
            <c:strRef>
              <c:f>'Cost per Gbps'!$D$36</c:f>
              <c:strCache>
                <c:ptCount val="1"/>
                <c:pt idx="0">
                  <c:v>10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Gbps'!$E$36:$U$36</c:f>
              <c:numCache>
                <c:formatCode>_("$"* #,##0_);_("$"* \(#,##0\);_("$"* "-"??_);_(@_)</c:formatCode>
                <c:ptCount val="17"/>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1-476F-BB45-9EB4-52EF862F6C10}"/>
            </c:ext>
          </c:extLst>
        </c:ser>
        <c:ser>
          <c:idx val="5"/>
          <c:order val="2"/>
          <c:tx>
            <c:strRef>
              <c:f>'Cost per Gbps'!$D$37</c:f>
              <c:strCache>
                <c:ptCount val="1"/>
                <c:pt idx="0">
                  <c:v>25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Gbps'!$E$37:$U$37</c:f>
              <c:numCache>
                <c:formatCode>_("$"* #,##0_);_("$"* \(#,##0\);_("$"* "-"??_);_(@_)</c:formatCode>
                <c:ptCount val="17"/>
                <c:pt idx="6">
                  <c:v>11.671989054215837</c:v>
                </c:pt>
                <c:pt idx="7">
                  <c:v>6.7722873832058497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2-476F-BB45-9EB4-52EF862F6C10}"/>
            </c:ext>
          </c:extLst>
        </c:ser>
        <c:ser>
          <c:idx val="3"/>
          <c:order val="3"/>
          <c:tx>
            <c:strRef>
              <c:f>'Cost per Gbps'!$D$38</c:f>
              <c:strCache>
                <c:ptCount val="1"/>
                <c:pt idx="0">
                  <c:v>40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Gbps'!$E$38:$S$38</c:f>
              <c:numCache>
                <c:formatCode>_("$"* #,##0_);_("$"* \(#,##0\);_("$"* "-"??_);_(@_)</c:formatCode>
                <c:ptCount val="15"/>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3-476F-BB45-9EB4-52EF862F6C10}"/>
            </c:ext>
          </c:extLst>
        </c:ser>
        <c:ser>
          <c:idx val="7"/>
          <c:order val="4"/>
          <c:tx>
            <c:strRef>
              <c:f>'Cost per Gbps'!$D$39</c:f>
              <c:strCache>
                <c:ptCount val="1"/>
                <c:pt idx="0">
                  <c:v>50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Gbps'!$E$39:$S$39</c:f>
              <c:numCache>
                <c:formatCode>_("$"* #,##0_);_("$"* \(#,##0\);_("$"* "-"??_);_(@_)</c:formatCode>
                <c:ptCount val="15"/>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4-476F-BB45-9EB4-52EF862F6C10}"/>
            </c:ext>
          </c:extLst>
        </c:ser>
        <c:ser>
          <c:idx val="4"/>
          <c:order val="5"/>
          <c:tx>
            <c:strRef>
              <c:f>'Cost per Gbps'!$D$40</c:f>
              <c:strCache>
                <c:ptCount val="1"/>
                <c:pt idx="0">
                  <c:v>100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Gbps'!$E$40:$U$40</c:f>
              <c:numCache>
                <c:formatCode>_("$"* #,##0_);_("$"* \(#,##0\);_("$"* "-"??_);_(@_)</c:formatCode>
                <c:ptCount val="17"/>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5-476F-BB45-9EB4-52EF862F6C10}"/>
            </c:ext>
          </c:extLst>
        </c:ser>
        <c:ser>
          <c:idx val="8"/>
          <c:order val="6"/>
          <c:tx>
            <c:strRef>
              <c:f>'Cost per Gbps'!$D$41</c:f>
              <c:strCache>
                <c:ptCount val="1"/>
                <c:pt idx="0">
                  <c:v>200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Gbps'!$E$41:$U$41</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476F-BB45-9EB4-52EF862F6C10}"/>
            </c:ext>
          </c:extLst>
        </c:ser>
        <c:ser>
          <c:idx val="0"/>
          <c:order val="7"/>
          <c:tx>
            <c:strRef>
              <c:f>'Cost per Gbps'!$D$42</c:f>
              <c:strCache>
                <c:ptCount val="1"/>
                <c:pt idx="0">
                  <c:v>400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Gbps'!$E$42:$U$42</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84A9-1B4A-9B5E-0BCCAF04E2DC}"/>
            </c:ext>
          </c:extLst>
        </c:ser>
        <c:ser>
          <c:idx val="6"/>
          <c:order val="8"/>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Gbps'!$E$43:$U$43</c:f>
              <c:numCache>
                <c:formatCode>_("$"* #,##0_);_("$"* \(#,##0\);_("$"* "-"??_);_(@_)</c:formatCode>
                <c:ptCount val="17"/>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D9F2-7E40-947D-B4389C7322BD}"/>
            </c:ext>
          </c:extLst>
        </c:ser>
        <c:dLbls>
          <c:showLegendKey val="0"/>
          <c:showVal val="0"/>
          <c:showCatName val="0"/>
          <c:showSerName val="0"/>
          <c:showPercent val="0"/>
          <c:showBubbleSize val="0"/>
        </c:dLbls>
        <c:marker val="1"/>
        <c:smooth val="0"/>
        <c:axId val="137529984"/>
        <c:axId val="137531776"/>
      </c:lineChart>
      <c:catAx>
        <c:axId val="137529984"/>
        <c:scaling>
          <c:orientation val="minMax"/>
        </c:scaling>
        <c:delete val="0"/>
        <c:axPos val="b"/>
        <c:numFmt formatCode="General" sourceLinked="1"/>
        <c:majorTickMark val="out"/>
        <c:minorTickMark val="none"/>
        <c:tickLblPos val="nextTo"/>
        <c:crossAx val="137531776"/>
        <c:crosses val="autoZero"/>
        <c:auto val="1"/>
        <c:lblAlgn val="ctr"/>
        <c:lblOffset val="100"/>
        <c:noMultiLvlLbl val="0"/>
      </c:catAx>
      <c:valAx>
        <c:axId val="137531776"/>
        <c:scaling>
          <c:orientation val="minMax"/>
          <c:max val="30"/>
        </c:scaling>
        <c:delete val="0"/>
        <c:axPos val="l"/>
        <c:majorGridlines/>
        <c:numFmt formatCode="_(&quot;$&quot;* #,##0_);_(&quot;$&quot;* \(#,##0\);_(&quot;$&quot;* &quot;-&quot;??_);_(@_)" sourceLinked="1"/>
        <c:majorTickMark val="out"/>
        <c:minorTickMark val="none"/>
        <c:tickLblPos val="nextTo"/>
        <c:crossAx val="137529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overlay val="0"/>
    </c:title>
    <c:autoTitleDeleted val="0"/>
    <c:plotArea>
      <c:layout/>
      <c:lineChart>
        <c:grouping val="standard"/>
        <c:varyColors val="0"/>
        <c:ser>
          <c:idx val="0"/>
          <c:order val="0"/>
          <c:tx>
            <c:strRef>
              <c:f>'Cost per Gbps'!$D$44</c:f>
              <c:strCache>
                <c:ptCount val="1"/>
                <c:pt idx="0">
                  <c:v>Grand average</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Gbps'!$E$44:$U$44</c:f>
              <c:numCache>
                <c:formatCode>_("$"* #,##0.0_);_("$"* \(#,##0.0\);_("$"* "-"??_);_(@_)</c:formatCode>
                <c:ptCount val="17"/>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6.4437661546773315</c:v>
                </c:pt>
                <c:pt idx="7">
                  <c:v>4.8427153884449652</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37556736"/>
        <c:axId val="137558272"/>
      </c:lineChart>
      <c:catAx>
        <c:axId val="137556736"/>
        <c:scaling>
          <c:orientation val="minMax"/>
        </c:scaling>
        <c:delete val="0"/>
        <c:axPos val="b"/>
        <c:numFmt formatCode="General" sourceLinked="1"/>
        <c:majorTickMark val="out"/>
        <c:minorTickMark val="none"/>
        <c:tickLblPos val="nextTo"/>
        <c:crossAx val="137558272"/>
        <c:crosses val="autoZero"/>
        <c:auto val="1"/>
        <c:lblAlgn val="ctr"/>
        <c:lblOffset val="100"/>
        <c:noMultiLvlLbl val="0"/>
      </c:catAx>
      <c:valAx>
        <c:axId val="137558272"/>
        <c:scaling>
          <c:orientation val="minMax"/>
        </c:scaling>
        <c:delete val="0"/>
        <c:axPos val="l"/>
        <c:majorGridlines/>
        <c:numFmt formatCode="_(&quot;$&quot;* #,##0_);_(&quot;$&quot;* \(#,##0\);_(&quot;$&quot;* &quot;-&quot;_);_(@_)" sourceLinked="0"/>
        <c:majorTickMark val="out"/>
        <c:minorTickMark val="none"/>
        <c:tickLblPos val="nextTo"/>
        <c:crossAx val="137556736"/>
        <c:crosses val="autoZero"/>
        <c:crossBetween val="between"/>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Cost/Gbps: Ethernet Short Reach (MMF) by Data Rate</a:t>
            </a:r>
          </a:p>
          <a:p>
            <a:pPr>
              <a:defRPr sz="1600"/>
            </a:pPr>
            <a:r>
              <a:rPr lang="en-US" sz="1400" b="0"/>
              <a:t>(all form factors included)</a:t>
            </a:r>
          </a:p>
        </c:rich>
      </c:tx>
      <c:overlay val="0"/>
    </c:title>
    <c:autoTitleDeleted val="0"/>
    <c:plotArea>
      <c:layout>
        <c:manualLayout>
          <c:layoutTarget val="inner"/>
          <c:xMode val="edge"/>
          <c:yMode val="edge"/>
          <c:x val="0.11352885740846669"/>
          <c:y val="0.13452250829404996"/>
          <c:w val="0.71784689411287295"/>
          <c:h val="0.78009037507171497"/>
        </c:manualLayout>
      </c:layout>
      <c:lineChart>
        <c:grouping val="standard"/>
        <c:varyColors val="0"/>
        <c:ser>
          <c:idx val="0"/>
          <c:order val="0"/>
          <c:tx>
            <c:strRef>
              <c:f>'Cost per Gbps'!$D$72</c:f>
              <c:strCache>
                <c:ptCount val="1"/>
                <c:pt idx="0">
                  <c:v>1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Gbps'!$E$72:$U$72</c:f>
              <c:numCache>
                <c:formatCode>_("$"* #,##0.0_);_("$"* \(#,##0.0\);_("$"* "-"??_);_(@_)</c:formatCode>
                <c:ptCount val="17"/>
                <c:pt idx="0">
                  <c:v>13.753951556800791</c:v>
                </c:pt>
                <c:pt idx="1">
                  <c:v>12.985268264022558</c:v>
                </c:pt>
                <c:pt idx="2">
                  <c:v>12.565352668140264</c:v>
                </c:pt>
                <c:pt idx="3">
                  <c:v>11.996692618609446</c:v>
                </c:pt>
                <c:pt idx="4">
                  <c:v>11.174241369596015</c:v>
                </c:pt>
                <c:pt idx="5">
                  <c:v>10.470983555845212</c:v>
                </c:pt>
                <c:pt idx="6">
                  <c:v>10.178233731377588</c:v>
                </c:pt>
                <c:pt idx="7">
                  <c:v>8.9746992158904888</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4933-654E-A155-6C3CE82B255E}"/>
            </c:ext>
          </c:extLst>
        </c:ser>
        <c:ser>
          <c:idx val="1"/>
          <c:order val="1"/>
          <c:tx>
            <c:strRef>
              <c:f>'Cost per Gbps'!$D$73</c:f>
              <c:strCache>
                <c:ptCount val="1"/>
                <c:pt idx="0">
                  <c:v>10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Gbps'!$E$73:$U$73</c:f>
              <c:numCache>
                <c:formatCode>_("$"* #,##0.0_);_("$"* \(#,##0.0\);_("$"* "-"??_);_(@_)</c:formatCode>
                <c:ptCount val="17"/>
                <c:pt idx="0">
                  <c:v>7.2693971450474013</c:v>
                </c:pt>
                <c:pt idx="1">
                  <c:v>5.6225638648096545</c:v>
                </c:pt>
                <c:pt idx="2">
                  <c:v>4.7234436834010181</c:v>
                </c:pt>
                <c:pt idx="3">
                  <c:v>3.5859981642836827</c:v>
                </c:pt>
                <c:pt idx="4">
                  <c:v>2.7640696017573658</c:v>
                </c:pt>
                <c:pt idx="5">
                  <c:v>2.1809560564685277</c:v>
                </c:pt>
                <c:pt idx="6">
                  <c:v>1.8308628817969292</c:v>
                </c:pt>
                <c:pt idx="7">
                  <c:v>1.5256493367606148</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4933-654E-A155-6C3CE82B255E}"/>
            </c:ext>
          </c:extLst>
        </c:ser>
        <c:ser>
          <c:idx val="2"/>
          <c:order val="2"/>
          <c:tx>
            <c:strRef>
              <c:f>'Cost per Gbps'!$D$74</c:f>
              <c:strCache>
                <c:ptCount val="1"/>
                <c:pt idx="0">
                  <c:v>25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Gbps'!$E$74:$U$74</c:f>
              <c:numCache>
                <c:formatCode>_("$"* #,##0_);_("$"* \(#,##0\);_("$"* "-"??_);_(@_)</c:formatCode>
                <c:ptCount val="17"/>
                <c:pt idx="6">
                  <c:v>7.4857262804366078</c:v>
                </c:pt>
                <c:pt idx="7">
                  <c:v>5.6444287278986067</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4933-654E-A155-6C3CE82B255E}"/>
            </c:ext>
          </c:extLst>
        </c:ser>
        <c:ser>
          <c:idx val="5"/>
          <c:order val="3"/>
          <c:tx>
            <c:strRef>
              <c:f>'Cost per Gbps'!$D$75</c:f>
              <c:strCache>
                <c:ptCount val="1"/>
                <c:pt idx="0">
                  <c:v>40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Gbps'!$E$75:$U$75</c:f>
              <c:numCache>
                <c:formatCode>_("$"* #,##0.0_);_("$"* \(#,##0.0\);_("$"* "-"??_);_(@_)</c:formatCode>
                <c:ptCount val="17"/>
                <c:pt idx="0">
                  <c:v>16</c:v>
                </c:pt>
                <c:pt idx="1">
                  <c:v>7.186692574411718</c:v>
                </c:pt>
                <c:pt idx="2">
                  <c:v>5.2569352371264841</c:v>
                </c:pt>
                <c:pt idx="3">
                  <c:v>4.7415806558600639</c:v>
                </c:pt>
                <c:pt idx="4">
                  <c:v>4.5976611884346736</c:v>
                </c:pt>
                <c:pt idx="5">
                  <c:v>3.0556100659675449</c:v>
                </c:pt>
                <c:pt idx="6">
                  <c:v>4.0004946969346946</c:v>
                </c:pt>
                <c:pt idx="7">
                  <c:v>3.5024711725363686</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4933-654E-A155-6C3CE82B255E}"/>
            </c:ext>
          </c:extLst>
        </c:ser>
        <c:ser>
          <c:idx val="6"/>
          <c:order val="4"/>
          <c:tx>
            <c:strRef>
              <c:f>'Cost per Gbps'!$D$76</c:f>
              <c:strCache>
                <c:ptCount val="1"/>
                <c:pt idx="0">
                  <c:v>50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Gbps'!$E$76:$U$76</c:f>
              <c:numCache>
                <c:formatCode>_("$"* #,##0.0_);_("$"* \(#,##0.0\);_("$"* "-"??_);_(@_)</c:formatCode>
                <c:ptCount val="17"/>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4-4933-654E-A155-6C3CE82B255E}"/>
            </c:ext>
          </c:extLst>
        </c:ser>
        <c:ser>
          <c:idx val="3"/>
          <c:order val="5"/>
          <c:tx>
            <c:strRef>
              <c:f>'Cost per Gbps'!$D$77</c:f>
              <c:strCache>
                <c:ptCount val="1"/>
                <c:pt idx="0">
                  <c:v>100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Gbps'!$E$77:$U$77</c:f>
              <c:numCache>
                <c:formatCode>_("$"* #,##0.0_);_("$"* \(#,##0.0\);_("$"* "-"??_);_(@_)</c:formatCode>
                <c:ptCount val="17"/>
                <c:pt idx="2">
                  <c:v>23.897826358525922</c:v>
                </c:pt>
                <c:pt idx="3">
                  <c:v>18.815171215351814</c:v>
                </c:pt>
                <c:pt idx="4">
                  <c:v>17.880221269073317</c:v>
                </c:pt>
                <c:pt idx="5">
                  <c:v>13.672506526121772</c:v>
                </c:pt>
                <c:pt idx="6">
                  <c:v>3.2957163623968637</c:v>
                </c:pt>
                <c:pt idx="7">
                  <c:v>1.9723036134511864</c:v>
                </c:pt>
                <c:pt idx="8">
                  <c:v>0</c:v>
                </c:pt>
                <c:pt idx="9" formatCode="_(&quot;$&quot;* #,##0.00_);_(&quot;$&quot;* \(#,##0.00\);_(&quot;$&quot;* &quot;-&quot;??_);_(@_)">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4933-654E-A155-6C3CE82B255E}"/>
            </c:ext>
          </c:extLst>
        </c:ser>
        <c:ser>
          <c:idx val="7"/>
          <c:order val="6"/>
          <c:tx>
            <c:strRef>
              <c:f>'Cost per Gbps'!$D$78</c:f>
              <c:strCache>
                <c:ptCount val="1"/>
                <c:pt idx="0">
                  <c:v>200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Gbps'!$E$78:$U$78</c:f>
              <c:numCache>
                <c:formatCode>_("$"* #,##0_);_("$"* \(#,##0\);_("$"* "-"??_);_(@_)</c:formatCode>
                <c:ptCount val="17"/>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4933-654E-A155-6C3CE82B255E}"/>
            </c:ext>
          </c:extLst>
        </c:ser>
        <c:ser>
          <c:idx val="4"/>
          <c:order val="7"/>
          <c:tx>
            <c:strRef>
              <c:f>'Cost per Gbps'!$D$79</c:f>
              <c:strCache>
                <c:ptCount val="1"/>
                <c:pt idx="0">
                  <c:v>400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Gbps'!$E$79:$U$79</c:f>
              <c:numCache>
                <c:formatCode>_("$"* #,##0_);_("$"* \(#,##0\);_("$"* "-"??_);_(@_)</c:formatCode>
                <c:ptCount val="17"/>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7-4933-654E-A155-6C3CE82B255E}"/>
            </c:ext>
          </c:extLst>
        </c:ser>
        <c:ser>
          <c:idx val="8"/>
          <c:order val="8"/>
          <c:tx>
            <c:strRef>
              <c:f>'Cost per Gbps'!$D$80</c:f>
              <c:strCache>
                <c:ptCount val="1"/>
                <c:pt idx="0">
                  <c:v>800 G</c:v>
                </c:pt>
              </c:strCache>
            </c:strRef>
          </c:tx>
          <c:marker>
            <c:symbol val="none"/>
          </c:marker>
          <c:cat>
            <c:numRef>
              <c:f>'Cost per Gbps'!$E$71:$U$71</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Gbps'!$E$80:$U$80</c:f>
              <c:numCache>
                <c:formatCode>_("$"* #,##0_);_("$"* \(#,##0\);_("$"* "-"??_);_(@_)</c:formatCode>
                <c:ptCount val="17"/>
              </c:numCache>
            </c:numRef>
          </c:val>
          <c:smooth val="0"/>
          <c:extLst>
            <c:ext xmlns:c16="http://schemas.microsoft.com/office/drawing/2014/chart" uri="{C3380CC4-5D6E-409C-BE32-E72D297353CC}">
              <c16:uniqueId val="{00000000-B42F-C44F-99F1-C64419DCC12A}"/>
            </c:ext>
          </c:extLst>
        </c:ser>
        <c:dLbls>
          <c:showLegendKey val="0"/>
          <c:showVal val="0"/>
          <c:showCatName val="0"/>
          <c:showSerName val="0"/>
          <c:showPercent val="0"/>
          <c:showBubbleSize val="0"/>
        </c:dLbls>
        <c:smooth val="0"/>
        <c:axId val="137895936"/>
        <c:axId val="137897472"/>
      </c:lineChart>
      <c:catAx>
        <c:axId val="137895936"/>
        <c:scaling>
          <c:orientation val="minMax"/>
        </c:scaling>
        <c:delete val="0"/>
        <c:axPos val="b"/>
        <c:numFmt formatCode="General" sourceLinked="1"/>
        <c:majorTickMark val="out"/>
        <c:minorTickMark val="none"/>
        <c:tickLblPos val="nextTo"/>
        <c:txPr>
          <a:bodyPr/>
          <a:lstStyle/>
          <a:p>
            <a:pPr>
              <a:defRPr sz="1100"/>
            </a:pPr>
            <a:endParaRPr lang="en-US"/>
          </a:p>
        </c:txPr>
        <c:crossAx val="137897472"/>
        <c:crosses val="autoZero"/>
        <c:auto val="1"/>
        <c:lblAlgn val="ctr"/>
        <c:lblOffset val="100"/>
        <c:noMultiLvlLbl val="0"/>
      </c:catAx>
      <c:valAx>
        <c:axId val="137897472"/>
        <c:scaling>
          <c:orientation val="minMax"/>
          <c:max val="8"/>
          <c:min val="0"/>
        </c:scaling>
        <c:delete val="0"/>
        <c:axPos val="l"/>
        <c:majorGridlines/>
        <c:title>
          <c:tx>
            <c:rich>
              <a:bodyPr rot="-5400000" vert="horz"/>
              <a:lstStyle/>
              <a:p>
                <a:pPr>
                  <a:defRPr sz="1400"/>
                </a:pPr>
                <a:r>
                  <a:rPr lang="en-US" sz="1400"/>
                  <a:t>$ per Gb/s</a:t>
                </a:r>
              </a:p>
            </c:rich>
          </c:tx>
          <c:overlay val="0"/>
        </c:title>
        <c:numFmt formatCode="&quot;$&quot;#,##0" sourceLinked="0"/>
        <c:majorTickMark val="out"/>
        <c:minorTickMark val="none"/>
        <c:tickLblPos val="nextTo"/>
        <c:txPr>
          <a:bodyPr/>
          <a:lstStyle/>
          <a:p>
            <a:pPr>
              <a:defRPr sz="1200"/>
            </a:pPr>
            <a:endParaRPr lang="en-US"/>
          </a:p>
        </c:txPr>
        <c:crossAx val="137895936"/>
        <c:crosses val="autoZero"/>
        <c:crossBetween val="between"/>
      </c:valAx>
    </c:plotArea>
    <c:legend>
      <c:legendPos val="r"/>
      <c:layout>
        <c:manualLayout>
          <c:xMode val="edge"/>
          <c:yMode val="edge"/>
          <c:x val="0.837706401610808"/>
          <c:y val="0.172794630008099"/>
          <c:w val="0.12954351867310265"/>
          <c:h val="0.5642253188815431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6512561360372"/>
          <c:y val="3.9619699166240335E-2"/>
          <c:w val="0.80285652295759247"/>
          <c:h val="0.83729438888942231"/>
        </c:manualLayout>
      </c:layout>
      <c:lineChart>
        <c:grouping val="standard"/>
        <c:varyColors val="0"/>
        <c:ser>
          <c:idx val="0"/>
          <c:order val="0"/>
          <c:tx>
            <c:strRef>
              <c:f>Summary!$B$376</c:f>
              <c:strCache>
                <c:ptCount val="1"/>
                <c:pt idx="0">
                  <c:v>100 m  100G CFP</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Summary!$C$376:$F$376</c:f>
              <c:numCache>
                <c:formatCode>_(* #,##0_);_(* \(#,##0\);_(* "-"??_);_(@_)</c:formatCode>
                <c:ptCount val="4"/>
                <c:pt idx="0">
                  <c:v>14816</c:v>
                </c:pt>
                <c:pt idx="1">
                  <c:v>6913</c:v>
                </c:pt>
                <c:pt idx="2">
                  <c:v>0</c:v>
                </c:pt>
                <c:pt idx="3">
                  <c:v>0</c:v>
                </c:pt>
              </c:numCache>
            </c:numRef>
          </c:val>
          <c:smooth val="0"/>
          <c:extLst>
            <c:ext xmlns:c16="http://schemas.microsoft.com/office/drawing/2014/chart" uri="{C3380CC4-5D6E-409C-BE32-E72D297353CC}">
              <c16:uniqueId val="{00000000-A05F-B34D-8A1F-06B1B81B5E78}"/>
            </c:ext>
          </c:extLst>
        </c:ser>
        <c:ser>
          <c:idx val="1"/>
          <c:order val="1"/>
          <c:tx>
            <c:strRef>
              <c:f>Summary!$B$377</c:f>
              <c:strCache>
                <c:ptCount val="1"/>
                <c:pt idx="0">
                  <c:v>100 m  100G CFP2/CFP4</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Summary!$C$377:$F$377</c:f>
              <c:numCache>
                <c:formatCode>_(* #,##0_);_(* \(#,##0\);_(* "-"??_);_(@_)</c:formatCode>
                <c:ptCount val="4"/>
                <c:pt idx="0">
                  <c:v>4367</c:v>
                </c:pt>
                <c:pt idx="1">
                  <c:v>2269</c:v>
                </c:pt>
                <c:pt idx="2">
                  <c:v>0</c:v>
                </c:pt>
                <c:pt idx="3">
                  <c:v>0</c:v>
                </c:pt>
              </c:numCache>
            </c:numRef>
          </c:val>
          <c:smooth val="0"/>
          <c:extLst>
            <c:ext xmlns:c16="http://schemas.microsoft.com/office/drawing/2014/chart" uri="{C3380CC4-5D6E-409C-BE32-E72D297353CC}">
              <c16:uniqueId val="{00000001-A05F-B34D-8A1F-06B1B81B5E78}"/>
            </c:ext>
          </c:extLst>
        </c:ser>
        <c:ser>
          <c:idx val="2"/>
          <c:order val="2"/>
          <c:tx>
            <c:strRef>
              <c:f>Summary!$B$378</c:f>
              <c:strCache>
                <c:ptCount val="1"/>
                <c:pt idx="0">
                  <c:v>100 m  100G SR2, SR4  QSFP28</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Summary!$C$378:$M$378</c:f>
              <c:numCache>
                <c:formatCode>_(* #,##0_);_(* \(#,##0\);_(* "-"??_);_(@_)</c:formatCode>
                <c:ptCount val="11"/>
                <c:pt idx="0">
                  <c:v>280058</c:v>
                </c:pt>
                <c:pt idx="1">
                  <c:v>622792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05F-B34D-8A1F-06B1B81B5E78}"/>
            </c:ext>
          </c:extLst>
        </c:ser>
        <c:ser>
          <c:idx val="3"/>
          <c:order val="3"/>
          <c:tx>
            <c:strRef>
              <c:f>Summary!$B$379</c:f>
              <c:strCache>
                <c:ptCount val="1"/>
                <c:pt idx="0">
                  <c:v>100 m  100G QSFP28 MM Duplex</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Summary!$C$379:$M$379</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05F-B34D-8A1F-06B1B81B5E78}"/>
            </c:ext>
          </c:extLst>
        </c:ser>
        <c:ser>
          <c:idx val="4"/>
          <c:order val="4"/>
          <c:tx>
            <c:strRef>
              <c:f>Summary!$B$380</c:f>
              <c:strCache>
                <c:ptCount val="1"/>
                <c:pt idx="0">
                  <c:v>300 m  100G QSFP28  eSR4</c:v>
                </c:pt>
              </c:strCache>
            </c:strRef>
          </c:tx>
          <c:cat>
            <c:numRef>
              <c:f>Summary!$C$375:$M$375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Summary!$C$380:$M$380</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A05F-B34D-8A1F-06B1B81B5E78}"/>
            </c:ext>
          </c:extLst>
        </c:ser>
        <c:dLbls>
          <c:showLegendKey val="0"/>
          <c:showVal val="0"/>
          <c:showCatName val="0"/>
          <c:showSerName val="0"/>
          <c:showPercent val="0"/>
          <c:showBubbleSize val="0"/>
        </c:dLbls>
        <c:marker val="1"/>
        <c:smooth val="0"/>
        <c:axId val="132118784"/>
        <c:axId val="132190208"/>
      </c:lineChart>
      <c:catAx>
        <c:axId val="132118784"/>
        <c:scaling>
          <c:orientation val="minMax"/>
        </c:scaling>
        <c:delete val="0"/>
        <c:axPos val="b"/>
        <c:numFmt formatCode="General" sourceLinked="1"/>
        <c:majorTickMark val="out"/>
        <c:minorTickMark val="none"/>
        <c:tickLblPos val="nextTo"/>
        <c:txPr>
          <a:bodyPr/>
          <a:lstStyle/>
          <a:p>
            <a:pPr>
              <a:defRPr sz="1200"/>
            </a:pPr>
            <a:endParaRPr lang="en-US"/>
          </a:p>
        </c:txPr>
        <c:crossAx val="132190208"/>
        <c:crosses val="autoZero"/>
        <c:auto val="1"/>
        <c:lblAlgn val="ctr"/>
        <c:lblOffset val="100"/>
        <c:noMultiLvlLbl val="0"/>
      </c:catAx>
      <c:valAx>
        <c:axId val="132190208"/>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32118784"/>
        <c:crosses val="autoZero"/>
        <c:crossBetween val="between"/>
        <c:minorUnit val="20000"/>
      </c:valAx>
    </c:plotArea>
    <c:legend>
      <c:legendPos val="t"/>
      <c:layout>
        <c:manualLayout>
          <c:xMode val="edge"/>
          <c:yMode val="edge"/>
          <c:x val="0.20155145092844701"/>
          <c:y val="5.7497847741906416E-2"/>
          <c:w val="0.46559728545610474"/>
          <c:h val="0.32595654438475175"/>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a:t>Cost/Gbps: Ethernet 0.5-10km Reach by Data Rate</a:t>
            </a:r>
          </a:p>
          <a:p>
            <a:pPr algn="ctr">
              <a:defRPr sz="1600"/>
            </a:pPr>
            <a:r>
              <a:rPr lang="en-US" sz="1400" b="0"/>
              <a:t>(all form factors</a:t>
            </a:r>
            <a:r>
              <a:rPr lang="en-US" sz="1400" b="0" baseline="0"/>
              <a:t> included)</a:t>
            </a:r>
            <a:endParaRPr lang="en-US" sz="1400" b="0"/>
          </a:p>
        </c:rich>
      </c:tx>
      <c:overlay val="1"/>
    </c:title>
    <c:autoTitleDeleted val="0"/>
    <c:plotArea>
      <c:layout>
        <c:manualLayout>
          <c:layoutTarget val="inner"/>
          <c:xMode val="edge"/>
          <c:yMode val="edge"/>
          <c:x val="0.1184368945361"/>
          <c:y val="0.13704906814284301"/>
          <c:w val="0.70731561157496403"/>
          <c:h val="0.78979216160152099"/>
        </c:manualLayout>
      </c:layout>
      <c:lineChart>
        <c:grouping val="standard"/>
        <c:varyColors val="0"/>
        <c:ser>
          <c:idx val="0"/>
          <c:order val="0"/>
          <c:tx>
            <c:strRef>
              <c:f>'Cost per Gbps'!$D$83</c:f>
              <c:strCache>
                <c:ptCount val="1"/>
                <c:pt idx="0">
                  <c:v>1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Gbps'!$E$83:$U$83</c:f>
              <c:numCache>
                <c:formatCode>_("$"* #,##0.0_);_("$"* \(#,##0.0\);_("$"* "-"??_);_(@_)</c:formatCode>
                <c:ptCount val="17"/>
                <c:pt idx="0">
                  <c:v>25.149205126655112</c:v>
                </c:pt>
                <c:pt idx="1">
                  <c:v>22.542686548685776</c:v>
                </c:pt>
                <c:pt idx="2">
                  <c:v>20.494201491669465</c:v>
                </c:pt>
                <c:pt idx="3">
                  <c:v>17.059287862972699</c:v>
                </c:pt>
                <c:pt idx="4">
                  <c:v>15.209922341136267</c:v>
                </c:pt>
                <c:pt idx="5">
                  <c:v>14.316550029685587</c:v>
                </c:pt>
                <c:pt idx="6">
                  <c:v>11.313150064475876</c:v>
                </c:pt>
                <c:pt idx="7">
                  <c:v>9.7279618337487541</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7135-3142-A118-62422BC6C4FF}"/>
            </c:ext>
          </c:extLst>
        </c:ser>
        <c:ser>
          <c:idx val="1"/>
          <c:order val="1"/>
          <c:tx>
            <c:strRef>
              <c:f>'Cost per Gbps'!$D$84</c:f>
              <c:strCache>
                <c:ptCount val="1"/>
                <c:pt idx="0">
                  <c:v>10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Gbps'!$E$84:$U$84</c:f>
              <c:numCache>
                <c:formatCode>_("$"* #,##0.0_);_("$"* \(#,##0.0\);_("$"* "-"??_);_(@_)</c:formatCode>
                <c:ptCount val="17"/>
                <c:pt idx="0">
                  <c:v>20.083089586633925</c:v>
                </c:pt>
                <c:pt idx="1">
                  <c:v>15.192387099264787</c:v>
                </c:pt>
                <c:pt idx="2">
                  <c:v>12.606537702368776</c:v>
                </c:pt>
                <c:pt idx="3">
                  <c:v>9.5723766997270552</c:v>
                </c:pt>
                <c:pt idx="4">
                  <c:v>6.7015289167061241</c:v>
                </c:pt>
                <c:pt idx="5">
                  <c:v>5.5401360004392348</c:v>
                </c:pt>
                <c:pt idx="6">
                  <c:v>3.9011693498104392</c:v>
                </c:pt>
                <c:pt idx="7">
                  <c:v>3.0703885502204229</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7135-3142-A118-62422BC6C4FF}"/>
            </c:ext>
          </c:extLst>
        </c:ser>
        <c:ser>
          <c:idx val="2"/>
          <c:order val="2"/>
          <c:tx>
            <c:strRef>
              <c:f>'Cost per Gbps'!$D$85</c:f>
              <c:strCache>
                <c:ptCount val="1"/>
                <c:pt idx="0">
                  <c:v>25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Gbps'!$E$85:$U$85</c:f>
              <c:numCache>
                <c:formatCode>_("$"* #,##0.0_);_("$"* \(#,##0.0\);_("$"* "-"??_);_(@_)</c:formatCode>
                <c:ptCount val="17"/>
                <c:pt idx="6">
                  <c:v>18.249613016710644</c:v>
                </c:pt>
                <c:pt idx="7">
                  <c:v>12.964142267585002</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7135-3142-A118-62422BC6C4FF}"/>
            </c:ext>
          </c:extLst>
        </c:ser>
        <c:ser>
          <c:idx val="5"/>
          <c:order val="3"/>
          <c:tx>
            <c:strRef>
              <c:f>'Cost per Gbps'!$D$86</c:f>
              <c:strCache>
                <c:ptCount val="1"/>
                <c:pt idx="0">
                  <c:v>40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Gbps'!$E$86:$U$86</c:f>
              <c:numCache>
                <c:formatCode>_("$"* #,##0.0_);_("$"* \(#,##0.0\);_("$"* "-"??_);_(@_)</c:formatCode>
                <c:ptCount val="17"/>
                <c:pt idx="0">
                  <c:v>80.784136641723492</c:v>
                </c:pt>
                <c:pt idx="1">
                  <c:v>77.777449856733512</c:v>
                </c:pt>
                <c:pt idx="2">
                  <c:v>31.374042015224383</c:v>
                </c:pt>
                <c:pt idx="3">
                  <c:v>20.904356576912654</c:v>
                </c:pt>
                <c:pt idx="4">
                  <c:v>18.050742044044327</c:v>
                </c:pt>
                <c:pt idx="5">
                  <c:v>16.332734902464885</c:v>
                </c:pt>
                <c:pt idx="6">
                  <c:v>16.617107346810069</c:v>
                </c:pt>
                <c:pt idx="7">
                  <c:v>12.449764992846998</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7135-3142-A118-62422BC6C4FF}"/>
            </c:ext>
          </c:extLst>
        </c:ser>
        <c:ser>
          <c:idx val="6"/>
          <c:order val="4"/>
          <c:tx>
            <c:strRef>
              <c:f>'Cost per Gbps'!$D$87</c:f>
              <c:strCache>
                <c:ptCount val="1"/>
                <c:pt idx="0">
                  <c:v>50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Gbps'!$E$87:$U$87</c:f>
              <c:numCache>
                <c:formatCode>_("$"* #,##0.0_);_("$"* \(#,##0.0\);_("$"* "-"??_);_(@_)</c:formatCode>
                <c:ptCount val="17"/>
              </c:numCache>
            </c:numRef>
          </c:val>
          <c:smooth val="0"/>
          <c:extLst>
            <c:ext xmlns:c16="http://schemas.microsoft.com/office/drawing/2014/chart" uri="{C3380CC4-5D6E-409C-BE32-E72D297353CC}">
              <c16:uniqueId val="{00000004-7135-3142-A118-62422BC6C4FF}"/>
            </c:ext>
          </c:extLst>
        </c:ser>
        <c:ser>
          <c:idx val="3"/>
          <c:order val="5"/>
          <c:tx>
            <c:strRef>
              <c:f>'Cost per Gbps'!$D$88</c:f>
              <c:strCache>
                <c:ptCount val="1"/>
                <c:pt idx="0">
                  <c:v>100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Gbps'!$E$88:$U$88</c:f>
              <c:numCache>
                <c:formatCode>_("$"* #,##0.0_);_("$"* \(#,##0.0\);_("$"* "-"??_);_(@_)</c:formatCode>
                <c:ptCount val="17"/>
                <c:pt idx="0">
                  <c:v>262.22519083969468</c:v>
                </c:pt>
                <c:pt idx="1">
                  <c:v>223.61202964182792</c:v>
                </c:pt>
                <c:pt idx="2">
                  <c:v>136.50492489270385</c:v>
                </c:pt>
                <c:pt idx="3">
                  <c:v>102.5432875674652</c:v>
                </c:pt>
                <c:pt idx="4">
                  <c:v>65.878548873851983</c:v>
                </c:pt>
                <c:pt idx="5">
                  <c:v>36.595237268483366</c:v>
                </c:pt>
                <c:pt idx="6">
                  <c:v>15.954523504961168</c:v>
                </c:pt>
                <c:pt idx="7">
                  <c:v>6.5519248022538541</c:v>
                </c:pt>
                <c:pt idx="8">
                  <c:v>0</c:v>
                </c:pt>
                <c:pt idx="9" formatCode="_(&quot;$&quot;* #,##0.00_);_(&quot;$&quot;* \(#,##0.00\);_(&quot;$&quot;* &quot;-&quot;??_);_(@_)">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7135-3142-A118-62422BC6C4FF}"/>
            </c:ext>
          </c:extLst>
        </c:ser>
        <c:ser>
          <c:idx val="7"/>
          <c:order val="6"/>
          <c:tx>
            <c:strRef>
              <c:f>'Cost per Gbps'!$D$89</c:f>
              <c:strCache>
                <c:ptCount val="1"/>
                <c:pt idx="0">
                  <c:v>200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Gbps'!$E$89:$U$89</c:f>
              <c:numCache>
                <c:formatCode>General</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7135-3142-A118-62422BC6C4FF}"/>
            </c:ext>
          </c:extLst>
        </c:ser>
        <c:ser>
          <c:idx val="4"/>
          <c:order val="7"/>
          <c:tx>
            <c:strRef>
              <c:f>'Cost per Gbps'!$D$90</c:f>
              <c:strCache>
                <c:ptCount val="1"/>
                <c:pt idx="0">
                  <c:v>400 G</c:v>
                </c:pt>
              </c:strCache>
            </c:strRef>
          </c:tx>
          <c:marker>
            <c:symbol val="none"/>
          </c:marker>
          <c:cat>
            <c:numRef>
              <c:f>'Cost per Gbps'!$E$82:$U$82</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Gbps'!$E$90:$U$90</c:f>
              <c:numCache>
                <c:formatCode>General</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7-7135-3142-A118-62422BC6C4FF}"/>
            </c:ext>
          </c:extLst>
        </c:ser>
        <c:dLbls>
          <c:showLegendKey val="0"/>
          <c:showVal val="0"/>
          <c:showCatName val="0"/>
          <c:showSerName val="0"/>
          <c:showPercent val="0"/>
          <c:showBubbleSize val="0"/>
        </c:dLbls>
        <c:smooth val="0"/>
        <c:axId val="137951872"/>
        <c:axId val="137642368"/>
      </c:lineChart>
      <c:catAx>
        <c:axId val="137951872"/>
        <c:scaling>
          <c:orientation val="minMax"/>
        </c:scaling>
        <c:delete val="0"/>
        <c:axPos val="b"/>
        <c:numFmt formatCode="General" sourceLinked="1"/>
        <c:majorTickMark val="out"/>
        <c:minorTickMark val="none"/>
        <c:tickLblPos val="nextTo"/>
        <c:txPr>
          <a:bodyPr/>
          <a:lstStyle/>
          <a:p>
            <a:pPr>
              <a:defRPr sz="1100"/>
            </a:pPr>
            <a:endParaRPr lang="en-US"/>
          </a:p>
        </c:txPr>
        <c:crossAx val="137642368"/>
        <c:crosses val="autoZero"/>
        <c:auto val="1"/>
        <c:lblAlgn val="ctr"/>
        <c:lblOffset val="100"/>
        <c:noMultiLvlLbl val="0"/>
      </c:catAx>
      <c:valAx>
        <c:axId val="137642368"/>
        <c:scaling>
          <c:orientation val="minMax"/>
          <c:max val="20"/>
          <c:min val="0"/>
        </c:scaling>
        <c:delete val="0"/>
        <c:axPos val="l"/>
        <c:majorGridlines/>
        <c:minorGridlines/>
        <c:title>
          <c:tx>
            <c:rich>
              <a:bodyPr rot="-5400000" vert="horz"/>
              <a:lstStyle/>
              <a:p>
                <a:pPr>
                  <a:defRPr sz="1400"/>
                </a:pPr>
                <a:r>
                  <a:rPr lang="en-US" sz="1400"/>
                  <a:t>$ per Gb/s</a:t>
                </a:r>
              </a:p>
            </c:rich>
          </c:tx>
          <c:layout>
            <c:manualLayout>
              <c:xMode val="edge"/>
              <c:yMode val="edge"/>
              <c:x val="9.9354166624291192E-3"/>
              <c:y val="0.44785531412730101"/>
            </c:manualLayout>
          </c:layout>
          <c:overlay val="0"/>
        </c:title>
        <c:numFmt formatCode="&quot;$&quot;#,##0" sourceLinked="0"/>
        <c:majorTickMark val="out"/>
        <c:minorTickMark val="none"/>
        <c:tickLblPos val="nextTo"/>
        <c:txPr>
          <a:bodyPr/>
          <a:lstStyle/>
          <a:p>
            <a:pPr>
              <a:defRPr sz="1200"/>
            </a:pPr>
            <a:endParaRPr lang="en-US"/>
          </a:p>
        </c:txPr>
        <c:crossAx val="137951872"/>
        <c:crosses val="autoZero"/>
        <c:crossBetween val="between"/>
        <c:majorUnit val="5"/>
        <c:minorUnit val="5"/>
      </c:valAx>
    </c:plotArea>
    <c:legend>
      <c:legendPos val="r"/>
      <c:layout>
        <c:manualLayout>
          <c:xMode val="edge"/>
          <c:yMode val="edge"/>
          <c:x val="0.83575230541553103"/>
          <c:y val="0.198129908536294"/>
          <c:w val="0.143772923836851"/>
          <c:h val="0.713484120363067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(log scale)</a:t>
            </a:r>
          </a:p>
        </c:rich>
      </c:tx>
      <c:overlay val="0"/>
    </c:title>
    <c:autoTitleDeleted val="0"/>
    <c:plotArea>
      <c:layout>
        <c:manualLayout>
          <c:layoutTarget val="inner"/>
          <c:xMode val="edge"/>
          <c:yMode val="edge"/>
          <c:x val="0.106307228176796"/>
          <c:y val="0.147174844113585"/>
          <c:w val="0.73686453004104002"/>
          <c:h val="0.79013925959768305"/>
        </c:manualLayout>
      </c:layout>
      <c:lineChart>
        <c:grouping val="standard"/>
        <c:varyColors val="0"/>
        <c:ser>
          <c:idx val="1"/>
          <c:order val="0"/>
          <c:tx>
            <c:strRef>
              <c:f>'Cost per Gbps'!$D$35</c:f>
              <c:strCache>
                <c:ptCount val="1"/>
                <c:pt idx="0">
                  <c:v>1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Gbps'!$E$35:$U$35</c:f>
              <c:numCache>
                <c:formatCode>_("$"* #,##0_);_("$"* \(#,##0\);_("$"* "-"??_);_(@_)</c:formatCode>
                <c:ptCount val="17"/>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673A-FE4F-897D-247DF3A365D0}"/>
            </c:ext>
          </c:extLst>
        </c:ser>
        <c:ser>
          <c:idx val="2"/>
          <c:order val="1"/>
          <c:tx>
            <c:strRef>
              <c:f>'Cost per Gbps'!$D$36</c:f>
              <c:strCache>
                <c:ptCount val="1"/>
                <c:pt idx="0">
                  <c:v>10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Gbps'!$E$36:$U$36</c:f>
              <c:numCache>
                <c:formatCode>_("$"* #,##0_);_("$"* \(#,##0\);_("$"* "-"??_);_(@_)</c:formatCode>
                <c:ptCount val="17"/>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1-673A-FE4F-897D-247DF3A365D0}"/>
            </c:ext>
          </c:extLst>
        </c:ser>
        <c:ser>
          <c:idx val="5"/>
          <c:order val="2"/>
          <c:tx>
            <c:strRef>
              <c:f>'Cost per Gbps'!$D$37</c:f>
              <c:strCache>
                <c:ptCount val="1"/>
                <c:pt idx="0">
                  <c:v>25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Gbps'!$E$37:$U$37</c:f>
              <c:numCache>
                <c:formatCode>_("$"* #,##0_);_("$"* \(#,##0\);_("$"* "-"??_);_(@_)</c:formatCode>
                <c:ptCount val="17"/>
                <c:pt idx="6">
                  <c:v>11.671989054215837</c:v>
                </c:pt>
                <c:pt idx="7">
                  <c:v>6.7722873832058497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2-673A-FE4F-897D-247DF3A365D0}"/>
            </c:ext>
          </c:extLst>
        </c:ser>
        <c:ser>
          <c:idx val="3"/>
          <c:order val="3"/>
          <c:tx>
            <c:strRef>
              <c:f>'Cost per Gbps'!$D$38</c:f>
              <c:strCache>
                <c:ptCount val="1"/>
                <c:pt idx="0">
                  <c:v>40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Gbps'!$E$38:$U$38</c:f>
              <c:numCache>
                <c:formatCode>_("$"* #,##0_);_("$"* \(#,##0\);_("$"* "-"??_);_(@_)</c:formatCode>
                <c:ptCount val="17"/>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3-673A-FE4F-897D-247DF3A365D0}"/>
            </c:ext>
          </c:extLst>
        </c:ser>
        <c:ser>
          <c:idx val="7"/>
          <c:order val="4"/>
          <c:tx>
            <c:strRef>
              <c:f>'Cost per Gbps'!$D$39</c:f>
              <c:strCache>
                <c:ptCount val="1"/>
                <c:pt idx="0">
                  <c:v>50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Gbps'!$E$39:$U$39</c:f>
              <c:numCache>
                <c:formatCode>_("$"* #,##0_);_("$"* \(#,##0\);_("$"* "-"??_);_(@_)</c:formatCode>
                <c:ptCount val="17"/>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4-673A-FE4F-897D-247DF3A365D0}"/>
            </c:ext>
          </c:extLst>
        </c:ser>
        <c:ser>
          <c:idx val="4"/>
          <c:order val="5"/>
          <c:tx>
            <c:strRef>
              <c:f>'Cost per Gbps'!$D$40</c:f>
              <c:strCache>
                <c:ptCount val="1"/>
                <c:pt idx="0">
                  <c:v>100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Gbps'!$E$40:$U$40</c:f>
              <c:numCache>
                <c:formatCode>_("$"* #,##0_);_("$"* \(#,##0\);_("$"* "-"??_);_(@_)</c:formatCode>
                <c:ptCount val="17"/>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5-673A-FE4F-897D-247DF3A365D0}"/>
            </c:ext>
          </c:extLst>
        </c:ser>
        <c:ser>
          <c:idx val="8"/>
          <c:order val="6"/>
          <c:tx>
            <c:strRef>
              <c:f>'Cost per Gbps'!$D$41</c:f>
              <c:strCache>
                <c:ptCount val="1"/>
                <c:pt idx="0">
                  <c:v>200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Gbps'!$E$41:$U$41</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673A-FE4F-897D-247DF3A365D0}"/>
            </c:ext>
          </c:extLst>
        </c:ser>
        <c:ser>
          <c:idx val="6"/>
          <c:order val="7"/>
          <c:tx>
            <c:strRef>
              <c:f>'Cost per Gbps'!$D$42</c:f>
              <c:strCache>
                <c:ptCount val="1"/>
                <c:pt idx="0">
                  <c:v>400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Gbps'!$E$42:$U$42</c:f>
              <c:numCache>
                <c:formatCode>_("$"* #,##0_);_("$"* \(#,##0\);_("$"* "-"??_);_(@_)</c:formatCode>
                <c:ptCount val="17"/>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7-673A-FE4F-897D-247DF3A365D0}"/>
            </c:ext>
          </c:extLst>
        </c:ser>
        <c:ser>
          <c:idx val="0"/>
          <c:order val="8"/>
          <c:tx>
            <c:strRef>
              <c:f>'Cost per Gbps'!$D$43</c:f>
              <c:strCache>
                <c:ptCount val="1"/>
                <c:pt idx="0">
                  <c:v>800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Gbps'!$E$43:$U$43</c:f>
              <c:numCache>
                <c:formatCode>_("$"* #,##0_);_("$"* \(#,##0\);_("$"* "-"??_);_(@_)</c:formatCode>
                <c:ptCount val="17"/>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371C-7A4A-B475-7A8A68F500AD}"/>
            </c:ext>
          </c:extLst>
        </c:ser>
        <c:dLbls>
          <c:showLegendKey val="0"/>
          <c:showVal val="0"/>
          <c:showCatName val="0"/>
          <c:showSerName val="0"/>
          <c:showPercent val="0"/>
          <c:showBubbleSize val="0"/>
        </c:dLbls>
        <c:marker val="1"/>
        <c:smooth val="0"/>
        <c:axId val="137685632"/>
        <c:axId val="137699712"/>
      </c:lineChart>
      <c:catAx>
        <c:axId val="137685632"/>
        <c:scaling>
          <c:orientation val="minMax"/>
        </c:scaling>
        <c:delete val="0"/>
        <c:axPos val="b"/>
        <c:numFmt formatCode="General" sourceLinked="1"/>
        <c:majorTickMark val="out"/>
        <c:minorTickMark val="none"/>
        <c:tickLblPos val="nextTo"/>
        <c:crossAx val="137699712"/>
        <c:crosses val="autoZero"/>
        <c:auto val="1"/>
        <c:lblAlgn val="ctr"/>
        <c:lblOffset val="100"/>
        <c:noMultiLvlLbl val="0"/>
      </c:catAx>
      <c:valAx>
        <c:axId val="137699712"/>
        <c:scaling>
          <c:logBase val="10"/>
          <c:orientation val="minMax"/>
        </c:scaling>
        <c:delete val="0"/>
        <c:axPos val="l"/>
        <c:majorGridlines/>
        <c:numFmt formatCode="_(&quot;$&quot;* #,##0_);_(&quot;$&quot;* \(#,##0\);_(&quot;$&quot;* &quot;-&quot;??_);_(@_)" sourceLinked="1"/>
        <c:majorTickMark val="out"/>
        <c:minorTickMark val="none"/>
        <c:tickLblPos val="nextTo"/>
        <c:crossAx val="13768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segment'!$B$34</c:f>
              <c:strCache>
                <c:ptCount val="1"/>
                <c:pt idx="0">
                  <c:v>Enterprise</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segment'!$C$34:$M$34</c:f>
              <c:numCache>
                <c:formatCode>_(* #,##0_);_(* \(#,##0\);_(* "-"??_);_(@_)</c:formatCode>
                <c:ptCount val="11"/>
                <c:pt idx="0">
                  <c:v>21287441.14376694</c:v>
                </c:pt>
                <c:pt idx="1">
                  <c:v>20863877.916871279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A5F-B64E-8BD7-4E809B7C3AC2}"/>
            </c:ext>
          </c:extLst>
        </c:ser>
        <c:ser>
          <c:idx val="1"/>
          <c:order val="1"/>
          <c:tx>
            <c:strRef>
              <c:f>'Products x segment'!$B$32</c:f>
              <c:strCache>
                <c:ptCount val="1"/>
                <c:pt idx="0">
                  <c:v>Telecom</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segment'!$C$32:$M$32</c:f>
              <c:numCache>
                <c:formatCode>_(* #,##0_);_(* \(#,##0\);_(* "-"??_);_(@_)</c:formatCode>
                <c:ptCount val="11"/>
                <c:pt idx="0">
                  <c:v>4496664.3535132017</c:v>
                </c:pt>
                <c:pt idx="1">
                  <c:v>3902185.0984692555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A5F-B64E-8BD7-4E809B7C3AC2}"/>
            </c:ext>
          </c:extLst>
        </c:ser>
        <c:ser>
          <c:idx val="0"/>
          <c:order val="2"/>
          <c:tx>
            <c:strRef>
              <c:f>'Products x segment'!$B$33</c:f>
              <c:strCache>
                <c:ptCount val="1"/>
                <c:pt idx="0">
                  <c:v>Cloud</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segment'!$C$33:$M$33</c:f>
              <c:numCache>
                <c:formatCode>_(* #,##0_);_(* \(#,##0\);_(* "-"??_);_(@_)</c:formatCode>
                <c:ptCount val="11"/>
                <c:pt idx="0">
                  <c:v>10649308.537719864</c:v>
                </c:pt>
                <c:pt idx="1">
                  <c:v>13336049.134659462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A5F-B64E-8BD7-4E809B7C3AC2}"/>
            </c:ext>
          </c:extLst>
        </c:ser>
        <c:dLbls>
          <c:showLegendKey val="0"/>
          <c:showVal val="0"/>
          <c:showCatName val="0"/>
          <c:showSerName val="0"/>
          <c:showPercent val="0"/>
          <c:showBubbleSize val="0"/>
        </c:dLbls>
        <c:axId val="140231040"/>
        <c:axId val="140232576"/>
      </c:areaChart>
      <c:catAx>
        <c:axId val="140231040"/>
        <c:scaling>
          <c:orientation val="minMax"/>
        </c:scaling>
        <c:delete val="0"/>
        <c:axPos val="b"/>
        <c:numFmt formatCode="General" sourceLinked="1"/>
        <c:majorTickMark val="out"/>
        <c:minorTickMark val="none"/>
        <c:tickLblPos val="nextTo"/>
        <c:txPr>
          <a:bodyPr/>
          <a:lstStyle/>
          <a:p>
            <a:pPr>
              <a:defRPr sz="1200"/>
            </a:pPr>
            <a:endParaRPr lang="en-US"/>
          </a:p>
        </c:txPr>
        <c:crossAx val="140232576"/>
        <c:crosses val="autoZero"/>
        <c:auto val="1"/>
        <c:lblAlgn val="ctr"/>
        <c:lblOffset val="100"/>
        <c:noMultiLvlLbl val="0"/>
      </c:catAx>
      <c:valAx>
        <c:axId val="14023257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0231040"/>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total</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segment'!$B$43</c:f>
              <c:strCache>
                <c:ptCount val="1"/>
                <c:pt idx="0">
                  <c:v>Enterprise</c:v>
                </c:pt>
              </c:strCache>
            </c:strRef>
          </c:tx>
          <c:cat>
            <c:numRef>
              <c:f>'Products x segment'!$C$40:$M$40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segment'!$C$43:$M$43</c:f>
              <c:numCache>
                <c:formatCode>_("$"* #,##0_);_("$"* \(#,##0\);_("$"* "-"??_);_(@_)</c:formatCode>
                <c:ptCount val="11"/>
                <c:pt idx="0">
                  <c:v>598.77204776909878</c:v>
                </c:pt>
                <c:pt idx="1">
                  <c:v>583.36292043779542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DCF-3D43-861A-8E9CEF0BEB57}"/>
            </c:ext>
          </c:extLst>
        </c:ser>
        <c:ser>
          <c:idx val="1"/>
          <c:order val="1"/>
          <c:tx>
            <c:strRef>
              <c:f>'Products x segment'!$B$41</c:f>
              <c:strCache>
                <c:ptCount val="1"/>
                <c:pt idx="0">
                  <c:v>Telecom</c:v>
                </c:pt>
              </c:strCache>
            </c:strRef>
          </c:tx>
          <c:cat>
            <c:numRef>
              <c:f>'Products x segment'!$C$40:$M$40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segment'!$C$41:$M$41</c:f>
              <c:numCache>
                <c:formatCode>_("$"* #,##0_);_("$"* \(#,##0\);_("$"* "-"??_);_(@_)</c:formatCode>
                <c:ptCount val="11"/>
                <c:pt idx="0">
                  <c:v>970.95883262807854</c:v>
                </c:pt>
                <c:pt idx="1">
                  <c:v>686.97300036965203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DCF-3D43-861A-8E9CEF0BEB57}"/>
            </c:ext>
          </c:extLst>
        </c:ser>
        <c:ser>
          <c:idx val="0"/>
          <c:order val="2"/>
          <c:tx>
            <c:strRef>
              <c:f>'Products x segment'!$B$42</c:f>
              <c:strCache>
                <c:ptCount val="1"/>
                <c:pt idx="0">
                  <c:v>Cloud</c:v>
                </c:pt>
              </c:strCache>
            </c:strRef>
          </c:tx>
          <c:cat>
            <c:numRef>
              <c:f>'Products x segment'!$C$40:$M$40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segment'!$C$42:$M$42</c:f>
              <c:numCache>
                <c:formatCode>_("$"* #,##0_);_("$"* \(#,##0\);_("$"* "-"??_);_(@_)</c:formatCode>
                <c:ptCount val="11"/>
                <c:pt idx="0">
                  <c:v>1117.8845272480094</c:v>
                </c:pt>
                <c:pt idx="1">
                  <c:v>1907.8960712813273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DCF-3D43-861A-8E9CEF0BEB57}"/>
            </c:ext>
          </c:extLst>
        </c:ser>
        <c:dLbls>
          <c:showLegendKey val="0"/>
          <c:showVal val="0"/>
          <c:showCatName val="0"/>
          <c:showSerName val="0"/>
          <c:showPercent val="0"/>
          <c:showBubbleSize val="0"/>
        </c:dLbls>
        <c:axId val="140317440"/>
        <c:axId val="140318976"/>
      </c:areaChart>
      <c:catAx>
        <c:axId val="140317440"/>
        <c:scaling>
          <c:orientation val="minMax"/>
        </c:scaling>
        <c:delete val="0"/>
        <c:axPos val="b"/>
        <c:numFmt formatCode="General" sourceLinked="1"/>
        <c:majorTickMark val="out"/>
        <c:minorTickMark val="none"/>
        <c:tickLblPos val="nextTo"/>
        <c:txPr>
          <a:bodyPr/>
          <a:lstStyle/>
          <a:p>
            <a:pPr>
              <a:defRPr sz="1200"/>
            </a:pPr>
            <a:endParaRPr lang="en-US"/>
          </a:p>
        </c:txPr>
        <c:crossAx val="140318976"/>
        <c:crosses val="autoZero"/>
        <c:auto val="1"/>
        <c:lblAlgn val="ctr"/>
        <c:lblOffset val="100"/>
        <c:noMultiLvlLbl val="0"/>
      </c:catAx>
      <c:valAx>
        <c:axId val="14031897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40317440"/>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Cloud</a:t>
            </a:r>
          </a:p>
        </c:rich>
      </c:tx>
      <c:overlay val="0"/>
    </c:title>
    <c:autoTitleDeleted val="0"/>
    <c:plotArea>
      <c:layout>
        <c:manualLayout>
          <c:layoutTarget val="inner"/>
          <c:xMode val="edge"/>
          <c:yMode val="edge"/>
          <c:x val="0.163486111069544"/>
          <c:y val="0.14964134924112099"/>
          <c:w val="0.80357138700423203"/>
          <c:h val="0.74123168710805598"/>
        </c:manualLayout>
      </c:layout>
      <c:lineChart>
        <c:grouping val="standard"/>
        <c:varyColors val="0"/>
        <c:ser>
          <c:idx val="0"/>
          <c:order val="0"/>
          <c:tx>
            <c:strRef>
              <c:f>'Products x segment'!$N$290</c:f>
              <c:strCache>
                <c:ptCount val="1"/>
                <c:pt idx="0">
                  <c:v>Cum installed OC bandwidth - Cloud</c:v>
                </c:pt>
              </c:strCache>
            </c:strRef>
          </c:tx>
          <c:cat>
            <c:numRef>
              <c:f>'Products x segment'!$C$281:$M$281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segment'!$C$290:$M$290</c:f>
              <c:numCache>
                <c:formatCode>0%</c:formatCode>
                <c:ptCount val="11"/>
                <c:pt idx="0">
                  <c:v>0.57976641246958427</c:v>
                </c:pt>
                <c:pt idx="1">
                  <c:v>0.70931126224124008</c:v>
                </c:pt>
              </c:numCache>
            </c:numRef>
          </c:val>
          <c:smooth val="0"/>
          <c:extLst>
            <c:ext xmlns:c16="http://schemas.microsoft.com/office/drawing/2014/chart" uri="{C3380CC4-5D6E-409C-BE32-E72D297353CC}">
              <c16:uniqueId val="{00000000-F798-BC4A-811A-15174CB1A314}"/>
            </c:ext>
          </c:extLst>
        </c:ser>
        <c:dLbls>
          <c:showLegendKey val="0"/>
          <c:showVal val="0"/>
          <c:showCatName val="0"/>
          <c:showSerName val="0"/>
          <c:showPercent val="0"/>
          <c:showBubbleSize val="0"/>
        </c:dLbls>
        <c:marker val="1"/>
        <c:smooth val="0"/>
        <c:axId val="140340224"/>
        <c:axId val="140342016"/>
      </c:lineChart>
      <c:catAx>
        <c:axId val="140340224"/>
        <c:scaling>
          <c:orientation val="minMax"/>
        </c:scaling>
        <c:delete val="0"/>
        <c:axPos val="b"/>
        <c:numFmt formatCode="General" sourceLinked="1"/>
        <c:majorTickMark val="out"/>
        <c:minorTickMark val="none"/>
        <c:tickLblPos val="nextTo"/>
        <c:txPr>
          <a:bodyPr/>
          <a:lstStyle/>
          <a:p>
            <a:pPr>
              <a:defRPr sz="1400"/>
            </a:pPr>
            <a:endParaRPr lang="en-US"/>
          </a:p>
        </c:txPr>
        <c:crossAx val="140342016"/>
        <c:crosses val="autoZero"/>
        <c:auto val="1"/>
        <c:lblAlgn val="ctr"/>
        <c:lblOffset val="100"/>
        <c:noMultiLvlLbl val="0"/>
      </c:catAx>
      <c:valAx>
        <c:axId val="140342016"/>
        <c:scaling>
          <c:orientation val="minMax"/>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40340224"/>
        <c:crosses val="autoZero"/>
        <c:crossBetween val="between"/>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Enterprise</a:t>
            </a:r>
          </a:p>
        </c:rich>
      </c:tx>
      <c:overlay val="0"/>
    </c:title>
    <c:autoTitleDeleted val="0"/>
    <c:plotArea>
      <c:layout>
        <c:manualLayout>
          <c:layoutTarget val="inner"/>
          <c:xMode val="edge"/>
          <c:yMode val="edge"/>
          <c:x val="0.17320452394550001"/>
          <c:y val="0.13772645722100299"/>
          <c:w val="0.77538836079651197"/>
          <c:h val="0.75314657912817395"/>
        </c:manualLayout>
      </c:layout>
      <c:lineChart>
        <c:grouping val="standard"/>
        <c:varyColors val="0"/>
        <c:ser>
          <c:idx val="1"/>
          <c:order val="0"/>
          <c:tx>
            <c:strRef>
              <c:f>'Products x segment'!$N$291</c:f>
              <c:strCache>
                <c:ptCount val="1"/>
                <c:pt idx="0">
                  <c:v>Cum installed OC bandwidth - Enterprise</c:v>
                </c:pt>
              </c:strCache>
            </c:strRef>
          </c:tx>
          <c:cat>
            <c:numRef>
              <c:f>'Products x segment'!$C$281:$M$281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segment'!$C$291:$M$291</c:f>
              <c:numCache>
                <c:formatCode>0%</c:formatCode>
                <c:ptCount val="11"/>
                <c:pt idx="0">
                  <c:v>0.29766140339975111</c:v>
                </c:pt>
                <c:pt idx="1">
                  <c:v>0.26265269444090578</c:v>
                </c:pt>
              </c:numCache>
            </c:numRef>
          </c:val>
          <c:smooth val="0"/>
          <c:extLst>
            <c:ext xmlns:c16="http://schemas.microsoft.com/office/drawing/2014/chart" uri="{C3380CC4-5D6E-409C-BE32-E72D297353CC}">
              <c16:uniqueId val="{00000000-1E9E-EB41-B7E5-F1396C2A436F}"/>
            </c:ext>
          </c:extLst>
        </c:ser>
        <c:dLbls>
          <c:showLegendKey val="0"/>
          <c:showVal val="0"/>
          <c:showCatName val="0"/>
          <c:showSerName val="0"/>
          <c:showPercent val="0"/>
          <c:showBubbleSize val="0"/>
        </c:dLbls>
        <c:marker val="1"/>
        <c:smooth val="0"/>
        <c:axId val="140375168"/>
        <c:axId val="140376704"/>
      </c:lineChart>
      <c:catAx>
        <c:axId val="140375168"/>
        <c:scaling>
          <c:orientation val="minMax"/>
        </c:scaling>
        <c:delete val="0"/>
        <c:axPos val="b"/>
        <c:numFmt formatCode="General" sourceLinked="1"/>
        <c:majorTickMark val="out"/>
        <c:minorTickMark val="none"/>
        <c:tickLblPos val="nextTo"/>
        <c:txPr>
          <a:bodyPr/>
          <a:lstStyle/>
          <a:p>
            <a:pPr>
              <a:defRPr sz="1400"/>
            </a:pPr>
            <a:endParaRPr lang="en-US"/>
          </a:p>
        </c:txPr>
        <c:crossAx val="140376704"/>
        <c:crosses val="autoZero"/>
        <c:auto val="1"/>
        <c:lblAlgn val="ctr"/>
        <c:lblOffset val="100"/>
        <c:noMultiLvlLbl val="0"/>
      </c:catAx>
      <c:valAx>
        <c:axId val="140376704"/>
        <c:scaling>
          <c:orientation val="minMax"/>
          <c:max val="1"/>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4037516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Revenues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75267046734948"/>
          <c:y val="0.18755123376963601"/>
          <c:w val="0.78963970811218598"/>
          <c:h val="0.71383275877335595"/>
        </c:manualLayout>
      </c:layout>
      <c:areaChart>
        <c:grouping val="stacked"/>
        <c:varyColors val="0"/>
        <c:ser>
          <c:idx val="0"/>
          <c:order val="0"/>
          <c:tx>
            <c:strRef>
              <c:f>'Products x segment'!$B$254</c:f>
              <c:strCache>
                <c:ptCount val="1"/>
                <c:pt idx="0">
                  <c:v>SMF</c:v>
                </c:pt>
              </c:strCache>
            </c:strRef>
          </c:tx>
          <c:cat>
            <c:numRef>
              <c:f>'Products x segment'!$C$252:$M$252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segment'!$C$254:$M$254</c:f>
              <c:numCache>
                <c:formatCode>_("$"* #,##0_);_("$"* \(#,##0\);_("$"* "-"??_);_(@_)</c:formatCode>
                <c:ptCount val="11"/>
                <c:pt idx="0">
                  <c:v>2077.5830276045085</c:v>
                </c:pt>
                <c:pt idx="1">
                  <c:v>2519.175491675358</c:v>
                </c:pt>
              </c:numCache>
            </c:numRef>
          </c:val>
          <c:extLst>
            <c:ext xmlns:c16="http://schemas.microsoft.com/office/drawing/2014/chart" uri="{C3380CC4-5D6E-409C-BE32-E72D297353CC}">
              <c16:uniqueId val="{00000000-62F7-5043-90CA-F0703CCB6AAC}"/>
            </c:ext>
          </c:extLst>
        </c:ser>
        <c:ser>
          <c:idx val="1"/>
          <c:order val="1"/>
          <c:tx>
            <c:strRef>
              <c:f>'Products x segment'!$B$253</c:f>
              <c:strCache>
                <c:ptCount val="1"/>
                <c:pt idx="0">
                  <c:v>MMF</c:v>
                </c:pt>
              </c:strCache>
            </c:strRef>
          </c:tx>
          <c:cat>
            <c:numRef>
              <c:f>'Products x segment'!$C$252:$M$252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segment'!$C$253:$M$253</c:f>
              <c:numCache>
                <c:formatCode>_("$"* #,##0_);_("$"* \(#,##0\);_("$"* "-"??_);_(@_)</c:formatCode>
                <c:ptCount val="11"/>
                <c:pt idx="0">
                  <c:v>610.03238004067839</c:v>
                </c:pt>
                <c:pt idx="1">
                  <c:v>659.13780041341568</c:v>
                </c:pt>
              </c:numCache>
            </c:numRef>
          </c:val>
          <c:extLst>
            <c:ext xmlns:c16="http://schemas.microsoft.com/office/drawing/2014/chart" uri="{C3380CC4-5D6E-409C-BE32-E72D297353CC}">
              <c16:uniqueId val="{00000001-62F7-5043-90CA-F0703CCB6AAC}"/>
            </c:ext>
          </c:extLst>
        </c:ser>
        <c:dLbls>
          <c:showLegendKey val="0"/>
          <c:showVal val="0"/>
          <c:showCatName val="0"/>
          <c:showSerName val="0"/>
          <c:showPercent val="0"/>
          <c:showBubbleSize val="0"/>
        </c:dLbls>
        <c:axId val="140415360"/>
        <c:axId val="140416896"/>
      </c:areaChart>
      <c:catAx>
        <c:axId val="140415360"/>
        <c:scaling>
          <c:orientation val="minMax"/>
        </c:scaling>
        <c:delete val="0"/>
        <c:axPos val="b"/>
        <c:numFmt formatCode="General" sourceLinked="1"/>
        <c:majorTickMark val="out"/>
        <c:minorTickMark val="none"/>
        <c:tickLblPos val="nextTo"/>
        <c:crossAx val="140416896"/>
        <c:crosses val="autoZero"/>
        <c:auto val="1"/>
        <c:lblAlgn val="ctr"/>
        <c:lblOffset val="100"/>
        <c:noMultiLvlLbl val="0"/>
      </c:catAx>
      <c:valAx>
        <c:axId val="140416896"/>
        <c:scaling>
          <c:orientation val="minMax"/>
        </c:scaling>
        <c:delete val="0"/>
        <c:axPos val="l"/>
        <c:majorGridlines/>
        <c:title>
          <c:tx>
            <c:rich>
              <a:bodyPr rot="-5400000" vert="horz"/>
              <a:lstStyle/>
              <a:p>
                <a:pPr>
                  <a:defRPr sz="1400"/>
                </a:pPr>
                <a:r>
                  <a:rPr lang="en-US" sz="1400"/>
                  <a:t>$ million</a:t>
                </a:r>
              </a:p>
            </c:rich>
          </c:tx>
          <c:layout>
            <c:manualLayout>
              <c:xMode val="edge"/>
              <c:yMode val="edge"/>
              <c:x val="2.90224691900169E-2"/>
              <c:y val="0.43991703441873098"/>
            </c:manualLayout>
          </c:layout>
          <c:overlay val="0"/>
        </c:title>
        <c:numFmt formatCode="&quot;$&quot;#,##0" sourceLinked="0"/>
        <c:majorTickMark val="out"/>
        <c:minorTickMark val="none"/>
        <c:tickLblPos val="nextTo"/>
        <c:crossAx val="140415360"/>
        <c:crosses val="autoZero"/>
        <c:crossBetween val="midCat"/>
      </c:valAx>
    </c:plotArea>
    <c:legend>
      <c:legendPos val="t"/>
      <c:layout>
        <c:manualLayout>
          <c:xMode val="edge"/>
          <c:yMode val="edge"/>
          <c:x val="0.214784778040503"/>
          <c:y val="0.114562777397984"/>
          <c:w val="0.59748064172442805"/>
          <c:h val="6.8468090828078906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volume distribution</a:t>
            </a:r>
          </a:p>
        </c:rich>
      </c:tx>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dLbl>
              <c:idx val="0"/>
              <c:layout>
                <c:manualLayout>
                  <c:x val="2.7777777777777801E-2"/>
                  <c:y val="9.7222222222222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61-BD4B-86E9-A14E8273DE3B}"/>
                </c:ext>
              </c:extLst>
            </c:dLbl>
            <c:dLbl>
              <c:idx val="1"/>
              <c:layout>
                <c:manualLayout>
                  <c:x val="2.2222222222222199E-2"/>
                  <c:y val="-9.25925925925926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61-BD4B-86E9-A14E8273DE3B}"/>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segment'!$N$32:$N$34</c:f>
              <c:numCache>
                <c:formatCode>_(* #,##0_);_(* \(#,##0\);_(* "-"??_);_(@_)</c:formatCode>
                <c:ptCount val="3"/>
                <c:pt idx="0">
                  <c:v>0</c:v>
                </c:pt>
                <c:pt idx="1">
                  <c:v>0</c:v>
                </c:pt>
                <c:pt idx="2">
                  <c:v>0</c:v>
                </c:pt>
              </c:numCache>
            </c:numRef>
          </c:val>
          <c:extLst>
            <c:ext xmlns:c16="http://schemas.microsoft.com/office/drawing/2014/chart" uri="{C3380CC4-5D6E-409C-BE32-E72D297353CC}">
              <c16:uniqueId val="{00000002-2A61-BD4B-86E9-A14E8273DE3B}"/>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revenue distribution ($bn)</a:t>
            </a:r>
          </a:p>
        </c:rich>
      </c:tx>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dLbl>
              <c:idx val="0"/>
              <c:layout>
                <c:manualLayout>
                  <c:x val="2.7777777777777801E-2"/>
                  <c:y val="9.722222222222219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BF-C043-96FC-22512E109565}"/>
                </c:ext>
              </c:extLst>
            </c:dLbl>
            <c:dLbl>
              <c:idx val="1"/>
              <c:layout>
                <c:manualLayout>
                  <c:x val="-4.9689004808965475E-3"/>
                  <c:y val="-9.25926931401854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BF-C043-96FC-22512E109565}"/>
                </c:ext>
              </c:extLst>
            </c:dLbl>
            <c:spPr>
              <a:noFill/>
              <a:ln>
                <a:noFill/>
              </a:ln>
              <a:effectLst/>
            </c:spPr>
            <c:txPr>
              <a:bodyPr/>
              <a:lstStyle/>
              <a:p>
                <a:pPr>
                  <a:defRPr sz="1400"/>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segment'!$N$41:$N$43</c:f>
              <c:numCache>
                <c:formatCode>_("$"* #,##0_);_("$"* \(#,##0\);_("$"* "-"??_);_(@_)</c:formatCode>
                <c:ptCount val="3"/>
                <c:pt idx="0">
                  <c:v>0</c:v>
                </c:pt>
                <c:pt idx="1">
                  <c:v>0</c:v>
                </c:pt>
                <c:pt idx="2">
                  <c:v>0</c:v>
                </c:pt>
              </c:numCache>
            </c:numRef>
          </c:val>
          <c:extLst>
            <c:ext xmlns:c16="http://schemas.microsoft.com/office/drawing/2014/chart" uri="{C3380CC4-5D6E-409C-BE32-E72D297353CC}">
              <c16:uniqueId val="{00000002-42BF-C043-96FC-22512E109565}"/>
            </c:ext>
          </c:extLst>
        </c:ser>
        <c:dLbls>
          <c:dLblPos val="outEnd"/>
          <c:showLegendKey val="0"/>
          <c:showVal val="1"/>
          <c:showCatName val="0"/>
          <c:showSerName val="0"/>
          <c:showPercent val="0"/>
          <c:showBubbleSize val="0"/>
          <c:showLeaderLines val="0"/>
        </c:dLbls>
        <c:firstSliceAng val="82"/>
      </c:pieChart>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Shipments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5769722241206299"/>
          <c:y val="0.18755123376963601"/>
          <c:w val="0.81089664617587098"/>
          <c:h val="0.70247373337177299"/>
        </c:manualLayout>
      </c:layout>
      <c:areaChart>
        <c:grouping val="percentStacked"/>
        <c:varyColors val="0"/>
        <c:ser>
          <c:idx val="0"/>
          <c:order val="0"/>
          <c:tx>
            <c:strRef>
              <c:f>'Products x segment'!$B$246</c:f>
              <c:strCache>
                <c:ptCount val="1"/>
                <c:pt idx="0">
                  <c:v>SMF</c:v>
                </c:pt>
              </c:strCache>
            </c:strRef>
          </c:tx>
          <c:cat>
            <c:numRef>
              <c:f>'Products x segment'!$C$244:$M$244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segment'!$C$246:$M$246</c:f>
              <c:numCache>
                <c:formatCode>_(* #,##0_);_(* \(#,##0\);_(* "-"??_);_(@_)</c:formatCode>
                <c:ptCount val="11"/>
                <c:pt idx="0">
                  <c:v>18629968.005000003</c:v>
                </c:pt>
                <c:pt idx="1">
                  <c:v>18393179.149999999</c:v>
                </c:pt>
              </c:numCache>
            </c:numRef>
          </c:val>
          <c:extLst>
            <c:ext xmlns:c16="http://schemas.microsoft.com/office/drawing/2014/chart" uri="{C3380CC4-5D6E-409C-BE32-E72D297353CC}">
              <c16:uniqueId val="{00000000-9DE2-374C-9E2C-CB5845B72539}"/>
            </c:ext>
          </c:extLst>
        </c:ser>
        <c:ser>
          <c:idx val="1"/>
          <c:order val="1"/>
          <c:tx>
            <c:strRef>
              <c:f>'Products x segment'!$B$245</c:f>
              <c:strCache>
                <c:ptCount val="1"/>
                <c:pt idx="0">
                  <c:v>MMF</c:v>
                </c:pt>
              </c:strCache>
            </c:strRef>
          </c:tx>
          <c:cat>
            <c:numRef>
              <c:f>'Products x segment'!$C$244:$M$244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segment'!$C$245:$M$245</c:f>
              <c:numCache>
                <c:formatCode>_(* #,##0_);_(* \(#,##0\);_(* "-"??_);_(@_)</c:formatCode>
                <c:ptCount val="11"/>
                <c:pt idx="0">
                  <c:v>17803446.030000001</c:v>
                </c:pt>
                <c:pt idx="1">
                  <c:v>19708933</c:v>
                </c:pt>
              </c:numCache>
            </c:numRef>
          </c:val>
          <c:extLst>
            <c:ext xmlns:c16="http://schemas.microsoft.com/office/drawing/2014/chart" uri="{C3380CC4-5D6E-409C-BE32-E72D297353CC}">
              <c16:uniqueId val="{00000001-9DE2-374C-9E2C-CB5845B72539}"/>
            </c:ext>
          </c:extLst>
        </c:ser>
        <c:dLbls>
          <c:showLegendKey val="0"/>
          <c:showVal val="0"/>
          <c:showCatName val="0"/>
          <c:showSerName val="0"/>
          <c:showPercent val="0"/>
          <c:showBubbleSize val="0"/>
        </c:dLbls>
        <c:axId val="141240576"/>
        <c:axId val="141254656"/>
      </c:areaChart>
      <c:catAx>
        <c:axId val="141240576"/>
        <c:scaling>
          <c:orientation val="minMax"/>
        </c:scaling>
        <c:delete val="0"/>
        <c:axPos val="b"/>
        <c:numFmt formatCode="General" sourceLinked="1"/>
        <c:majorTickMark val="out"/>
        <c:minorTickMark val="none"/>
        <c:tickLblPos val="nextTo"/>
        <c:crossAx val="141254656"/>
        <c:crosses val="autoZero"/>
        <c:auto val="1"/>
        <c:lblAlgn val="ctr"/>
        <c:lblOffset val="100"/>
        <c:noMultiLvlLbl val="0"/>
      </c:catAx>
      <c:valAx>
        <c:axId val="141254656"/>
        <c:scaling>
          <c:orientation val="minMax"/>
        </c:scaling>
        <c:delete val="0"/>
        <c:axPos val="l"/>
        <c:majorGridlines/>
        <c:numFmt formatCode="0%" sourceLinked="0"/>
        <c:majorTickMark val="out"/>
        <c:minorTickMark val="none"/>
        <c:tickLblPos val="nextTo"/>
        <c:crossAx val="141240576"/>
        <c:crosses val="autoZero"/>
        <c:crossBetween val="midCat"/>
      </c:valAx>
    </c:plotArea>
    <c:legend>
      <c:legendPos val="t"/>
      <c:layout>
        <c:manualLayout>
          <c:xMode val="edge"/>
          <c:yMode val="edge"/>
          <c:x val="0.40251936855162301"/>
          <c:y val="8.0485701193234296E-2"/>
          <c:w val="0.24716568149023299"/>
          <c:h val="9.5925627899197397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8080523836655"/>
          <c:y val="7.2643385614557826E-2"/>
          <c:w val="0.83578328402007152"/>
          <c:h val="0.82725857833003746"/>
        </c:manualLayout>
      </c:layout>
      <c:lineChart>
        <c:grouping val="standard"/>
        <c:varyColors val="0"/>
        <c:ser>
          <c:idx val="0"/>
          <c:order val="0"/>
          <c:tx>
            <c:strRef>
              <c:f>Summary!$B$392</c:f>
              <c:strCache>
                <c:ptCount val="1"/>
                <c:pt idx="0">
                  <c:v>100 m  100G CFP</c:v>
                </c:pt>
              </c:strCache>
            </c:strRef>
          </c:tx>
          <c:cat>
            <c:numRef>
              <c:f>Summary!$C$391:$M$391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Summary!$C$392:$M$392</c:f>
              <c:numCache>
                <c:formatCode>_("$"* #,##0.0_);_("$"* \(#,##0.0\);_("$"* "-"??_);_(@_)</c:formatCode>
                <c:ptCount val="11"/>
                <c:pt idx="0">
                  <c:v>21.078782</c:v>
                </c:pt>
                <c:pt idx="1">
                  <c:v>8.8030050000000024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C0D-A946-A03E-62CF997F9E3D}"/>
            </c:ext>
          </c:extLst>
        </c:ser>
        <c:ser>
          <c:idx val="1"/>
          <c:order val="1"/>
          <c:tx>
            <c:strRef>
              <c:f>Summary!$B$393</c:f>
              <c:strCache>
                <c:ptCount val="1"/>
                <c:pt idx="0">
                  <c:v>100 m  100G CFP2/CFP4</c:v>
                </c:pt>
              </c:strCache>
            </c:strRef>
          </c:tx>
          <c:cat>
            <c:numRef>
              <c:f>Summary!$C$391:$M$391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Summary!$C$393:$M$393</c:f>
              <c:numCache>
                <c:formatCode>_("$"* #,##0.0_);_("$"* \(#,##0.0\);_("$"* "-"??_);_(@_)</c:formatCode>
                <c:ptCount val="11"/>
                <c:pt idx="0">
                  <c:v>5.2611999999999997</c:v>
                </c:pt>
                <c:pt idx="1">
                  <c:v>2.4791280000000007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C0D-A946-A03E-62CF997F9E3D}"/>
            </c:ext>
          </c:extLst>
        </c:ser>
        <c:ser>
          <c:idx val="2"/>
          <c:order val="2"/>
          <c:tx>
            <c:strRef>
              <c:f>Summary!$B$394</c:f>
              <c:strCache>
                <c:ptCount val="1"/>
                <c:pt idx="0">
                  <c:v>100 m  100G SR2, SR4  QSFP28</c:v>
                </c:pt>
              </c:strCache>
            </c:strRef>
          </c:tx>
          <c:cat>
            <c:numRef>
              <c:f>Summary!$C$391:$M$391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Summary!$C$394:$M$394</c:f>
              <c:numCache>
                <c:formatCode>_("$"* #,##0.0_);_("$"* \(#,##0.0\);_("$"* "-"??_);_(@_)</c:formatCode>
                <c:ptCount val="11"/>
                <c:pt idx="0">
                  <c:v>72.281363999999996</c:v>
                </c:pt>
                <c:pt idx="1">
                  <c:v>113.36232738072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BC0D-A946-A03E-62CF997F9E3D}"/>
            </c:ext>
          </c:extLst>
        </c:ser>
        <c:ser>
          <c:idx val="3"/>
          <c:order val="3"/>
          <c:tx>
            <c:strRef>
              <c:f>Summary!$B$395</c:f>
              <c:strCache>
                <c:ptCount val="1"/>
                <c:pt idx="0">
                  <c:v>100 m  100G QSFP28 MM Duplex</c:v>
                </c:pt>
              </c:strCache>
            </c:strRef>
          </c:tx>
          <c:cat>
            <c:numRef>
              <c:f>Summary!$C$391:$M$391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Summary!$C$395:$M$395</c:f>
              <c:numCache>
                <c:formatCode>_("$"* #,##0.0_);_("$"* \(#,##0.0\);_("$"*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BC0D-A946-A03E-62CF997F9E3D}"/>
            </c:ext>
          </c:extLst>
        </c:ser>
        <c:ser>
          <c:idx val="4"/>
          <c:order val="4"/>
          <c:tx>
            <c:strRef>
              <c:f>Summary!$B$396</c:f>
              <c:strCache>
                <c:ptCount val="1"/>
                <c:pt idx="0">
                  <c:v>300 m  100G QSFP28  eSR4</c:v>
                </c:pt>
              </c:strCache>
            </c:strRef>
          </c:tx>
          <c:cat>
            <c:numRef>
              <c:f>Summary!$C$391:$M$391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Summary!$C$396:$M$396</c:f>
              <c:numCache>
                <c:formatCode>_("$"* #,##0.0_);_("$"* \(#,##0.0\);_("$"*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BC0D-A946-A03E-62CF997F9E3D}"/>
            </c:ext>
          </c:extLst>
        </c:ser>
        <c:dLbls>
          <c:showLegendKey val="0"/>
          <c:showVal val="0"/>
          <c:showCatName val="0"/>
          <c:showSerName val="0"/>
          <c:showPercent val="0"/>
          <c:showBubbleSize val="0"/>
        </c:dLbls>
        <c:marker val="1"/>
        <c:smooth val="0"/>
        <c:axId val="131880064"/>
        <c:axId val="131881600"/>
      </c:lineChart>
      <c:catAx>
        <c:axId val="131880064"/>
        <c:scaling>
          <c:orientation val="minMax"/>
        </c:scaling>
        <c:delete val="0"/>
        <c:axPos val="b"/>
        <c:numFmt formatCode="General" sourceLinked="1"/>
        <c:majorTickMark val="out"/>
        <c:minorTickMark val="none"/>
        <c:tickLblPos val="nextTo"/>
        <c:txPr>
          <a:bodyPr/>
          <a:lstStyle/>
          <a:p>
            <a:pPr>
              <a:defRPr sz="1000"/>
            </a:pPr>
            <a:endParaRPr lang="en-US"/>
          </a:p>
        </c:txPr>
        <c:crossAx val="131881600"/>
        <c:crosses val="autoZero"/>
        <c:auto val="1"/>
        <c:lblAlgn val="ctr"/>
        <c:lblOffset val="100"/>
        <c:noMultiLvlLbl val="0"/>
      </c:catAx>
      <c:valAx>
        <c:axId val="131881600"/>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7523889404114482E-3"/>
              <c:y val="0.22120318607869369"/>
            </c:manualLayout>
          </c:layout>
          <c:overlay val="0"/>
        </c:title>
        <c:numFmt formatCode="&quot;$&quot;#,##0" sourceLinked="0"/>
        <c:majorTickMark val="out"/>
        <c:minorTickMark val="none"/>
        <c:tickLblPos val="nextTo"/>
        <c:txPr>
          <a:bodyPr/>
          <a:lstStyle/>
          <a:p>
            <a:pPr>
              <a:defRPr sz="1200"/>
            </a:pPr>
            <a:endParaRPr lang="en-US"/>
          </a:p>
        </c:txPr>
        <c:crossAx val="131880064"/>
        <c:crosses val="autoZero"/>
        <c:crossBetween val="between"/>
      </c:valAx>
    </c:plotArea>
    <c:legend>
      <c:legendPos val="t"/>
      <c:layout>
        <c:manualLayout>
          <c:xMode val="edge"/>
          <c:yMode val="edge"/>
          <c:x val="0.15730957905859053"/>
          <c:y val="4.1787605831989046E-2"/>
          <c:w val="0.39366770542199675"/>
          <c:h val="0.3792691934134346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2016 revenue by segment </a:t>
            </a:r>
          </a:p>
          <a:p>
            <a:pPr>
              <a:defRPr sz="1400"/>
            </a:pPr>
            <a:r>
              <a:rPr lang="en-US" sz="1400"/>
              <a:t>$2.7 billion</a:t>
            </a:r>
          </a:p>
        </c:rich>
      </c:tx>
      <c:overlay val="1"/>
    </c:title>
    <c:autoTitleDeleted val="0"/>
    <c:plotArea>
      <c:layout>
        <c:manualLayout>
          <c:layoutTarget val="inner"/>
          <c:xMode val="edge"/>
          <c:yMode val="edge"/>
          <c:x val="0.28569021513398801"/>
          <c:y val="0.33288616100206703"/>
          <c:w val="0.30339026397563301"/>
          <c:h val="0.39498240725789802"/>
        </c:manualLayout>
      </c:layout>
      <c:pieChart>
        <c:varyColors val="1"/>
        <c:ser>
          <c:idx val="0"/>
          <c:order val="0"/>
          <c:dLbls>
            <c:dLbl>
              <c:idx val="0"/>
              <c:layout>
                <c:manualLayout>
                  <c:x val="-4.0410877308961701E-2"/>
                  <c:y val="-0.12979866196231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87-0244-9128-2412F648C03D}"/>
                </c:ext>
              </c:extLst>
            </c:dLbl>
            <c:dLbl>
              <c:idx val="1"/>
              <c:layout>
                <c:manualLayout>
                  <c:x val="-1.8264811835038301E-2"/>
                  <c:y val="3.72059688221313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187-0244-9128-2412F648C03D}"/>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segment'!$C$41:$C$43</c:f>
              <c:numCache>
                <c:formatCode>_("$"* #,##0_);_("$"* \(#,##0\);_("$"* "-"??_);_(@_)</c:formatCode>
                <c:ptCount val="3"/>
                <c:pt idx="0">
                  <c:v>970.95883262807854</c:v>
                </c:pt>
                <c:pt idx="1">
                  <c:v>1117.8845272480094</c:v>
                </c:pt>
                <c:pt idx="2">
                  <c:v>598.77204776909878</c:v>
                </c:pt>
              </c:numCache>
            </c:numRef>
          </c:val>
          <c:extLst>
            <c:ext xmlns:c16="http://schemas.microsoft.com/office/drawing/2014/chart" uri="{C3380CC4-5D6E-409C-BE32-E72D297353CC}">
              <c16:uniqueId val="{00000002-A187-0244-9128-2412F648C03D}"/>
            </c:ext>
          </c:extLst>
        </c:ser>
        <c:dLbls>
          <c:dLblPos val="outEnd"/>
          <c:showLegendKey val="0"/>
          <c:showVal val="1"/>
          <c:showCatName val="0"/>
          <c:showSerName val="0"/>
          <c:showPercent val="0"/>
          <c:showBubbleSize val="0"/>
          <c:showLeaderLines val="0"/>
        </c:dLbls>
        <c:firstSliceAng val="182"/>
      </c:pieChart>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2025 revenue by segment </a:t>
            </a:r>
          </a:p>
          <a:p>
            <a:pPr>
              <a:defRPr sz="1400"/>
            </a:pPr>
            <a:r>
              <a:rPr lang="en-US" sz="1400"/>
              <a:t>$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dLbls>
            <c:dLbl>
              <c:idx val="0"/>
              <c:layout>
                <c:manualLayout>
                  <c:x val="3.7818618097391343E-2"/>
                  <c:y val="-2.27422647635712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8.6102354511917393E-3"/>
                  <c:y val="2.556768042417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segment'!$L$41:$L$43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segment'!$B$120</c:f>
              <c:strCache>
                <c:ptCount val="1"/>
                <c:pt idx="0">
                  <c:v>Enterprise</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segment'!$C$120:$M$120</c:f>
              <c:numCache>
                <c:formatCode>_(* #,##0_);_(* \(#,##0\);_(* "-"??_);_(@_)</c:formatCode>
                <c:ptCount val="11"/>
                <c:pt idx="0">
                  <c:v>1491.1999999999996</c:v>
                </c:pt>
                <c:pt idx="1">
                  <c:v>6554.3999999999987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54E-9645-AC16-E32CEA52E2AE}"/>
            </c:ext>
          </c:extLst>
        </c:ser>
        <c:ser>
          <c:idx val="1"/>
          <c:order val="1"/>
          <c:tx>
            <c:strRef>
              <c:f>'Products x segment'!$B$118</c:f>
              <c:strCache>
                <c:ptCount val="1"/>
                <c:pt idx="0">
                  <c:v>Telecom</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segment'!$C$118:$M$118</c:f>
              <c:numCache>
                <c:formatCode>_(* #,##0_);_(* \(#,##0\);_(* "-"??_);_(@_)</c:formatCode>
                <c:ptCount val="11"/>
                <c:pt idx="0">
                  <c:v>245415.4</c:v>
                </c:pt>
                <c:pt idx="1">
                  <c:v>271656.19999999995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54E-9645-AC16-E32CEA52E2AE}"/>
            </c:ext>
          </c:extLst>
        </c:ser>
        <c:ser>
          <c:idx val="0"/>
          <c:order val="2"/>
          <c:tx>
            <c:strRef>
              <c:f>'Products x segment'!$B$119</c:f>
              <c:strCache>
                <c:ptCount val="1"/>
                <c:pt idx="0">
                  <c:v>Cloud</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segment'!$C$119:$M$119</c:f>
              <c:numCache>
                <c:formatCode>_(* #,##0_);_(* \(#,##0\);_(* "-"??_);_(@_)</c:formatCode>
                <c:ptCount val="11"/>
                <c:pt idx="0">
                  <c:v>672463.4</c:v>
                </c:pt>
                <c:pt idx="1">
                  <c:v>2603279.4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54E-9645-AC16-E32CEA52E2AE}"/>
            </c:ext>
          </c:extLst>
        </c:ser>
        <c:dLbls>
          <c:showLegendKey val="0"/>
          <c:showVal val="0"/>
          <c:showCatName val="0"/>
          <c:showSerName val="0"/>
          <c:showPercent val="0"/>
          <c:showBubbleSize val="0"/>
        </c:dLbls>
        <c:axId val="141354496"/>
        <c:axId val="141356032"/>
      </c:areaChart>
      <c:catAx>
        <c:axId val="141354496"/>
        <c:scaling>
          <c:orientation val="minMax"/>
        </c:scaling>
        <c:delete val="0"/>
        <c:axPos val="b"/>
        <c:numFmt formatCode="General" sourceLinked="1"/>
        <c:majorTickMark val="out"/>
        <c:minorTickMark val="none"/>
        <c:tickLblPos val="nextTo"/>
        <c:txPr>
          <a:bodyPr/>
          <a:lstStyle/>
          <a:p>
            <a:pPr>
              <a:defRPr sz="1200"/>
            </a:pPr>
            <a:endParaRPr lang="en-US"/>
          </a:p>
        </c:txPr>
        <c:crossAx val="141356032"/>
        <c:crosses val="autoZero"/>
        <c:auto val="1"/>
        <c:lblAlgn val="ctr"/>
        <c:lblOffset val="100"/>
        <c:noMultiLvlLbl val="0"/>
      </c:catAx>
      <c:valAx>
        <c:axId val="14135603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135449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100GbE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segment'!$B$129</c:f>
              <c:strCache>
                <c:ptCount val="1"/>
                <c:pt idx="0">
                  <c:v>Enterprise</c:v>
                </c:pt>
              </c:strCache>
            </c:strRef>
          </c:tx>
          <c:cat>
            <c:numRef>
              <c:f>'Products x segment'!$C$126:$M$126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segment'!$C$129:$M$129</c:f>
              <c:numCache>
                <c:formatCode>_(* #,##0_);_(* \(#,##0\);_(* "-"??_);_(@_)</c:formatCode>
                <c:ptCount val="11"/>
                <c:pt idx="0">
                  <c:v>13.409407906828156</c:v>
                </c:pt>
                <c:pt idx="1">
                  <c:v>14.688820280724084</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0E8-C346-8D4C-53714AAD4247}"/>
            </c:ext>
          </c:extLst>
        </c:ser>
        <c:ser>
          <c:idx val="1"/>
          <c:order val="1"/>
          <c:tx>
            <c:strRef>
              <c:f>'Products x segment'!$B$127</c:f>
              <c:strCache>
                <c:ptCount val="1"/>
                <c:pt idx="0">
                  <c:v>Telecom</c:v>
                </c:pt>
              </c:strCache>
            </c:strRef>
          </c:tx>
          <c:cat>
            <c:numRef>
              <c:f>'Products x segment'!$C$126:$M$126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segment'!$C$127:$M$127</c:f>
              <c:numCache>
                <c:formatCode>_(* #,##0_);_(* \(#,##0\);_(* "-"??_);_(@_)</c:formatCode>
                <c:ptCount val="11"/>
                <c:pt idx="0">
                  <c:v>768.76898354972968</c:v>
                </c:pt>
                <c:pt idx="1">
                  <c:v>545.28903131270965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0E8-C346-8D4C-53714AAD4247}"/>
            </c:ext>
          </c:extLst>
        </c:ser>
        <c:ser>
          <c:idx val="0"/>
          <c:order val="2"/>
          <c:tx>
            <c:strRef>
              <c:f>'Products x segment'!$B$128</c:f>
              <c:strCache>
                <c:ptCount val="1"/>
                <c:pt idx="0">
                  <c:v>Cloud</c:v>
                </c:pt>
              </c:strCache>
            </c:strRef>
          </c:tx>
          <c:cat>
            <c:numRef>
              <c:f>'Products x segment'!$C$126:$M$126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segment'!$C$128:$M$128</c:f>
              <c:numCache>
                <c:formatCode>_(* #,##0_);_(* \(#,##0\);_(* "-"??_);_(@_)</c:formatCode>
                <c:ptCount val="11"/>
                <c:pt idx="0">
                  <c:v>360.98057201309041</c:v>
                </c:pt>
                <c:pt idx="1">
                  <c:v>1093.99654038072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A0E8-C346-8D4C-53714AAD4247}"/>
            </c:ext>
          </c:extLst>
        </c:ser>
        <c:dLbls>
          <c:showLegendKey val="0"/>
          <c:showVal val="0"/>
          <c:showCatName val="0"/>
          <c:showSerName val="0"/>
          <c:showPercent val="0"/>
          <c:showBubbleSize val="0"/>
        </c:dLbls>
        <c:axId val="141395840"/>
        <c:axId val="141397376"/>
      </c:areaChart>
      <c:catAx>
        <c:axId val="141395840"/>
        <c:scaling>
          <c:orientation val="minMax"/>
        </c:scaling>
        <c:delete val="0"/>
        <c:axPos val="b"/>
        <c:numFmt formatCode="General" sourceLinked="1"/>
        <c:majorTickMark val="out"/>
        <c:minorTickMark val="none"/>
        <c:tickLblPos val="nextTo"/>
        <c:txPr>
          <a:bodyPr/>
          <a:lstStyle/>
          <a:p>
            <a:pPr>
              <a:defRPr sz="1200"/>
            </a:pPr>
            <a:endParaRPr lang="en-US"/>
          </a:p>
        </c:txPr>
        <c:crossAx val="141397376"/>
        <c:crosses val="autoZero"/>
        <c:auto val="1"/>
        <c:lblAlgn val="ctr"/>
        <c:lblOffset val="100"/>
        <c:noMultiLvlLbl val="0"/>
      </c:catAx>
      <c:valAx>
        <c:axId val="14139737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41395840"/>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200GbE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segment'!$B$162</c:f>
              <c:strCache>
                <c:ptCount val="1"/>
                <c:pt idx="0">
                  <c:v>Enterprise</c:v>
                </c:pt>
              </c:strCache>
            </c:strRef>
          </c:tx>
          <c:cat>
            <c:numRef>
              <c:f>'Products x segment'!$C$159:$M$159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segment'!$C$162:$M$162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DD4-C84F-835D-E7B8BACF774B}"/>
            </c:ext>
          </c:extLst>
        </c:ser>
        <c:ser>
          <c:idx val="1"/>
          <c:order val="1"/>
          <c:tx>
            <c:strRef>
              <c:f>'Products x segment'!$B$160</c:f>
              <c:strCache>
                <c:ptCount val="1"/>
                <c:pt idx="0">
                  <c:v>Telecom</c:v>
                </c:pt>
              </c:strCache>
            </c:strRef>
          </c:tx>
          <c:cat>
            <c:numRef>
              <c:f>'Products x segment'!$C$159:$M$159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segment'!$C$160:$I$160</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DD4-C84F-835D-E7B8BACF774B}"/>
            </c:ext>
          </c:extLst>
        </c:ser>
        <c:ser>
          <c:idx val="0"/>
          <c:order val="2"/>
          <c:tx>
            <c:strRef>
              <c:f>'Products x segment'!$B$161</c:f>
              <c:strCache>
                <c:ptCount val="1"/>
                <c:pt idx="0">
                  <c:v>Cloud</c:v>
                </c:pt>
              </c:strCache>
            </c:strRef>
          </c:tx>
          <c:cat>
            <c:numRef>
              <c:f>'Products x segment'!$C$159:$M$159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segment'!$C$161:$M$161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DD4-C84F-835D-E7B8BACF774B}"/>
            </c:ext>
          </c:extLst>
        </c:ser>
        <c:dLbls>
          <c:showLegendKey val="0"/>
          <c:showVal val="0"/>
          <c:showCatName val="0"/>
          <c:showSerName val="0"/>
          <c:showPercent val="0"/>
          <c:showBubbleSize val="0"/>
        </c:dLbls>
        <c:axId val="141494912"/>
        <c:axId val="141513088"/>
      </c:areaChart>
      <c:catAx>
        <c:axId val="141494912"/>
        <c:scaling>
          <c:orientation val="minMax"/>
        </c:scaling>
        <c:delete val="0"/>
        <c:axPos val="b"/>
        <c:numFmt formatCode="General" sourceLinked="1"/>
        <c:majorTickMark val="out"/>
        <c:minorTickMark val="none"/>
        <c:tickLblPos val="nextTo"/>
        <c:txPr>
          <a:bodyPr/>
          <a:lstStyle/>
          <a:p>
            <a:pPr>
              <a:defRPr sz="1200"/>
            </a:pPr>
            <a:endParaRPr lang="en-US"/>
          </a:p>
        </c:txPr>
        <c:crossAx val="141513088"/>
        <c:crosses val="autoZero"/>
        <c:auto val="1"/>
        <c:lblAlgn val="ctr"/>
        <c:lblOffset val="100"/>
        <c:noMultiLvlLbl val="0"/>
      </c:catAx>
      <c:valAx>
        <c:axId val="14151308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149491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200GbE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segment'!$B$171</c:f>
              <c:strCache>
                <c:ptCount val="1"/>
                <c:pt idx="0">
                  <c:v>Enterprise</c:v>
                </c:pt>
              </c:strCache>
            </c:strRef>
          </c:tx>
          <c:cat>
            <c:numRef>
              <c:f>'Products x segment'!$C$168:$M$168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segment'!$C$171:$M$171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C70-5C4A-AAFB-3D37FC713A7C}"/>
            </c:ext>
          </c:extLst>
        </c:ser>
        <c:ser>
          <c:idx val="1"/>
          <c:order val="1"/>
          <c:tx>
            <c:strRef>
              <c:f>'Products x segment'!$B$169</c:f>
              <c:strCache>
                <c:ptCount val="1"/>
                <c:pt idx="0">
                  <c:v>Telecom</c:v>
                </c:pt>
              </c:strCache>
            </c:strRef>
          </c:tx>
          <c:cat>
            <c:numRef>
              <c:f>'Products x segment'!$C$168:$M$168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segment'!$C$169:$I$169</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C70-5C4A-AAFB-3D37FC713A7C}"/>
            </c:ext>
          </c:extLst>
        </c:ser>
        <c:ser>
          <c:idx val="0"/>
          <c:order val="2"/>
          <c:tx>
            <c:strRef>
              <c:f>'Products x segment'!$B$170</c:f>
              <c:strCache>
                <c:ptCount val="1"/>
                <c:pt idx="0">
                  <c:v>Cloud</c:v>
                </c:pt>
              </c:strCache>
            </c:strRef>
          </c:tx>
          <c:cat>
            <c:numRef>
              <c:f>'Products x segment'!$C$168:$M$168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segment'!$C$170:$M$170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C70-5C4A-AAFB-3D37FC713A7C}"/>
            </c:ext>
          </c:extLst>
        </c:ser>
        <c:dLbls>
          <c:showLegendKey val="0"/>
          <c:showVal val="0"/>
          <c:showCatName val="0"/>
          <c:showSerName val="0"/>
          <c:showPercent val="0"/>
          <c:showBubbleSize val="0"/>
        </c:dLbls>
        <c:axId val="141552640"/>
        <c:axId val="141562624"/>
      </c:areaChart>
      <c:catAx>
        <c:axId val="141552640"/>
        <c:scaling>
          <c:orientation val="minMax"/>
        </c:scaling>
        <c:delete val="0"/>
        <c:axPos val="b"/>
        <c:numFmt formatCode="General" sourceLinked="1"/>
        <c:majorTickMark val="out"/>
        <c:minorTickMark val="none"/>
        <c:tickLblPos val="nextTo"/>
        <c:txPr>
          <a:bodyPr/>
          <a:lstStyle/>
          <a:p>
            <a:pPr>
              <a:defRPr sz="1200"/>
            </a:pPr>
            <a:endParaRPr lang="en-US"/>
          </a:p>
        </c:txPr>
        <c:crossAx val="141562624"/>
        <c:crosses val="autoZero"/>
        <c:auto val="1"/>
        <c:lblAlgn val="ctr"/>
        <c:lblOffset val="100"/>
        <c:noMultiLvlLbl val="0"/>
      </c:catAx>
      <c:valAx>
        <c:axId val="141562624"/>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41552640"/>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400GbE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segment'!$B$204</c:f>
              <c:strCache>
                <c:ptCount val="1"/>
                <c:pt idx="0">
                  <c:v>Enterprise</c:v>
                </c:pt>
              </c:strCache>
            </c:strRef>
          </c:tx>
          <c:cat>
            <c:numRef>
              <c:f>'Products x segment'!$C$201:$M$201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segment'!$C$204:$M$204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3599-EF42-A465-80F0215902DE}"/>
            </c:ext>
          </c:extLst>
        </c:ser>
        <c:ser>
          <c:idx val="1"/>
          <c:order val="1"/>
          <c:tx>
            <c:strRef>
              <c:f>'Products x segment'!$B$202</c:f>
              <c:strCache>
                <c:ptCount val="1"/>
                <c:pt idx="0">
                  <c:v>Telecom</c:v>
                </c:pt>
              </c:strCache>
            </c:strRef>
          </c:tx>
          <c:cat>
            <c:numRef>
              <c:f>'Products x segment'!$C$201:$M$201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segment'!$C$202:$M$202</c:f>
              <c:numCache>
                <c:formatCode>_(* #,##0_);_(* \(#,##0\);_(* "-"??_);_(@_)</c:formatCode>
                <c:ptCount val="11"/>
                <c:pt idx="0">
                  <c:v>0</c:v>
                </c:pt>
                <c:pt idx="1">
                  <c:v>82</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599-EF42-A465-80F0215902DE}"/>
            </c:ext>
          </c:extLst>
        </c:ser>
        <c:ser>
          <c:idx val="0"/>
          <c:order val="2"/>
          <c:tx>
            <c:strRef>
              <c:f>'Products x segment'!$B$203</c:f>
              <c:strCache>
                <c:ptCount val="1"/>
                <c:pt idx="0">
                  <c:v>Cloud</c:v>
                </c:pt>
              </c:strCache>
            </c:strRef>
          </c:tx>
          <c:cat>
            <c:numRef>
              <c:f>'Products x segment'!$C$201:$M$201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segment'!$C$203:$M$203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3599-EF42-A465-80F0215902DE}"/>
            </c:ext>
          </c:extLst>
        </c:ser>
        <c:dLbls>
          <c:showLegendKey val="0"/>
          <c:showVal val="0"/>
          <c:showCatName val="0"/>
          <c:showSerName val="0"/>
          <c:showPercent val="0"/>
          <c:showBubbleSize val="0"/>
        </c:dLbls>
        <c:axId val="141602816"/>
        <c:axId val="141604352"/>
      </c:areaChart>
      <c:catAx>
        <c:axId val="141602816"/>
        <c:scaling>
          <c:orientation val="minMax"/>
        </c:scaling>
        <c:delete val="0"/>
        <c:axPos val="b"/>
        <c:numFmt formatCode="General" sourceLinked="1"/>
        <c:majorTickMark val="out"/>
        <c:minorTickMark val="none"/>
        <c:tickLblPos val="nextTo"/>
        <c:txPr>
          <a:bodyPr/>
          <a:lstStyle/>
          <a:p>
            <a:pPr>
              <a:defRPr sz="1200"/>
            </a:pPr>
            <a:endParaRPr lang="en-US"/>
          </a:p>
        </c:txPr>
        <c:crossAx val="141604352"/>
        <c:crosses val="autoZero"/>
        <c:auto val="1"/>
        <c:lblAlgn val="ctr"/>
        <c:lblOffset val="100"/>
        <c:noMultiLvlLbl val="0"/>
      </c:catAx>
      <c:valAx>
        <c:axId val="14160435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1602816"/>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400GbE</a:t>
            </a:r>
            <a:endParaRPr lang="en-US" sz="1800"/>
          </a:p>
        </c:rich>
      </c:tx>
      <c:layout>
        <c:manualLayout>
          <c:xMode val="edge"/>
          <c:yMode val="edge"/>
          <c:x val="0.43019495956945963"/>
          <c:y val="1.9654892952795648E-2"/>
        </c:manualLayout>
      </c:layout>
      <c:overlay val="0"/>
    </c:title>
    <c:autoTitleDeleted val="0"/>
    <c:plotArea>
      <c:layout>
        <c:manualLayout>
          <c:layoutTarget val="inner"/>
          <c:xMode val="edge"/>
          <c:yMode val="edge"/>
          <c:x val="0.20444279026480644"/>
          <c:y val="0.179907098242029"/>
          <c:w val="0.75171705620569551"/>
          <c:h val="0.71429654830996703"/>
        </c:manualLayout>
      </c:layout>
      <c:areaChart>
        <c:grouping val="stacked"/>
        <c:varyColors val="0"/>
        <c:ser>
          <c:idx val="2"/>
          <c:order val="0"/>
          <c:tx>
            <c:strRef>
              <c:f>'Products x segment'!$B$213</c:f>
              <c:strCache>
                <c:ptCount val="1"/>
                <c:pt idx="0">
                  <c:v>Enterprise</c:v>
                </c:pt>
              </c:strCache>
            </c:strRef>
          </c:tx>
          <c:cat>
            <c:numRef>
              <c:f>'Products x segment'!$C$210:$M$210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segment'!$C$213:$M$213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BB5-E243-8099-DE6C6B4C6B71}"/>
            </c:ext>
          </c:extLst>
        </c:ser>
        <c:ser>
          <c:idx val="1"/>
          <c:order val="1"/>
          <c:tx>
            <c:strRef>
              <c:f>'Products x segment'!$B$211</c:f>
              <c:strCache>
                <c:ptCount val="1"/>
                <c:pt idx="0">
                  <c:v>Telecom</c:v>
                </c:pt>
              </c:strCache>
            </c:strRef>
          </c:tx>
          <c:cat>
            <c:numRef>
              <c:f>'Products x segment'!$C$210:$M$210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segment'!$C$211:$M$211</c:f>
              <c:numCache>
                <c:formatCode>_(* #,##0_);_(* \(#,##0\);_(* "-"??_);_(@_)</c:formatCode>
                <c:ptCount val="11"/>
                <c:pt idx="0">
                  <c:v>0</c:v>
                </c:pt>
                <c:pt idx="1">
                  <c:v>1.2669999999999999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BB5-E243-8099-DE6C6B4C6B71}"/>
            </c:ext>
          </c:extLst>
        </c:ser>
        <c:ser>
          <c:idx val="0"/>
          <c:order val="2"/>
          <c:tx>
            <c:strRef>
              <c:f>'Products x segment'!$B$212</c:f>
              <c:strCache>
                <c:ptCount val="1"/>
                <c:pt idx="0">
                  <c:v>Cloud</c:v>
                </c:pt>
              </c:strCache>
            </c:strRef>
          </c:tx>
          <c:cat>
            <c:numRef>
              <c:f>'Products x segment'!$C$210:$M$210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segment'!$C$212:$M$212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BB5-E243-8099-DE6C6B4C6B71}"/>
            </c:ext>
          </c:extLst>
        </c:ser>
        <c:dLbls>
          <c:showLegendKey val="0"/>
          <c:showVal val="0"/>
          <c:showCatName val="0"/>
          <c:showSerName val="0"/>
          <c:showPercent val="0"/>
          <c:showBubbleSize val="0"/>
        </c:dLbls>
        <c:axId val="141640064"/>
        <c:axId val="141641600"/>
      </c:areaChart>
      <c:catAx>
        <c:axId val="141640064"/>
        <c:scaling>
          <c:orientation val="minMax"/>
        </c:scaling>
        <c:delete val="0"/>
        <c:axPos val="b"/>
        <c:numFmt formatCode="General" sourceLinked="1"/>
        <c:majorTickMark val="out"/>
        <c:minorTickMark val="none"/>
        <c:tickLblPos val="nextTo"/>
        <c:txPr>
          <a:bodyPr/>
          <a:lstStyle/>
          <a:p>
            <a:pPr>
              <a:defRPr sz="1200"/>
            </a:pPr>
            <a:endParaRPr lang="en-US"/>
          </a:p>
        </c:txPr>
        <c:crossAx val="141641600"/>
        <c:crosses val="autoZero"/>
        <c:auto val="1"/>
        <c:lblAlgn val="ctr"/>
        <c:lblOffset val="100"/>
        <c:noMultiLvlLbl val="0"/>
      </c:catAx>
      <c:valAx>
        <c:axId val="141641600"/>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41640064"/>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 GbE</a:t>
            </a:r>
            <a:endParaRPr lang="en-US" sz="1800"/>
          </a:p>
        </c:rich>
      </c:tx>
      <c:layout>
        <c:manualLayout>
          <c:xMode val="edge"/>
          <c:yMode val="edge"/>
          <c:x val="0.30886906564090927"/>
          <c:y val="8.0947126735432945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segment'!$C$121:$M$121</c:f>
              <c:numCache>
                <c:formatCode>_(* #,##0_);_(* \(#,##0\);_(* "-"??_);_(@_)</c:formatCode>
                <c:ptCount val="11"/>
                <c:pt idx="0">
                  <c:v>919370</c:v>
                </c:pt>
                <c:pt idx="1">
                  <c:v>2881489.9999999995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A243-E347-BD98-F9AAD7913BAA}"/>
            </c:ext>
          </c:extLst>
        </c:ser>
        <c:ser>
          <c:idx val="1"/>
          <c:order val="1"/>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segment'!$C$163:$M$163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A243-E347-BD98-F9AAD7913BAA}"/>
            </c:ext>
          </c:extLst>
        </c:ser>
        <c:ser>
          <c:idx val="2"/>
          <c:order val="2"/>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segment'!$C$205:$M$205</c:f>
              <c:numCache>
                <c:formatCode>_(* #,##0_);_(* \(#,##0\);_(* "-"??_);_(@_)</c:formatCode>
                <c:ptCount val="11"/>
                <c:pt idx="0">
                  <c:v>0</c:v>
                </c:pt>
                <c:pt idx="1">
                  <c:v>82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A243-E347-BD98-F9AAD7913BAA}"/>
            </c:ext>
          </c:extLst>
        </c:ser>
        <c:dLbls>
          <c:showLegendKey val="0"/>
          <c:showVal val="0"/>
          <c:showCatName val="0"/>
          <c:showSerName val="0"/>
          <c:showPercent val="0"/>
          <c:showBubbleSize val="0"/>
        </c:dLbls>
        <c:marker val="1"/>
        <c:smooth val="0"/>
        <c:axId val="141677696"/>
        <c:axId val="141679232"/>
      </c:lineChart>
      <c:catAx>
        <c:axId val="141677696"/>
        <c:scaling>
          <c:orientation val="minMax"/>
        </c:scaling>
        <c:delete val="0"/>
        <c:axPos val="b"/>
        <c:numFmt formatCode="General" sourceLinked="1"/>
        <c:majorTickMark val="out"/>
        <c:minorTickMark val="none"/>
        <c:tickLblPos val="nextTo"/>
        <c:txPr>
          <a:bodyPr/>
          <a:lstStyle/>
          <a:p>
            <a:pPr>
              <a:defRPr sz="1200"/>
            </a:pPr>
            <a:endParaRPr lang="en-US"/>
          </a:p>
        </c:txPr>
        <c:crossAx val="141679232"/>
        <c:crosses val="autoZero"/>
        <c:auto val="1"/>
        <c:lblAlgn val="ctr"/>
        <c:lblOffset val="100"/>
        <c:noMultiLvlLbl val="0"/>
      </c:catAx>
      <c:valAx>
        <c:axId val="141679232"/>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41677696"/>
        <c:crosses val="autoZero"/>
        <c:crossBetween val="between"/>
      </c:valAx>
    </c:plotArea>
    <c:legend>
      <c:legendPos val="t"/>
      <c:layout>
        <c:manualLayout>
          <c:xMode val="edge"/>
          <c:yMode val="edge"/>
          <c:x val="0.27686376963660198"/>
          <c:y val="8.7706769225870604E-2"/>
          <c:w val="0.45966243087392611"/>
          <c:h val="7.996647172610993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segment'!$C$119:$M$119</c:f>
              <c:numCache>
                <c:formatCode>_(* #,##0_);_(* \(#,##0\);_(* "-"??_);_(@_)</c:formatCode>
                <c:ptCount val="11"/>
                <c:pt idx="0">
                  <c:v>672463.4</c:v>
                </c:pt>
                <c:pt idx="1">
                  <c:v>2603279.4</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2FEF-4D4A-BEAD-A3B5A18C22F7}"/>
            </c:ext>
          </c:extLst>
        </c:ser>
        <c:ser>
          <c:idx val="1"/>
          <c:order val="1"/>
          <c:tx>
            <c:strRef>
              <c:f>'Products x segment'!$B$135</c:f>
              <c:strCache>
                <c:ptCount val="1"/>
                <c:pt idx="0">
                  <c:v>200G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segment'!$C$161:$M$161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2FEF-4D4A-BEAD-A3B5A18C22F7}"/>
            </c:ext>
          </c:extLst>
        </c:ser>
        <c:ser>
          <c:idx val="2"/>
          <c:order val="2"/>
          <c:tx>
            <c:strRef>
              <c:f>'Products x segment'!$B$177</c:f>
              <c:strCache>
                <c:ptCount val="1"/>
                <c:pt idx="0">
                  <c:v>400G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segment'!$C$203:$M$203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2FEF-4D4A-BEAD-A3B5A18C22F7}"/>
            </c:ext>
          </c:extLst>
        </c:ser>
        <c:dLbls>
          <c:showLegendKey val="0"/>
          <c:showVal val="0"/>
          <c:showCatName val="0"/>
          <c:showSerName val="0"/>
          <c:showPercent val="0"/>
          <c:showBubbleSize val="0"/>
        </c:dLbls>
        <c:marker val="1"/>
        <c:smooth val="0"/>
        <c:axId val="140944896"/>
        <c:axId val="140946432"/>
      </c:lineChart>
      <c:catAx>
        <c:axId val="140944896"/>
        <c:scaling>
          <c:orientation val="minMax"/>
        </c:scaling>
        <c:delete val="0"/>
        <c:axPos val="b"/>
        <c:numFmt formatCode="General" sourceLinked="1"/>
        <c:majorTickMark val="out"/>
        <c:minorTickMark val="none"/>
        <c:tickLblPos val="nextTo"/>
        <c:txPr>
          <a:bodyPr/>
          <a:lstStyle/>
          <a:p>
            <a:pPr>
              <a:defRPr sz="1200"/>
            </a:pPr>
            <a:endParaRPr lang="en-US"/>
          </a:p>
        </c:txPr>
        <c:crossAx val="140946432"/>
        <c:crosses val="autoZero"/>
        <c:auto val="1"/>
        <c:lblAlgn val="ctr"/>
        <c:lblOffset val="100"/>
        <c:noMultiLvlLbl val="0"/>
      </c:catAx>
      <c:valAx>
        <c:axId val="140946432"/>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40944896"/>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20444220965404"/>
          <c:y val="4.2576823283780083E-2"/>
          <c:w val="0.82990573043615401"/>
          <c:h val="0.86369945362657075"/>
        </c:manualLayout>
      </c:layout>
      <c:lineChart>
        <c:grouping val="standard"/>
        <c:varyColors val="0"/>
        <c:ser>
          <c:idx val="0"/>
          <c:order val="0"/>
          <c:tx>
            <c:strRef>
              <c:f>Summary!$B$337</c:f>
              <c:strCache>
                <c:ptCount val="1"/>
                <c:pt idx="0">
                  <c:v>100-300 m</c:v>
                </c:pt>
              </c:strCache>
            </c:strRef>
          </c:tx>
          <c:cat>
            <c:numRef>
              <c:f>Summary!$C$336:$M$336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Summary!$C$337:$M$337</c:f>
              <c:numCache>
                <c:formatCode>_(* #,##0_);_(* \(#,##0\);_(* "-"??_);_(@_)</c:formatCode>
                <c:ptCount val="11"/>
                <c:pt idx="0">
                  <c:v>299241</c:v>
                </c:pt>
                <c:pt idx="1">
                  <c:v>631974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E04-0644-8AC4-A7C4A005F587}"/>
            </c:ext>
          </c:extLst>
        </c:ser>
        <c:ser>
          <c:idx val="1"/>
          <c:order val="1"/>
          <c:tx>
            <c:strRef>
              <c:f>Summary!$B$338</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Summary!$C$336:$M$336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Summary!$C$338:$M$338</c:f>
              <c:numCache>
                <c:formatCode>_(* #,##0_);_(* \(#,##0\);_(* "-"??_);_(@_)</c:formatCode>
                <c:ptCount val="11"/>
                <c:pt idx="0">
                  <c:v>289061.59999999998</c:v>
                </c:pt>
                <c:pt idx="1">
                  <c:v>1393450.1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E04-0644-8AC4-A7C4A005F587}"/>
            </c:ext>
          </c:extLst>
        </c:ser>
        <c:ser>
          <c:idx val="4"/>
          <c:order val="2"/>
          <c:tx>
            <c:strRef>
              <c:f>Summary!$B$339</c:f>
              <c:strCache>
                <c:ptCount val="1"/>
                <c:pt idx="0">
                  <c:v>2 km</c:v>
                </c:pt>
              </c:strCache>
            </c:strRef>
          </c:tx>
          <c:cat>
            <c:numRef>
              <c:f>Summary!$C$336:$M$336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Summary!$C$339:$M$339</c:f>
              <c:numCache>
                <c:formatCode>_(* #,##0_);_(* \(#,##0\);_(* "-"??_);_(@_)</c:formatCode>
                <c:ptCount val="11"/>
                <c:pt idx="0">
                  <c:v>30989.399999999994</c:v>
                </c:pt>
                <c:pt idx="1">
                  <c:v>292890.90000000002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E04-0644-8AC4-A7C4A005F587}"/>
            </c:ext>
          </c:extLst>
        </c:ser>
        <c:ser>
          <c:idx val="2"/>
          <c:order val="3"/>
          <c:tx>
            <c:strRef>
              <c:f>Summary!$B$340</c:f>
              <c:strCache>
                <c:ptCount val="1"/>
                <c:pt idx="0">
                  <c:v>10-20 km</c:v>
                </c:pt>
              </c:strCache>
            </c:strRef>
          </c:tx>
          <c:spPr>
            <a:ln>
              <a:solidFill>
                <a:schemeClr val="accent2"/>
              </a:solidFill>
            </a:ln>
          </c:spPr>
          <c:marker>
            <c:spPr>
              <a:solidFill>
                <a:schemeClr val="accent2"/>
              </a:solidFill>
              <a:ln>
                <a:solidFill>
                  <a:schemeClr val="accent2"/>
                </a:solidFill>
              </a:ln>
            </c:spPr>
          </c:marker>
          <c:cat>
            <c:numRef>
              <c:f>Summary!$C$336:$M$336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Summary!$C$340:$M$340</c:f>
              <c:numCache>
                <c:formatCode>_(* #,##0_);_(* \(#,##0\);_(* "-"??_);_(@_)</c:formatCode>
                <c:ptCount val="11"/>
                <c:pt idx="0">
                  <c:v>292622</c:v>
                </c:pt>
                <c:pt idx="1">
                  <c:v>552903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9E04-0644-8AC4-A7C4A005F587}"/>
            </c:ext>
          </c:extLst>
        </c:ser>
        <c:ser>
          <c:idx val="3"/>
          <c:order val="4"/>
          <c:tx>
            <c:strRef>
              <c:f>Summary!$B$341</c:f>
              <c:strCache>
                <c:ptCount val="1"/>
                <c:pt idx="0">
                  <c:v>40 km</c:v>
                </c:pt>
              </c:strCache>
            </c:strRef>
          </c:tx>
          <c:spPr>
            <a:ln>
              <a:solidFill>
                <a:schemeClr val="accent3"/>
              </a:solidFill>
            </a:ln>
          </c:spPr>
          <c:marker>
            <c:spPr>
              <a:solidFill>
                <a:schemeClr val="accent3"/>
              </a:solidFill>
              <a:ln>
                <a:solidFill>
                  <a:schemeClr val="accent3"/>
                </a:solidFill>
              </a:ln>
            </c:spPr>
          </c:marker>
          <c:cat>
            <c:numRef>
              <c:f>Summary!$C$336:$M$336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Summary!$C$341:$M$341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E04-0644-8AC4-A7C4A005F587}"/>
            </c:ext>
          </c:extLst>
        </c:ser>
        <c:dLbls>
          <c:showLegendKey val="0"/>
          <c:showVal val="0"/>
          <c:showCatName val="0"/>
          <c:showSerName val="0"/>
          <c:showPercent val="0"/>
          <c:showBubbleSize val="0"/>
        </c:dLbls>
        <c:marker val="1"/>
        <c:smooth val="0"/>
        <c:axId val="131927424"/>
        <c:axId val="131929600"/>
      </c:lineChart>
      <c:catAx>
        <c:axId val="131927424"/>
        <c:scaling>
          <c:orientation val="minMax"/>
        </c:scaling>
        <c:delete val="0"/>
        <c:axPos val="b"/>
        <c:numFmt formatCode="General" sourceLinked="1"/>
        <c:majorTickMark val="out"/>
        <c:minorTickMark val="none"/>
        <c:tickLblPos val="nextTo"/>
        <c:txPr>
          <a:bodyPr/>
          <a:lstStyle/>
          <a:p>
            <a:pPr>
              <a:defRPr sz="1200"/>
            </a:pPr>
            <a:endParaRPr lang="en-US"/>
          </a:p>
        </c:txPr>
        <c:crossAx val="131929600"/>
        <c:crosses val="autoZero"/>
        <c:auto val="1"/>
        <c:lblAlgn val="ctr"/>
        <c:lblOffset val="100"/>
        <c:noMultiLvlLbl val="0"/>
      </c:catAx>
      <c:valAx>
        <c:axId val="131929600"/>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5.5104941984517476E-3"/>
              <c:y val="0.25582951509513407"/>
            </c:manualLayout>
          </c:layout>
          <c:overlay val="0"/>
        </c:title>
        <c:numFmt formatCode="_(* #,##0_);_(* \(#,##0\);_(* &quot;-&quot;??_);_(@_)" sourceLinked="1"/>
        <c:majorTickMark val="out"/>
        <c:minorTickMark val="none"/>
        <c:tickLblPos val="nextTo"/>
        <c:txPr>
          <a:bodyPr/>
          <a:lstStyle/>
          <a:p>
            <a:pPr>
              <a:defRPr sz="1100"/>
            </a:pPr>
            <a:endParaRPr lang="en-US"/>
          </a:p>
        </c:txPr>
        <c:crossAx val="131927424"/>
        <c:crosses val="autoZero"/>
        <c:crossBetween val="between"/>
        <c:minorUnit val="40000"/>
      </c:valAx>
    </c:plotArea>
    <c:legend>
      <c:legendPos val="t"/>
      <c:layout>
        <c:manualLayout>
          <c:xMode val="edge"/>
          <c:yMode val="edge"/>
          <c:x val="0.17928129305815713"/>
          <c:y val="7.9943114359348505E-2"/>
          <c:w val="0.22142727421019531"/>
          <c:h val="0.3901701222291638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segment'!$C$118:$M$118</c:f>
              <c:numCache>
                <c:formatCode>_(* #,##0_);_(* \(#,##0\);_(* "-"??_);_(@_)</c:formatCode>
                <c:ptCount val="11"/>
                <c:pt idx="0">
                  <c:v>245415.4</c:v>
                </c:pt>
                <c:pt idx="1">
                  <c:v>271656.19999999995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E6B6-DB48-91B4-25B39E001A43}"/>
            </c:ext>
          </c:extLst>
        </c:ser>
        <c:ser>
          <c:idx val="1"/>
          <c:order val="1"/>
          <c:tx>
            <c:strRef>
              <c:f>'Products x segment'!$B$135</c:f>
              <c:strCache>
                <c:ptCount val="1"/>
                <c:pt idx="0">
                  <c:v>200G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segment'!$C$160:$M$160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E6B6-DB48-91B4-25B39E001A43}"/>
            </c:ext>
          </c:extLst>
        </c:ser>
        <c:ser>
          <c:idx val="2"/>
          <c:order val="2"/>
          <c:tx>
            <c:strRef>
              <c:f>'Products x segment'!$B$177</c:f>
              <c:strCache>
                <c:ptCount val="1"/>
                <c:pt idx="0">
                  <c:v>400G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segment'!$C$202:$M$202</c:f>
              <c:numCache>
                <c:formatCode>_(* #,##0_);_(* \(#,##0\);_(* "-"??_);_(@_)</c:formatCode>
                <c:ptCount val="11"/>
                <c:pt idx="0">
                  <c:v>0</c:v>
                </c:pt>
                <c:pt idx="1">
                  <c:v>82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E6B6-DB48-91B4-25B39E001A43}"/>
            </c:ext>
          </c:extLst>
        </c:ser>
        <c:dLbls>
          <c:showLegendKey val="0"/>
          <c:showVal val="0"/>
          <c:showCatName val="0"/>
          <c:showSerName val="0"/>
          <c:showPercent val="0"/>
          <c:showBubbleSize val="0"/>
        </c:dLbls>
        <c:marker val="1"/>
        <c:smooth val="0"/>
        <c:axId val="140982144"/>
        <c:axId val="140983680"/>
      </c:lineChart>
      <c:catAx>
        <c:axId val="140982144"/>
        <c:scaling>
          <c:orientation val="minMax"/>
        </c:scaling>
        <c:delete val="0"/>
        <c:axPos val="b"/>
        <c:numFmt formatCode="General" sourceLinked="1"/>
        <c:majorTickMark val="out"/>
        <c:minorTickMark val="none"/>
        <c:tickLblPos val="nextTo"/>
        <c:txPr>
          <a:bodyPr/>
          <a:lstStyle/>
          <a:p>
            <a:pPr>
              <a:defRPr sz="1200"/>
            </a:pPr>
            <a:endParaRPr lang="en-US"/>
          </a:p>
        </c:txPr>
        <c:crossAx val="140983680"/>
        <c:crosses val="autoZero"/>
        <c:auto val="1"/>
        <c:lblAlgn val="ctr"/>
        <c:lblOffset val="100"/>
        <c:noMultiLvlLbl val="0"/>
      </c:catAx>
      <c:valAx>
        <c:axId val="14098368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40982144"/>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2"/>
          <c:order val="0"/>
          <c:tx>
            <c:strRef>
              <c:f>'Products x segment'!$B$34</c:f>
              <c:strCache>
                <c:ptCount val="1"/>
                <c:pt idx="0">
                  <c:v>Enterprise</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segment'!$C$34:$M$34</c:f>
              <c:numCache>
                <c:formatCode>_(* #,##0_);_(* \(#,##0\);_(* "-"??_);_(@_)</c:formatCode>
                <c:ptCount val="11"/>
                <c:pt idx="0">
                  <c:v>21287441.14376694</c:v>
                </c:pt>
                <c:pt idx="1">
                  <c:v>20863877.916871279</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6E67-A548-ADC5-7FEFD2D05852}"/>
            </c:ext>
          </c:extLst>
        </c:ser>
        <c:ser>
          <c:idx val="1"/>
          <c:order val="1"/>
          <c:tx>
            <c:strRef>
              <c:f>'Products x segment'!$B$32</c:f>
              <c:strCache>
                <c:ptCount val="1"/>
                <c:pt idx="0">
                  <c:v>Telecom</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segment'!$C$32:$M$32</c:f>
              <c:numCache>
                <c:formatCode>_(* #,##0_);_(* \(#,##0\);_(* "-"??_);_(@_)</c:formatCode>
                <c:ptCount val="11"/>
                <c:pt idx="0">
                  <c:v>4496664.3535132017</c:v>
                </c:pt>
                <c:pt idx="1">
                  <c:v>3902185.0984692555</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6E67-A548-ADC5-7FEFD2D05852}"/>
            </c:ext>
          </c:extLst>
        </c:ser>
        <c:ser>
          <c:idx val="0"/>
          <c:order val="2"/>
          <c:tx>
            <c:strRef>
              <c:f>'Products x segment'!$B$33</c:f>
              <c:strCache>
                <c:ptCount val="1"/>
                <c:pt idx="0">
                  <c:v>Cloud</c:v>
                </c:pt>
              </c:strCache>
            </c:strRef>
          </c:tx>
          <c:cat>
            <c:numRef>
              <c:f>'Products x segment'!$C$31:$M$31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segment'!$C$33:$M$33</c:f>
              <c:numCache>
                <c:formatCode>_(* #,##0_);_(* \(#,##0\);_(* "-"??_);_(@_)</c:formatCode>
                <c:ptCount val="11"/>
                <c:pt idx="0">
                  <c:v>10649308.537719864</c:v>
                </c:pt>
                <c:pt idx="1">
                  <c:v>13336049.134659462</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6E67-A548-ADC5-7FEFD2D05852}"/>
            </c:ext>
          </c:extLst>
        </c:ser>
        <c:dLbls>
          <c:showLegendKey val="0"/>
          <c:showVal val="0"/>
          <c:showCatName val="0"/>
          <c:showSerName val="0"/>
          <c:showPercent val="0"/>
          <c:showBubbleSize val="0"/>
        </c:dLbls>
        <c:marker val="1"/>
        <c:smooth val="0"/>
        <c:axId val="141011584"/>
        <c:axId val="141021568"/>
      </c:lineChart>
      <c:catAx>
        <c:axId val="141011584"/>
        <c:scaling>
          <c:orientation val="minMax"/>
        </c:scaling>
        <c:delete val="0"/>
        <c:axPos val="b"/>
        <c:numFmt formatCode="General" sourceLinked="1"/>
        <c:majorTickMark val="out"/>
        <c:minorTickMark val="none"/>
        <c:tickLblPos val="nextTo"/>
        <c:txPr>
          <a:bodyPr/>
          <a:lstStyle/>
          <a:p>
            <a:pPr>
              <a:defRPr sz="1200"/>
            </a:pPr>
            <a:endParaRPr lang="en-US"/>
          </a:p>
        </c:txPr>
        <c:crossAx val="141021568"/>
        <c:crosses val="autoZero"/>
        <c:auto val="1"/>
        <c:lblAlgn val="ctr"/>
        <c:lblOffset val="100"/>
        <c:noMultiLvlLbl val="0"/>
      </c:catAx>
      <c:valAx>
        <c:axId val="14102156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41011584"/>
        <c:crosses val="autoZero"/>
        <c:crossBetween val="between"/>
      </c:valAx>
    </c:plotArea>
    <c:legend>
      <c:legendPos val="t"/>
      <c:layout>
        <c:manualLayout>
          <c:xMode val="edge"/>
          <c:yMode val="edge"/>
          <c:x val="0.27686376963660198"/>
          <c:y val="8.7706769225870604E-2"/>
          <c:w val="0.47483813579738138"/>
          <c:h val="7.9734622436342231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segment'!$C$120:$M$120</c:f>
              <c:numCache>
                <c:formatCode>_(* #,##0_);_(* \(#,##0\);_(* "-"??_);_(@_)</c:formatCode>
                <c:ptCount val="11"/>
                <c:pt idx="0">
                  <c:v>1491.1999999999996</c:v>
                </c:pt>
                <c:pt idx="1">
                  <c:v>6554.3999999999987</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3E9E-2A41-A048-1BB4A3C2CCD0}"/>
            </c:ext>
          </c:extLst>
        </c:ser>
        <c:ser>
          <c:idx val="1"/>
          <c:order val="1"/>
          <c:tx>
            <c:strRef>
              <c:f>'Products x segment'!$B$135</c:f>
              <c:strCache>
                <c:ptCount val="1"/>
                <c:pt idx="0">
                  <c:v>200G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segment'!$C$162:$M$162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3E9E-2A41-A048-1BB4A3C2CCD0}"/>
            </c:ext>
          </c:extLst>
        </c:ser>
        <c:ser>
          <c:idx val="2"/>
          <c:order val="2"/>
          <c:tx>
            <c:strRef>
              <c:f>'Products x segment'!$B$177</c:f>
              <c:strCache>
                <c:ptCount val="1"/>
                <c:pt idx="0">
                  <c:v>400G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segment'!$C$204:$M$204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3E9E-2A41-A048-1BB4A3C2CCD0}"/>
            </c:ext>
          </c:extLst>
        </c:ser>
        <c:dLbls>
          <c:showLegendKey val="0"/>
          <c:showVal val="0"/>
          <c:showCatName val="0"/>
          <c:showSerName val="0"/>
          <c:showPercent val="0"/>
          <c:showBubbleSize val="0"/>
        </c:dLbls>
        <c:marker val="1"/>
        <c:smooth val="0"/>
        <c:axId val="141052928"/>
        <c:axId val="141054720"/>
      </c:lineChart>
      <c:catAx>
        <c:axId val="141052928"/>
        <c:scaling>
          <c:orientation val="minMax"/>
        </c:scaling>
        <c:delete val="0"/>
        <c:axPos val="b"/>
        <c:numFmt formatCode="General" sourceLinked="1"/>
        <c:majorTickMark val="out"/>
        <c:minorTickMark val="none"/>
        <c:tickLblPos val="nextTo"/>
        <c:txPr>
          <a:bodyPr/>
          <a:lstStyle/>
          <a:p>
            <a:pPr>
              <a:defRPr sz="1200"/>
            </a:pPr>
            <a:endParaRPr lang="en-US"/>
          </a:p>
        </c:txPr>
        <c:crossAx val="141054720"/>
        <c:crosses val="autoZero"/>
        <c:auto val="1"/>
        <c:lblAlgn val="ctr"/>
        <c:lblOffset val="100"/>
        <c:noMultiLvlLbl val="0"/>
      </c:catAx>
      <c:valAx>
        <c:axId val="14105472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41052928"/>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14590627930384811"/>
          <c:y val="0"/>
        </c:manualLayout>
      </c:layout>
      <c:overlay val="0"/>
    </c:title>
    <c:autoTitleDeleted val="0"/>
    <c:plotArea>
      <c:layout>
        <c:manualLayout>
          <c:layoutTarget val="inner"/>
          <c:xMode val="edge"/>
          <c:yMode val="edge"/>
          <c:x val="0.14557943247035801"/>
          <c:y val="0.20151665780560599"/>
          <c:w val="0.79045393169763201"/>
          <c:h val="0.70245151616369494"/>
        </c:manualLayout>
      </c:layout>
      <c:barChart>
        <c:barDir val="col"/>
        <c:grouping val="stacked"/>
        <c:varyColors val="0"/>
        <c:ser>
          <c:idx val="0"/>
          <c:order val="0"/>
          <c:tx>
            <c:strRef>
              <c:f>'Segment dashbd'!$D$28</c:f>
              <c:strCache>
                <c:ptCount val="1"/>
                <c:pt idx="0">
                  <c:v>Telecom</c:v>
                </c:pt>
              </c:strCache>
            </c:strRef>
          </c:tx>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dashbd'!$E$28:$O$28</c:f>
              <c:numCache>
                <c:formatCode>_(* #,##0_);_(* \(#,##0\);_(* "-"??_);_(@_)</c:formatCode>
                <c:ptCount val="11"/>
                <c:pt idx="0">
                  <c:v>5964.8</c:v>
                </c:pt>
                <c:pt idx="1">
                  <c:v>6617.6</c:v>
                </c:pt>
              </c:numCache>
            </c:numRef>
          </c:val>
          <c:extLst>
            <c:ext xmlns:c16="http://schemas.microsoft.com/office/drawing/2014/chart" uri="{C3380CC4-5D6E-409C-BE32-E72D297353CC}">
              <c16:uniqueId val="{00000000-DDE4-8746-9382-336A4B323254}"/>
            </c:ext>
          </c:extLst>
        </c:ser>
        <c:ser>
          <c:idx val="1"/>
          <c:order val="1"/>
          <c:tx>
            <c:strRef>
              <c:f>'Segment dashbd'!$D$29</c:f>
              <c:strCache>
                <c:ptCount val="1"/>
                <c:pt idx="0">
                  <c:v>Cloud</c:v>
                </c:pt>
              </c:strCache>
            </c:strRef>
          </c:tx>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dashbd'!$E$29:$O$29</c:f>
              <c:numCache>
                <c:formatCode>_(* #,##0_);_(* \(#,##0\);_(* "-"??_);_(@_)</c:formatCode>
                <c:ptCount val="11"/>
                <c:pt idx="0">
                  <c:v>0</c:v>
                </c:pt>
                <c:pt idx="1">
                  <c:v>0</c:v>
                </c:pt>
              </c:numCache>
            </c:numRef>
          </c:val>
          <c:extLst>
            <c:ext xmlns:c16="http://schemas.microsoft.com/office/drawing/2014/chart" uri="{C3380CC4-5D6E-409C-BE32-E72D297353CC}">
              <c16:uniqueId val="{00000001-DDE4-8746-9382-336A4B323254}"/>
            </c:ext>
          </c:extLst>
        </c:ser>
        <c:ser>
          <c:idx val="2"/>
          <c:order val="2"/>
          <c:tx>
            <c:strRef>
              <c:f>'Segment dashbd'!$D$30</c:f>
              <c:strCache>
                <c:ptCount val="1"/>
                <c:pt idx="0">
                  <c:v>Enterprise</c:v>
                </c:pt>
              </c:strCache>
            </c:strRef>
          </c:tx>
          <c:spPr>
            <a:ln>
              <a:prstDash val="solid"/>
            </a:ln>
          </c:spPr>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dashbd'!$E$30:$O$30</c:f>
              <c:numCache>
                <c:formatCode>_(* #,##0_);_(* \(#,##0\);_(* "-"??_);_(@_)</c:formatCode>
                <c:ptCount val="11"/>
                <c:pt idx="0">
                  <c:v>1491.1999999999996</c:v>
                </c:pt>
                <c:pt idx="1">
                  <c:v>1654.3999999999996</c:v>
                </c:pt>
              </c:numCache>
            </c:numRef>
          </c:val>
          <c:extLst>
            <c:ext xmlns:c16="http://schemas.microsoft.com/office/drawing/2014/chart" uri="{C3380CC4-5D6E-409C-BE32-E72D297353CC}">
              <c16:uniqueId val="{00000002-DDE4-8746-9382-336A4B323254}"/>
            </c:ext>
          </c:extLst>
        </c:ser>
        <c:dLbls>
          <c:showLegendKey val="0"/>
          <c:showVal val="0"/>
          <c:showCatName val="0"/>
          <c:showSerName val="0"/>
          <c:showPercent val="0"/>
          <c:showBubbleSize val="0"/>
        </c:dLbls>
        <c:gapWidth val="150"/>
        <c:overlap val="100"/>
        <c:axId val="73412992"/>
        <c:axId val="73414528"/>
      </c:barChart>
      <c:catAx>
        <c:axId val="73412992"/>
        <c:scaling>
          <c:orientation val="minMax"/>
        </c:scaling>
        <c:delete val="0"/>
        <c:axPos val="b"/>
        <c:numFmt formatCode="General" sourceLinked="1"/>
        <c:majorTickMark val="out"/>
        <c:minorTickMark val="none"/>
        <c:tickLblPos val="nextTo"/>
        <c:crossAx val="73414528"/>
        <c:crosses val="autoZero"/>
        <c:auto val="1"/>
        <c:lblAlgn val="ctr"/>
        <c:lblOffset val="100"/>
        <c:noMultiLvlLbl val="0"/>
      </c:catAx>
      <c:valAx>
        <c:axId val="73414528"/>
        <c:scaling>
          <c:orientation val="minMax"/>
        </c:scaling>
        <c:delete val="0"/>
        <c:axPos val="l"/>
        <c:majorGridlines/>
        <c:numFmt formatCode="_(* #,##0_);_(* \(#,##0\);_(* &quot;-&quot;??_);_(@_)" sourceLinked="1"/>
        <c:majorTickMark val="out"/>
        <c:minorTickMark val="none"/>
        <c:tickLblPos val="nextTo"/>
        <c:crossAx val="73412992"/>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18270684135407197"/>
          <c:y val="1.6733909752838835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'Segment dashbd'!$D$31</c:f>
              <c:strCache>
                <c:ptCount val="1"/>
                <c:pt idx="0">
                  <c:v>Telecom</c:v>
                </c:pt>
              </c:strCache>
            </c:strRef>
          </c:tx>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dashbd'!$E$31:$O$31</c:f>
              <c:numCache>
                <c:formatCode>_("$"* #,##0_);_("$"* \(#,##0\);_("$"* "-"??_);_(@_)</c:formatCode>
                <c:ptCount val="11"/>
                <c:pt idx="0">
                  <c:v>8992.3604525403425</c:v>
                </c:pt>
                <c:pt idx="1">
                  <c:v>6675.4855675304152</c:v>
                </c:pt>
              </c:numCache>
            </c:numRef>
          </c:val>
          <c:smooth val="0"/>
          <c:extLst>
            <c:ext xmlns:c16="http://schemas.microsoft.com/office/drawing/2014/chart" uri="{C3380CC4-5D6E-409C-BE32-E72D297353CC}">
              <c16:uniqueId val="{00000000-2154-0448-A77A-0A2A783CF554}"/>
            </c:ext>
          </c:extLst>
        </c:ser>
        <c:ser>
          <c:idx val="3"/>
          <c:order val="1"/>
          <c:tx>
            <c:strRef>
              <c:f>'Segment dashbd'!$D$32</c:f>
              <c:strCache>
                <c:ptCount val="1"/>
                <c:pt idx="0">
                  <c:v>Cloud</c:v>
                </c:pt>
              </c:strCache>
            </c:strRef>
          </c:tx>
          <c:spPr>
            <a:ln>
              <a:solidFill>
                <a:schemeClr val="accent2"/>
              </a:solidFill>
              <a:prstDash val="solid"/>
            </a:ln>
          </c:spPr>
          <c:marker>
            <c:symbol val="circle"/>
            <c:size val="7"/>
            <c:spPr>
              <a:noFill/>
            </c:spPr>
          </c:marker>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dashbd'!$E$32:$O$32</c:f>
              <c:numCache>
                <c:formatCode>_("$"* #,##0_);_("$"* \(#,##0\);_("$"* "-"??_);_(@_)</c:formatCode>
                <c:ptCount val="11"/>
                <c:pt idx="0">
                  <c:v>0</c:v>
                </c:pt>
                <c:pt idx="1">
                  <c:v>0</c:v>
                </c:pt>
              </c:numCache>
            </c:numRef>
          </c:val>
          <c:smooth val="0"/>
          <c:extLst>
            <c:ext xmlns:c16="http://schemas.microsoft.com/office/drawing/2014/chart" uri="{C3380CC4-5D6E-409C-BE32-E72D297353CC}">
              <c16:uniqueId val="{00000001-2154-0448-A77A-0A2A783CF554}"/>
            </c:ext>
          </c:extLst>
        </c:ser>
        <c:ser>
          <c:idx val="1"/>
          <c:order val="2"/>
          <c:tx>
            <c:strRef>
              <c:f>'Segment dashbd'!$D$33</c:f>
              <c:strCache>
                <c:ptCount val="1"/>
                <c:pt idx="0">
                  <c:v>Enterprise</c:v>
                </c:pt>
              </c:strCache>
            </c:strRef>
          </c:tx>
          <c:spPr>
            <a:ln>
              <a:solidFill>
                <a:schemeClr val="accent3">
                  <a:shade val="95000"/>
                  <a:satMod val="105000"/>
                </a:schemeClr>
              </a:solidFill>
            </a:ln>
          </c:spPr>
          <c:marker>
            <c:symbol val="none"/>
          </c:marker>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dashbd'!$E$33:$O$33</c:f>
              <c:numCache>
                <c:formatCode>_("$"* #,##0_);_("$"* \(#,##0\);_("$"* "-"??_);_(@_)</c:formatCode>
                <c:ptCount val="11"/>
                <c:pt idx="0">
                  <c:v>8992.3604525403425</c:v>
                </c:pt>
                <c:pt idx="1">
                  <c:v>6675.4855675304161</c:v>
                </c:pt>
              </c:numCache>
            </c:numRef>
          </c:val>
          <c:smooth val="0"/>
          <c:extLst>
            <c:ext xmlns:c16="http://schemas.microsoft.com/office/drawing/2014/chart" uri="{C3380CC4-5D6E-409C-BE32-E72D297353CC}">
              <c16:uniqueId val="{00000002-2154-0448-A77A-0A2A783CF554}"/>
            </c:ext>
          </c:extLst>
        </c:ser>
        <c:dLbls>
          <c:showLegendKey val="0"/>
          <c:showVal val="0"/>
          <c:showCatName val="0"/>
          <c:showSerName val="0"/>
          <c:showPercent val="0"/>
          <c:showBubbleSize val="0"/>
        </c:dLbls>
        <c:marker val="1"/>
        <c:smooth val="0"/>
        <c:axId val="73455104"/>
        <c:axId val="73456640"/>
      </c:lineChart>
      <c:catAx>
        <c:axId val="73455104"/>
        <c:scaling>
          <c:orientation val="minMax"/>
        </c:scaling>
        <c:delete val="0"/>
        <c:axPos val="b"/>
        <c:numFmt formatCode="General" sourceLinked="1"/>
        <c:majorTickMark val="out"/>
        <c:minorTickMark val="none"/>
        <c:tickLblPos val="nextTo"/>
        <c:crossAx val="73456640"/>
        <c:crosses val="autoZero"/>
        <c:auto val="1"/>
        <c:lblAlgn val="ctr"/>
        <c:lblOffset val="100"/>
        <c:noMultiLvlLbl val="0"/>
      </c:catAx>
      <c:valAx>
        <c:axId val="73456640"/>
        <c:scaling>
          <c:orientation val="minMax"/>
          <c:min val="0"/>
        </c:scaling>
        <c:delete val="0"/>
        <c:axPos val="l"/>
        <c:majorGridlines/>
        <c:numFmt formatCode="_(&quot;$&quot;* #,##0_);_(&quot;$&quot;* \(#,##0\);_(&quot;$&quot;* &quot;-&quot;??_);_(@_)" sourceLinked="1"/>
        <c:majorTickMark val="out"/>
        <c:minorTickMark val="none"/>
        <c:tickLblPos val="nextTo"/>
        <c:crossAx val="73455104"/>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c:rich>
      </c:tx>
      <c:layout>
        <c:manualLayout>
          <c:xMode val="edge"/>
          <c:yMode val="edge"/>
          <c:x val="9.7962290511595607E-2"/>
          <c:y val="1.2556049082617499E-2"/>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'Segment dashbd'!$D$34</c:f>
              <c:strCache>
                <c:ptCount val="1"/>
                <c:pt idx="0">
                  <c:v>Telecom</c:v>
                </c:pt>
              </c:strCache>
            </c:strRef>
          </c:tx>
          <c:spPr>
            <a:solidFill>
              <a:schemeClr val="accent1"/>
            </a:solidFill>
            <a:ln>
              <a:solidFill>
                <a:schemeClr val="accent1"/>
              </a:solidFill>
            </a:ln>
          </c:spPr>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dashbd'!$E$34:$O$34</c:f>
              <c:numCache>
                <c:formatCode>_("$"* #,##0_);_("$"* \(#,##0\);_("$"* "-"??_);_(@_)</c:formatCode>
                <c:ptCount val="11"/>
                <c:pt idx="0">
                  <c:v>53.637631627312636</c:v>
                </c:pt>
                <c:pt idx="1">
                  <c:v>44.175693291689278</c:v>
                </c:pt>
              </c:numCache>
            </c:numRef>
          </c:val>
          <c:extLst>
            <c:ext xmlns:c16="http://schemas.microsoft.com/office/drawing/2014/chart" uri="{C3380CC4-5D6E-409C-BE32-E72D297353CC}">
              <c16:uniqueId val="{00000000-4C9D-6441-9F1E-7323C098D936}"/>
            </c:ext>
          </c:extLst>
        </c:ser>
        <c:ser>
          <c:idx val="3"/>
          <c:order val="1"/>
          <c:tx>
            <c:strRef>
              <c:f>'Segment dashbd'!$D$35</c:f>
              <c:strCache>
                <c:ptCount val="1"/>
                <c:pt idx="0">
                  <c:v>Cloud</c:v>
                </c:pt>
              </c:strCache>
            </c:strRef>
          </c:tx>
          <c:spPr>
            <a:solidFill>
              <a:schemeClr val="accent2"/>
            </a:solidFill>
            <a:ln>
              <a:solidFill>
                <a:schemeClr val="accent2"/>
              </a:solidFill>
              <a:prstDash val="solid"/>
            </a:ln>
          </c:spPr>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dashbd'!$E$35:$O$35</c:f>
              <c:numCache>
                <c:formatCode>_("$"* #,##0_);_("$"* \(#,##0\);_("$"* "-"??_);_(@_)</c:formatCode>
                <c:ptCount val="11"/>
                <c:pt idx="0">
                  <c:v>0</c:v>
                </c:pt>
                <c:pt idx="1">
                  <c:v>0</c:v>
                </c:pt>
              </c:numCache>
            </c:numRef>
          </c:val>
          <c:extLst>
            <c:ext xmlns:c16="http://schemas.microsoft.com/office/drawing/2014/chart" uri="{C3380CC4-5D6E-409C-BE32-E72D297353CC}">
              <c16:uniqueId val="{00000001-4C9D-6441-9F1E-7323C098D936}"/>
            </c:ext>
          </c:extLst>
        </c:ser>
        <c:ser>
          <c:idx val="1"/>
          <c:order val="2"/>
          <c:tx>
            <c:strRef>
              <c:f>'Segment dashbd'!$D$36</c:f>
              <c:strCache>
                <c:ptCount val="1"/>
                <c:pt idx="0">
                  <c:v>Enterprise</c:v>
                </c:pt>
              </c:strCache>
            </c:strRef>
          </c:tx>
          <c:spPr>
            <a:solidFill>
              <a:schemeClr val="accent3"/>
            </a:solidFill>
            <a:ln>
              <a:solidFill>
                <a:schemeClr val="accent3"/>
              </a:solidFill>
            </a:ln>
          </c:spPr>
          <c:invertIfNegative val="0"/>
          <c:cat>
            <c:numRef>
              <c:f>'Segment dashbd'!$E$27:$O$27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'Segment dashbd'!$E$36:$O$36</c:f>
              <c:numCache>
                <c:formatCode>_("$"* #,##0_);_("$"* \(#,##0\);_("$"* "-"??_);_(@_)</c:formatCode>
                <c:ptCount val="11"/>
                <c:pt idx="0">
                  <c:v>13.409407906828156</c:v>
                </c:pt>
                <c:pt idx="1">
                  <c:v>11.043923322922318</c:v>
                </c:pt>
              </c:numCache>
            </c:numRef>
          </c:val>
          <c:extLst>
            <c:ext xmlns:c16="http://schemas.microsoft.com/office/drawing/2014/chart" uri="{C3380CC4-5D6E-409C-BE32-E72D297353CC}">
              <c16:uniqueId val="{00000002-4C9D-6441-9F1E-7323C098D936}"/>
            </c:ext>
          </c:extLst>
        </c:ser>
        <c:dLbls>
          <c:showLegendKey val="0"/>
          <c:showVal val="0"/>
          <c:showCatName val="0"/>
          <c:showSerName val="0"/>
          <c:showPercent val="0"/>
          <c:showBubbleSize val="0"/>
        </c:dLbls>
        <c:gapWidth val="150"/>
        <c:overlap val="100"/>
        <c:axId val="140818688"/>
        <c:axId val="140820480"/>
      </c:barChart>
      <c:catAx>
        <c:axId val="140818688"/>
        <c:scaling>
          <c:orientation val="minMax"/>
        </c:scaling>
        <c:delete val="0"/>
        <c:axPos val="b"/>
        <c:numFmt formatCode="General" sourceLinked="1"/>
        <c:majorTickMark val="out"/>
        <c:minorTickMark val="none"/>
        <c:tickLblPos val="nextTo"/>
        <c:crossAx val="140820480"/>
        <c:crosses val="autoZero"/>
        <c:auto val="1"/>
        <c:lblAlgn val="ctr"/>
        <c:lblOffset val="100"/>
        <c:noMultiLvlLbl val="0"/>
      </c:catAx>
      <c:valAx>
        <c:axId val="140820480"/>
        <c:scaling>
          <c:orientation val="minMax"/>
        </c:scaling>
        <c:delete val="0"/>
        <c:axPos val="l"/>
        <c:majorGridlines/>
        <c:numFmt formatCode="&quot;$&quot;#,##0" sourceLinked="0"/>
        <c:majorTickMark val="out"/>
        <c:minorTickMark val="none"/>
        <c:tickLblPos val="nextTo"/>
        <c:crossAx val="140818688"/>
        <c:crosses val="autoZero"/>
        <c:crossBetween val="between"/>
      </c:valAx>
    </c:plotArea>
    <c:legend>
      <c:legendPos val="t"/>
      <c:layout>
        <c:manualLayout>
          <c:xMode val="edge"/>
          <c:yMode val="edge"/>
          <c:x val="0.25419338900863514"/>
          <c:y val="0.12415827481806081"/>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5386850370981"/>
          <c:y val="3.2895576992769252E-2"/>
          <c:w val="0.76545195838128821"/>
          <c:h val="0.88129472991329527"/>
        </c:manualLayout>
      </c:layout>
      <c:lineChart>
        <c:grouping val="standard"/>
        <c:varyColors val="0"/>
        <c:ser>
          <c:idx val="0"/>
          <c:order val="0"/>
          <c:tx>
            <c:strRef>
              <c:f>Summary!$B$456</c:f>
              <c:strCache>
                <c:ptCount val="1"/>
                <c:pt idx="0">
                  <c:v>100G PSM4_500 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Summary!$C$456:$M$456</c:f>
              <c:numCache>
                <c:formatCode>_(* #,##0_);_(* \(#,##0\);_(* "-"??_);_(@_)</c:formatCode>
                <c:ptCount val="11"/>
                <c:pt idx="0">
                  <c:v>200861</c:v>
                </c:pt>
                <c:pt idx="1">
                  <c:v>710038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742-FF43-B74E-AD72223D05C9}"/>
            </c:ext>
          </c:extLst>
        </c:ser>
        <c:ser>
          <c:idx val="7"/>
          <c:order val="1"/>
          <c:tx>
            <c:strRef>
              <c:f>Summary!$B$457</c:f>
              <c:strCache>
                <c:ptCount val="1"/>
                <c:pt idx="0">
                  <c:v>100G DR_500m_QSFP28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Summary!$C$457:$M$457</c:f>
              <c:numCache>
                <c:formatCode>_(* #,##0_);_(* \(#,##0\);_(*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EFC-0541-A2A8-6BE89802A05E}"/>
            </c:ext>
          </c:extLst>
        </c:ser>
        <c:ser>
          <c:idx val="8"/>
          <c:order val="2"/>
          <c:tx>
            <c:strRef>
              <c:f>Summary!$B$458</c:f>
              <c:strCache>
                <c:ptCount val="1"/>
                <c:pt idx="0">
                  <c:v>100G CWDM4-subspec_500 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Summary!$C$458:$M$458</c:f>
              <c:numCache>
                <c:formatCode>_(* #,##0_);_(* \(#,##0\);_(* "-"??_);_(@_)</c:formatCode>
                <c:ptCount val="11"/>
                <c:pt idx="0">
                  <c:v>88200.6</c:v>
                </c:pt>
                <c:pt idx="1">
                  <c:v>683412.1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EFC-0541-A2A8-6BE89802A05E}"/>
            </c:ext>
          </c:extLst>
        </c:ser>
        <c:ser>
          <c:idx val="5"/>
          <c:order val="3"/>
          <c:tx>
            <c:strRef>
              <c:f>Summary!$B$459</c:f>
              <c:strCache>
                <c:ptCount val="1"/>
                <c:pt idx="0">
                  <c:v>100G CWDM4_2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Summary!$C$459:$M$459</c:f>
              <c:numCache>
                <c:formatCode>_(* #,##0_);_(* \(#,##0\);_(* "-"??_);_(@_)</c:formatCode>
                <c:ptCount val="11"/>
                <c:pt idx="0">
                  <c:v>30989.399999999994</c:v>
                </c:pt>
                <c:pt idx="1">
                  <c:v>292890.90000000002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742-FF43-B74E-AD72223D05C9}"/>
            </c:ext>
          </c:extLst>
        </c:ser>
        <c:ser>
          <c:idx val="10"/>
          <c:order val="4"/>
          <c:tx>
            <c:strRef>
              <c:f>Summary!$B$460</c:f>
              <c:strCache>
                <c:ptCount val="1"/>
                <c:pt idx="0">
                  <c:v>100G FR, DR+_2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Summary!$C$460:$M$460</c:f>
              <c:numCache>
                <c:formatCode>_(* #,##0_);_(* \(#,##0\);_(*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EFC-0541-A2A8-6BE89802A05E}"/>
            </c:ext>
          </c:extLst>
        </c:ser>
        <c:ser>
          <c:idx val="1"/>
          <c:order val="5"/>
          <c:tx>
            <c:strRef>
              <c:f>Summary!$B$461</c:f>
              <c:strCache>
                <c:ptCount val="1"/>
                <c:pt idx="0">
                  <c:v>100G LR4_10 km_CFP</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Summary!$C$461:$M$461</c:f>
              <c:numCache>
                <c:formatCode>_(* #,##0_);_(* \(#,##0\);_(* "-"??_);_(@_)</c:formatCode>
                <c:ptCount val="11"/>
                <c:pt idx="0">
                  <c:v>109936</c:v>
                </c:pt>
                <c:pt idx="1">
                  <c:v>67349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742-FF43-B74E-AD72223D05C9}"/>
            </c:ext>
          </c:extLst>
        </c:ser>
        <c:ser>
          <c:idx val="2"/>
          <c:order val="6"/>
          <c:tx>
            <c:strRef>
              <c:f>Summary!$B$462</c:f>
              <c:strCache>
                <c:ptCount val="1"/>
                <c:pt idx="0">
                  <c:v>100G LR4_10 km_CFP2/4</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Summary!$C$462:$M$462</c:f>
              <c:numCache>
                <c:formatCode>_(* #,##0_);_(* \(#,##0\);_(* "-"??_);_(@_)</c:formatCode>
                <c:ptCount val="11"/>
                <c:pt idx="0">
                  <c:v>92243</c:v>
                </c:pt>
                <c:pt idx="1">
                  <c:v>78202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742-FF43-B74E-AD72223D05C9}"/>
            </c:ext>
          </c:extLst>
        </c:ser>
        <c:ser>
          <c:idx val="3"/>
          <c:order val="7"/>
          <c:tx>
            <c:strRef>
              <c:f>Summary!$B$463</c:f>
              <c:strCache>
                <c:ptCount val="1"/>
                <c:pt idx="0">
                  <c:v>100G LR4 and LR1_10 km_QSFP28</c:v>
                </c:pt>
              </c:strCache>
            </c:strRef>
          </c:tx>
          <c:marker>
            <c:symbol val="square"/>
            <c:size val="5"/>
          </c:marker>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Summary!$C$463:$M$463</c:f>
              <c:numCache>
                <c:formatCode>_(* #,##0_);_(* \(#,##0\);_(* "-"??_);_(@_)</c:formatCode>
                <c:ptCount val="11"/>
                <c:pt idx="0">
                  <c:v>90443</c:v>
                </c:pt>
                <c:pt idx="1">
                  <c:v>362352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0742-FF43-B74E-AD72223D05C9}"/>
            </c:ext>
          </c:extLst>
        </c:ser>
        <c:ser>
          <c:idx val="9"/>
          <c:order val="8"/>
          <c:tx>
            <c:strRef>
              <c:f>Summary!$B$464</c:f>
              <c:strCache>
                <c:ptCount val="1"/>
                <c:pt idx="0">
                  <c:v>100G 4WDM10_10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Summary!$C$464:$M$464</c:f>
              <c:numCache>
                <c:formatCode>_(* #,##0_);_(* \(#,##0\);_(* "-"??_);_(@_)</c:formatCode>
                <c:ptCount val="11"/>
                <c:pt idx="1">
                  <c:v>45000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EFC-0541-A2A8-6BE89802A05E}"/>
            </c:ext>
          </c:extLst>
        </c:ser>
        <c:ser>
          <c:idx val="6"/>
          <c:order val="9"/>
          <c:tx>
            <c:strRef>
              <c:f>Summary!$B$465</c:f>
              <c:strCache>
                <c:ptCount val="1"/>
                <c:pt idx="0">
                  <c:v>100G 4WDM20_20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Summary!$C$465:$M$465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0742-FF43-B74E-AD72223D05C9}"/>
            </c:ext>
          </c:extLst>
        </c:ser>
        <c:ser>
          <c:idx val="4"/>
          <c:order val="10"/>
          <c:tx>
            <c:strRef>
              <c:f>Summary!$B$466</c:f>
              <c:strCache>
                <c:ptCount val="1"/>
                <c:pt idx="0">
                  <c:v>100G ER4-Lite_30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Summary!$C$466:$M$466</c:f>
              <c:numCache>
                <c:formatCode>_(* #,##0_);_(* \(#,##0\);_(* "-"??_);_(@_)</c:formatCode>
                <c:ptCount val="11"/>
                <c:pt idx="0">
                  <c:v>0</c:v>
                </c:pt>
                <c:pt idx="1">
                  <c:v>2000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0742-FF43-B74E-AD72223D05C9}"/>
            </c:ext>
          </c:extLst>
        </c:ser>
        <c:ser>
          <c:idx val="11"/>
          <c:order val="11"/>
          <c:tx>
            <c:strRef>
              <c:f>Summary!$B$467</c:f>
              <c:strCache>
                <c:ptCount val="1"/>
                <c:pt idx="0">
                  <c:v>100G ER4_40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Summary!$C$467:$M$467</c:f>
              <c:numCache>
                <c:formatCode>_(* #,##0_);_(* \(#,##0\);_(* "-"??_);_(@_)</c:formatCode>
                <c:ptCount val="11"/>
                <c:pt idx="0">
                  <c:v>7456</c:v>
                </c:pt>
                <c:pt idx="1">
                  <c:v>8272</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84A-9049-8669-DA576F19C94E}"/>
            </c:ext>
          </c:extLst>
        </c:ser>
        <c:ser>
          <c:idx val="12"/>
          <c:order val="12"/>
          <c:tx>
            <c:strRef>
              <c:f>Summary!$B$468</c:f>
              <c:strCache>
                <c:ptCount val="1"/>
                <c:pt idx="0">
                  <c:v>100G ZR4_80 km_QSFP28</c:v>
                </c:pt>
              </c:strCache>
            </c:strRef>
          </c:tx>
          <c:cat>
            <c:numRef>
              <c:f>Summary!$C$455:$M$455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Summary!$C$468:$M$468</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84A-9049-8669-DA576F19C94E}"/>
            </c:ext>
          </c:extLst>
        </c:ser>
        <c:dLbls>
          <c:showLegendKey val="0"/>
          <c:showVal val="0"/>
          <c:showCatName val="0"/>
          <c:showSerName val="0"/>
          <c:showPercent val="0"/>
          <c:showBubbleSize val="0"/>
        </c:dLbls>
        <c:marker val="1"/>
        <c:smooth val="0"/>
        <c:axId val="132661632"/>
        <c:axId val="132663168"/>
      </c:lineChart>
      <c:catAx>
        <c:axId val="132661632"/>
        <c:scaling>
          <c:orientation val="minMax"/>
        </c:scaling>
        <c:delete val="0"/>
        <c:axPos val="b"/>
        <c:numFmt formatCode="General" sourceLinked="1"/>
        <c:majorTickMark val="out"/>
        <c:minorTickMark val="none"/>
        <c:tickLblPos val="nextTo"/>
        <c:txPr>
          <a:bodyPr/>
          <a:lstStyle/>
          <a:p>
            <a:pPr>
              <a:defRPr sz="1050"/>
            </a:pPr>
            <a:endParaRPr lang="en-US"/>
          </a:p>
        </c:txPr>
        <c:crossAx val="132663168"/>
        <c:crosses val="autoZero"/>
        <c:auto val="1"/>
        <c:lblAlgn val="ctr"/>
        <c:lblOffset val="100"/>
        <c:noMultiLvlLbl val="0"/>
      </c:catAx>
      <c:valAx>
        <c:axId val="132663168"/>
        <c:scaling>
          <c:orientation val="minMax"/>
          <c:min val="0"/>
        </c:scaling>
        <c:delete val="0"/>
        <c:axPos val="l"/>
        <c:majorGridlines/>
        <c:title>
          <c:tx>
            <c:rich>
              <a:bodyPr rot="-5400000" vert="horz"/>
              <a:lstStyle/>
              <a:p>
                <a:pPr>
                  <a:defRPr sz="1400"/>
                </a:pPr>
                <a:r>
                  <a:rPr lang="en-US" sz="1400"/>
                  <a:t>Annual shipments
</a:t>
                </a:r>
              </a:p>
            </c:rich>
          </c:tx>
          <c:overlay val="0"/>
        </c:title>
        <c:numFmt formatCode="#,##0" sourceLinked="0"/>
        <c:majorTickMark val="out"/>
        <c:minorTickMark val="none"/>
        <c:tickLblPos val="nextTo"/>
        <c:txPr>
          <a:bodyPr/>
          <a:lstStyle/>
          <a:p>
            <a:pPr>
              <a:defRPr sz="1100"/>
            </a:pPr>
            <a:endParaRPr lang="en-US"/>
          </a:p>
        </c:txPr>
        <c:crossAx val="132661632"/>
        <c:crosses val="autoZero"/>
        <c:crossBetween val="between"/>
      </c:valAx>
    </c:plotArea>
    <c:legend>
      <c:legendPos val="t"/>
      <c:layout>
        <c:manualLayout>
          <c:xMode val="edge"/>
          <c:yMode val="edge"/>
          <c:x val="0.20178010540665142"/>
          <c:y val="5.1199495105133011E-2"/>
          <c:w val="0.71655703516995561"/>
          <c:h val="0.521401124320932"/>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image" Target="../media/image1.png"/><Relationship Id="rId5" Type="http://schemas.openxmlformats.org/officeDocument/2006/relationships/chart" Target="../charts/chart61.xml"/><Relationship Id="rId4" Type="http://schemas.openxmlformats.org/officeDocument/2006/relationships/chart" Target="../charts/chart60.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69.xml"/><Relationship Id="rId13" Type="http://schemas.openxmlformats.org/officeDocument/2006/relationships/chart" Target="../charts/chart74.xml"/><Relationship Id="rId18" Type="http://schemas.openxmlformats.org/officeDocument/2006/relationships/chart" Target="../charts/chart79.xml"/><Relationship Id="rId3" Type="http://schemas.openxmlformats.org/officeDocument/2006/relationships/chart" Target="../charts/chart64.xml"/><Relationship Id="rId21" Type="http://schemas.openxmlformats.org/officeDocument/2006/relationships/chart" Target="../charts/chart82.xml"/><Relationship Id="rId7" Type="http://schemas.openxmlformats.org/officeDocument/2006/relationships/chart" Target="../charts/chart68.xml"/><Relationship Id="rId12" Type="http://schemas.openxmlformats.org/officeDocument/2006/relationships/chart" Target="../charts/chart73.xml"/><Relationship Id="rId17" Type="http://schemas.openxmlformats.org/officeDocument/2006/relationships/chart" Target="../charts/chart78.xml"/><Relationship Id="rId2" Type="http://schemas.openxmlformats.org/officeDocument/2006/relationships/chart" Target="../charts/chart63.xml"/><Relationship Id="rId16" Type="http://schemas.openxmlformats.org/officeDocument/2006/relationships/chart" Target="../charts/chart77.xml"/><Relationship Id="rId20" Type="http://schemas.openxmlformats.org/officeDocument/2006/relationships/chart" Target="../charts/chart81.xml"/><Relationship Id="rId1" Type="http://schemas.openxmlformats.org/officeDocument/2006/relationships/chart" Target="../charts/chart62.xml"/><Relationship Id="rId6" Type="http://schemas.openxmlformats.org/officeDocument/2006/relationships/chart" Target="../charts/chart67.xml"/><Relationship Id="rId11" Type="http://schemas.openxmlformats.org/officeDocument/2006/relationships/chart" Target="../charts/chart72.xml"/><Relationship Id="rId5" Type="http://schemas.openxmlformats.org/officeDocument/2006/relationships/chart" Target="../charts/chart66.xml"/><Relationship Id="rId15" Type="http://schemas.openxmlformats.org/officeDocument/2006/relationships/chart" Target="../charts/chart76.xml"/><Relationship Id="rId10" Type="http://schemas.openxmlformats.org/officeDocument/2006/relationships/chart" Target="../charts/chart71.xml"/><Relationship Id="rId19" Type="http://schemas.openxmlformats.org/officeDocument/2006/relationships/chart" Target="../charts/chart80.xml"/><Relationship Id="rId4" Type="http://schemas.openxmlformats.org/officeDocument/2006/relationships/chart" Target="../charts/chart65.xml"/><Relationship Id="rId9" Type="http://schemas.openxmlformats.org/officeDocument/2006/relationships/chart" Target="../charts/chart70.xml"/><Relationship Id="rId14" Type="http://schemas.openxmlformats.org/officeDocument/2006/relationships/chart" Target="../charts/chart75.xml"/><Relationship Id="rId2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0.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image" Target="../media/image1.png"/><Relationship Id="rId36" Type="http://schemas.openxmlformats.org/officeDocument/2006/relationships/chart" Target="../charts/chart37.xml"/><Relationship Id="rId49" Type="http://schemas.openxmlformats.org/officeDocument/2006/relationships/chart" Target="../charts/chart50.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8" Type="http://schemas.openxmlformats.org/officeDocument/2006/relationships/chart" Target="../charts/chart10.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0" Type="http://schemas.openxmlformats.org/officeDocument/2006/relationships/chart" Target="../charts/chart22.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6.xml"/><Relationship Id="rId1"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editAs="oneCell">
    <xdr:from>
      <xdr:col>8</xdr:col>
      <xdr:colOff>316774</xdr:colOff>
      <xdr:row>0</xdr:row>
      <xdr:rowOff>15966</xdr:rowOff>
    </xdr:from>
    <xdr:to>
      <xdr:col>13</xdr:col>
      <xdr:colOff>51490</xdr:colOff>
      <xdr:row>3</xdr:row>
      <xdr:rowOff>62930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10254" y="15966"/>
          <a:ext cx="2897016" cy="6260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133349</xdr:colOff>
      <xdr:row>7</xdr:row>
      <xdr:rowOff>19050</xdr:rowOff>
    </xdr:from>
    <xdr:to>
      <xdr:col>6</xdr:col>
      <xdr:colOff>740833</xdr:colOff>
      <xdr:row>31</xdr:row>
      <xdr:rowOff>80963</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312964</xdr:colOff>
      <xdr:row>7</xdr:row>
      <xdr:rowOff>32657</xdr:rowOff>
    </xdr:from>
    <xdr:to>
      <xdr:col>21</xdr:col>
      <xdr:colOff>326572</xdr:colOff>
      <xdr:row>31</xdr:row>
      <xdr:rowOff>94570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27213</xdr:colOff>
      <xdr:row>44</xdr:row>
      <xdr:rowOff>122465</xdr:rowOff>
    </xdr:from>
    <xdr:to>
      <xdr:col>7</xdr:col>
      <xdr:colOff>404812</xdr:colOff>
      <xdr:row>69</xdr:row>
      <xdr:rowOff>108857</xdr:rowOff>
    </xdr:to>
    <xdr:graphicFrame macro="">
      <xdr:nvGraphicFramePr>
        <xdr:cNvPr id="24" name="Chart 23">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519793</xdr:colOff>
      <xdr:row>44</xdr:row>
      <xdr:rowOff>125187</xdr:rowOff>
    </xdr:from>
    <xdr:to>
      <xdr:col>15</xdr:col>
      <xdr:colOff>590551</xdr:colOff>
      <xdr:row>69</xdr:row>
      <xdr:rowOff>119743</xdr:rowOff>
    </xdr:to>
    <xdr:graphicFrame macro="">
      <xdr:nvGraphicFramePr>
        <xdr:cNvPr id="25" name="Chart 24">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21166</xdr:colOff>
      <xdr:row>7</xdr:row>
      <xdr:rowOff>21772</xdr:rowOff>
    </xdr:from>
    <xdr:to>
      <xdr:col>14</xdr:col>
      <xdr:colOff>311603</xdr:colOff>
      <xdr:row>31</xdr:row>
      <xdr:rowOff>83685</xdr:rowOff>
    </xdr:to>
    <xdr:graphicFrame macro="">
      <xdr:nvGraphicFramePr>
        <xdr:cNvPr id="26" name="Chart 25">
          <a:extLst>
            <a:ext uri="{FF2B5EF4-FFF2-40B4-BE49-F238E27FC236}">
              <a16:creationId xmlns:a16="http://schemas.microsoft.com/office/drawing/2014/main"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0</xdr:colOff>
      <xdr:row>1</xdr:row>
      <xdr:rowOff>0</xdr:rowOff>
    </xdr:from>
    <xdr:to>
      <xdr:col>15</xdr:col>
      <xdr:colOff>339960</xdr:colOff>
      <xdr:row>3</xdr:row>
      <xdr:rowOff>193559</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6"/>
        <a:stretch>
          <a:fillRect/>
        </a:stretch>
      </xdr:blipFill>
      <xdr:spPr>
        <a:xfrm>
          <a:off x="10731500" y="163286"/>
          <a:ext cx="2870889" cy="6289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344715</xdr:colOff>
      <xdr:row>1</xdr:row>
      <xdr:rowOff>45357</xdr:rowOff>
    </xdr:from>
    <xdr:to>
      <xdr:col>14</xdr:col>
      <xdr:colOff>711889</xdr:colOff>
      <xdr:row>3</xdr:row>
      <xdr:rowOff>175416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0023929" y="208643"/>
          <a:ext cx="2870889" cy="6289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660401</xdr:colOff>
      <xdr:row>0</xdr:row>
      <xdr:rowOff>0</xdr:rowOff>
    </xdr:from>
    <xdr:to>
      <xdr:col>15</xdr:col>
      <xdr:colOff>69634</xdr:colOff>
      <xdr:row>2</xdr:row>
      <xdr:rowOff>151831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0163630" y="0"/>
          <a:ext cx="2805575" cy="61991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472722</xdr:colOff>
      <xdr:row>1</xdr:row>
      <xdr:rowOff>46366</xdr:rowOff>
    </xdr:from>
    <xdr:to>
      <xdr:col>15</xdr:col>
      <xdr:colOff>5326</xdr:colOff>
      <xdr:row>3</xdr:row>
      <xdr:rowOff>178440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0351508" y="209652"/>
          <a:ext cx="2870889" cy="6310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201657</xdr:colOff>
      <xdr:row>7</xdr:row>
      <xdr:rowOff>102052</xdr:rowOff>
    </xdr:from>
    <xdr:to>
      <xdr:col>6</xdr:col>
      <xdr:colOff>381000</xdr:colOff>
      <xdr:row>29</xdr:row>
      <xdr:rowOff>27215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603250</xdr:colOff>
      <xdr:row>8</xdr:row>
      <xdr:rowOff>38101</xdr:rowOff>
    </xdr:from>
    <xdr:to>
      <xdr:col>13</xdr:col>
      <xdr:colOff>449036</xdr:colOff>
      <xdr:row>29</xdr:row>
      <xdr:rowOff>40823</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678</xdr:colOff>
      <xdr:row>259</xdr:row>
      <xdr:rowOff>95250</xdr:rowOff>
    </xdr:from>
    <xdr:to>
      <xdr:col>7</xdr:col>
      <xdr:colOff>142874</xdr:colOff>
      <xdr:row>279</xdr:row>
      <xdr:rowOff>27214</xdr:rowOff>
    </xdr:to>
    <xdr:graphicFrame macro="">
      <xdr:nvGraphicFramePr>
        <xdr:cNvPr id="25" name="Chart 24">
          <a:extLst>
            <a:ext uri="{FF2B5EF4-FFF2-40B4-BE49-F238E27FC236}">
              <a16:creationId xmlns:a16="http://schemas.microsoft.com/office/drawing/2014/main" id="{00000000-0008-0000-0C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396874</xdr:colOff>
      <xdr:row>259</xdr:row>
      <xdr:rowOff>85498</xdr:rowOff>
    </xdr:from>
    <xdr:to>
      <xdr:col>14</xdr:col>
      <xdr:colOff>272777</xdr:colOff>
      <xdr:row>279</xdr:row>
      <xdr:rowOff>17462</xdr:rowOff>
    </xdr:to>
    <xdr:graphicFrame macro="">
      <xdr:nvGraphicFramePr>
        <xdr:cNvPr id="26" name="Chart 25">
          <a:extLst>
            <a:ext uri="{FF2B5EF4-FFF2-40B4-BE49-F238E27FC236}">
              <a16:creationId xmlns:a16="http://schemas.microsoft.com/office/drawing/2014/main" id="{00000000-0008-0000-0C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47625</xdr:colOff>
      <xdr:row>221</xdr:row>
      <xdr:rowOff>9525</xdr:rowOff>
    </xdr:from>
    <xdr:to>
      <xdr:col>13</xdr:col>
      <xdr:colOff>870585</xdr:colOff>
      <xdr:row>240</xdr:row>
      <xdr:rowOff>83548</xdr:rowOff>
    </xdr:to>
    <xdr:graphicFrame macro="">
      <xdr:nvGraphicFramePr>
        <xdr:cNvPr id="29" name="Chart 28">
          <a:extLst>
            <a:ext uri="{FF2B5EF4-FFF2-40B4-BE49-F238E27FC236}">
              <a16:creationId xmlns:a16="http://schemas.microsoft.com/office/drawing/2014/main" id="{00000000-0008-0000-0C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29935</xdr:colOff>
      <xdr:row>48</xdr:row>
      <xdr:rowOff>43544</xdr:rowOff>
    </xdr:from>
    <xdr:to>
      <xdr:col>6</xdr:col>
      <xdr:colOff>23813</xdr:colOff>
      <xdr:row>67</xdr:row>
      <xdr:rowOff>74838</xdr:rowOff>
    </xdr:to>
    <xdr:graphicFrame macro="">
      <xdr:nvGraphicFramePr>
        <xdr:cNvPr id="34" name="Chart 33">
          <a:extLst>
            <a:ext uri="{FF2B5EF4-FFF2-40B4-BE49-F238E27FC236}">
              <a16:creationId xmlns:a16="http://schemas.microsoft.com/office/drawing/2014/main" id="{00000000-0008-0000-0C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119063</xdr:colOff>
      <xdr:row>48</xdr:row>
      <xdr:rowOff>71665</xdr:rowOff>
    </xdr:from>
    <xdr:to>
      <xdr:col>10</xdr:col>
      <xdr:colOff>762000</xdr:colOff>
      <xdr:row>67</xdr:row>
      <xdr:rowOff>100240</xdr:rowOff>
    </xdr:to>
    <xdr:graphicFrame macro="">
      <xdr:nvGraphicFramePr>
        <xdr:cNvPr id="35" name="Chart 34">
          <a:extLst>
            <a:ext uri="{FF2B5EF4-FFF2-40B4-BE49-F238E27FC236}">
              <a16:creationId xmlns:a16="http://schemas.microsoft.com/office/drawing/2014/main" id="{00000000-0008-0000-0C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81913</xdr:colOff>
      <xdr:row>221</xdr:row>
      <xdr:rowOff>50344</xdr:rowOff>
    </xdr:from>
    <xdr:to>
      <xdr:col>7</xdr:col>
      <xdr:colOff>219073</xdr:colOff>
      <xdr:row>240</xdr:row>
      <xdr:rowOff>124367</xdr:rowOff>
    </xdr:to>
    <xdr:graphicFrame macro="">
      <xdr:nvGraphicFramePr>
        <xdr:cNvPr id="36" name="Chart 35">
          <a:extLst>
            <a:ext uri="{FF2B5EF4-FFF2-40B4-BE49-F238E27FC236}">
              <a16:creationId xmlns:a16="http://schemas.microsoft.com/office/drawing/2014/main" id="{00000000-0008-0000-0C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158747</xdr:colOff>
      <xdr:row>69</xdr:row>
      <xdr:rowOff>85727</xdr:rowOff>
    </xdr:from>
    <xdr:to>
      <xdr:col>6</xdr:col>
      <xdr:colOff>23812</xdr:colOff>
      <xdr:row>88</xdr:row>
      <xdr:rowOff>114300</xdr:rowOff>
    </xdr:to>
    <xdr:graphicFrame macro="">
      <xdr:nvGraphicFramePr>
        <xdr:cNvPr id="15" name="Chart 14">
          <a:extLst>
            <a:ext uri="{FF2B5EF4-FFF2-40B4-BE49-F238E27FC236}">
              <a16:creationId xmlns:a16="http://schemas.microsoft.com/office/drawing/2014/main" id="{00000000-0008-0000-0C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111126</xdr:colOff>
      <xdr:row>69</xdr:row>
      <xdr:rowOff>85727</xdr:rowOff>
    </xdr:from>
    <xdr:to>
      <xdr:col>10</xdr:col>
      <xdr:colOff>706438</xdr:colOff>
      <xdr:row>88</xdr:row>
      <xdr:rowOff>114300</xdr:rowOff>
    </xdr:to>
    <xdr:graphicFrame macro="">
      <xdr:nvGraphicFramePr>
        <xdr:cNvPr id="16" name="Chart 15">
          <a:extLst>
            <a:ext uri="{FF2B5EF4-FFF2-40B4-BE49-F238E27FC236}">
              <a16:creationId xmlns:a16="http://schemas.microsoft.com/office/drawing/2014/main" id="{00000000-0008-0000-0C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201657</xdr:colOff>
      <xdr:row>93</xdr:row>
      <xdr:rowOff>102052</xdr:rowOff>
    </xdr:from>
    <xdr:to>
      <xdr:col>6</xdr:col>
      <xdr:colOff>619125</xdr:colOff>
      <xdr:row>115</xdr:row>
      <xdr:rowOff>27215</xdr:rowOff>
    </xdr:to>
    <xdr:graphicFrame macro="">
      <xdr:nvGraphicFramePr>
        <xdr:cNvPr id="17" name="Chart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896938</xdr:colOff>
      <xdr:row>94</xdr:row>
      <xdr:rowOff>38101</xdr:rowOff>
    </xdr:from>
    <xdr:to>
      <xdr:col>13</xdr:col>
      <xdr:colOff>904875</xdr:colOff>
      <xdr:row>115</xdr:row>
      <xdr:rowOff>40823</xdr:rowOff>
    </xdr:to>
    <xdr:graphicFrame macro="">
      <xdr:nvGraphicFramePr>
        <xdr:cNvPr id="18" name="Chart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201657</xdr:colOff>
      <xdr:row>135</xdr:row>
      <xdr:rowOff>102052</xdr:rowOff>
    </xdr:from>
    <xdr:to>
      <xdr:col>6</xdr:col>
      <xdr:colOff>984250</xdr:colOff>
      <xdr:row>157</xdr:row>
      <xdr:rowOff>27215</xdr:rowOff>
    </xdr:to>
    <xdr:graphicFrame macro="">
      <xdr:nvGraphicFramePr>
        <xdr:cNvPr id="23" name="Chart 22">
          <a:extLst>
            <a:ext uri="{FF2B5EF4-FFF2-40B4-BE49-F238E27FC236}">
              <a16:creationId xmlns:a16="http://schemas.microsoft.com/office/drawing/2014/main" id="{00000000-0008-0000-0C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182562</xdr:colOff>
      <xdr:row>136</xdr:row>
      <xdr:rowOff>38101</xdr:rowOff>
    </xdr:from>
    <xdr:to>
      <xdr:col>14</xdr:col>
      <xdr:colOff>55563</xdr:colOff>
      <xdr:row>157</xdr:row>
      <xdr:rowOff>40823</xdr:rowOff>
    </xdr:to>
    <xdr:graphicFrame macro="">
      <xdr:nvGraphicFramePr>
        <xdr:cNvPr id="24" name="Chart 23">
          <a:extLst>
            <a:ext uri="{FF2B5EF4-FFF2-40B4-BE49-F238E27FC236}">
              <a16:creationId xmlns:a16="http://schemas.microsoft.com/office/drawing/2014/main" id="{00000000-0008-0000-0C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100057</xdr:colOff>
      <xdr:row>177</xdr:row>
      <xdr:rowOff>63952</xdr:rowOff>
    </xdr:from>
    <xdr:to>
      <xdr:col>6</xdr:col>
      <xdr:colOff>944563</xdr:colOff>
      <xdr:row>198</xdr:row>
      <xdr:rowOff>147865</xdr:rowOff>
    </xdr:to>
    <xdr:graphicFrame macro="">
      <xdr:nvGraphicFramePr>
        <xdr:cNvPr id="37" name="Chart 36">
          <a:extLst>
            <a:ext uri="{FF2B5EF4-FFF2-40B4-BE49-F238E27FC236}">
              <a16:creationId xmlns:a16="http://schemas.microsoft.com/office/drawing/2014/main" id="{00000000-0008-0000-0C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127000</xdr:colOff>
      <xdr:row>178</xdr:row>
      <xdr:rowOff>1</xdr:rowOff>
    </xdr:from>
    <xdr:to>
      <xdr:col>13</xdr:col>
      <xdr:colOff>793750</xdr:colOff>
      <xdr:row>199</xdr:row>
      <xdr:rowOff>2723</xdr:rowOff>
    </xdr:to>
    <xdr:graphicFrame macro="">
      <xdr:nvGraphicFramePr>
        <xdr:cNvPr id="38" name="Chart 37">
          <a:extLst>
            <a:ext uri="{FF2B5EF4-FFF2-40B4-BE49-F238E27FC236}">
              <a16:creationId xmlns:a16="http://schemas.microsoft.com/office/drawing/2014/main" id="{00000000-0008-0000-0C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814432</xdr:colOff>
      <xdr:row>94</xdr:row>
      <xdr:rowOff>95702</xdr:rowOff>
    </xdr:from>
    <xdr:to>
      <xdr:col>24</xdr:col>
      <xdr:colOff>422275</xdr:colOff>
      <xdr:row>115</xdr:row>
      <xdr:rowOff>179615</xdr:rowOff>
    </xdr:to>
    <xdr:graphicFrame macro="">
      <xdr:nvGraphicFramePr>
        <xdr:cNvPr id="39" name="Chart 38">
          <a:extLst>
            <a:ext uri="{FF2B5EF4-FFF2-40B4-BE49-F238E27FC236}">
              <a16:creationId xmlns:a16="http://schemas.microsoft.com/office/drawing/2014/main" id="{00000000-0008-0000-0C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814432</xdr:colOff>
      <xdr:row>117</xdr:row>
      <xdr:rowOff>136977</xdr:rowOff>
    </xdr:from>
    <xdr:to>
      <xdr:col>24</xdr:col>
      <xdr:colOff>423182</xdr:colOff>
      <xdr:row>137</xdr:row>
      <xdr:rowOff>78015</xdr:rowOff>
    </xdr:to>
    <xdr:graphicFrame macro="">
      <xdr:nvGraphicFramePr>
        <xdr:cNvPr id="40" name="Chart 39">
          <a:extLst>
            <a:ext uri="{FF2B5EF4-FFF2-40B4-BE49-F238E27FC236}">
              <a16:creationId xmlns:a16="http://schemas.microsoft.com/office/drawing/2014/main" id="{00000000-0008-0000-0C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261982</xdr:colOff>
      <xdr:row>139</xdr:row>
      <xdr:rowOff>83002</xdr:rowOff>
    </xdr:from>
    <xdr:to>
      <xdr:col>25</xdr:col>
      <xdr:colOff>219075</xdr:colOff>
      <xdr:row>160</xdr:row>
      <xdr:rowOff>55790</xdr:rowOff>
    </xdr:to>
    <xdr:graphicFrame macro="">
      <xdr:nvGraphicFramePr>
        <xdr:cNvPr id="41" name="Chart 40">
          <a:extLst>
            <a:ext uri="{FF2B5EF4-FFF2-40B4-BE49-F238E27FC236}">
              <a16:creationId xmlns:a16="http://schemas.microsoft.com/office/drawing/2014/main" id="{00000000-0008-0000-0C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36557</xdr:colOff>
      <xdr:row>7</xdr:row>
      <xdr:rowOff>111577</xdr:rowOff>
    </xdr:from>
    <xdr:to>
      <xdr:col>24</xdr:col>
      <xdr:colOff>612775</xdr:colOff>
      <xdr:row>29</xdr:row>
      <xdr:rowOff>36740</xdr:rowOff>
    </xdr:to>
    <xdr:graphicFrame macro="">
      <xdr:nvGraphicFramePr>
        <xdr:cNvPr id="42" name="Chart 41">
          <a:extLst>
            <a:ext uri="{FF2B5EF4-FFF2-40B4-BE49-F238E27FC236}">
              <a16:creationId xmlns:a16="http://schemas.microsoft.com/office/drawing/2014/main" id="{00000000-0008-0000-0C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477882</xdr:colOff>
      <xdr:row>161</xdr:row>
      <xdr:rowOff>156027</xdr:rowOff>
    </xdr:from>
    <xdr:to>
      <xdr:col>25</xdr:col>
      <xdr:colOff>434975</xdr:colOff>
      <xdr:row>181</xdr:row>
      <xdr:rowOff>97065</xdr:rowOff>
    </xdr:to>
    <xdr:graphicFrame macro="">
      <xdr:nvGraphicFramePr>
        <xdr:cNvPr id="43" name="Chart 42">
          <a:extLst>
            <a:ext uri="{FF2B5EF4-FFF2-40B4-BE49-F238E27FC236}">
              <a16:creationId xmlns:a16="http://schemas.microsoft.com/office/drawing/2014/main" id="{00000000-0008-0000-0C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6</xdr:col>
      <xdr:colOff>0</xdr:colOff>
      <xdr:row>0</xdr:row>
      <xdr:rowOff>0</xdr:rowOff>
    </xdr:from>
    <xdr:to>
      <xdr:col>8</xdr:col>
      <xdr:colOff>857031</xdr:colOff>
      <xdr:row>2</xdr:row>
      <xdr:rowOff>215331</xdr:rowOff>
    </xdr:to>
    <xdr:pic>
      <xdr:nvPicPr>
        <xdr:cNvPr id="27" name="Picture 26">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22"/>
        <a:stretch>
          <a:fillRect/>
        </a:stretch>
      </xdr:blipFill>
      <xdr:spPr>
        <a:xfrm>
          <a:off x="5943600" y="0"/>
          <a:ext cx="2838231" cy="6181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39233</xdr:colOff>
      <xdr:row>6</xdr:row>
      <xdr:rowOff>64635</xdr:rowOff>
    </xdr:from>
    <xdr:to>
      <xdr:col>5</xdr:col>
      <xdr:colOff>945196</xdr:colOff>
      <xdr:row>24</xdr:row>
      <xdr:rowOff>161246</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67356</xdr:colOff>
      <xdr:row>6</xdr:row>
      <xdr:rowOff>64635</xdr:rowOff>
    </xdr:from>
    <xdr:to>
      <xdr:col>11</xdr:col>
      <xdr:colOff>43317</xdr:colOff>
      <xdr:row>24</xdr:row>
      <xdr:rowOff>161245</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132670</xdr:colOff>
      <xdr:row>6</xdr:row>
      <xdr:rowOff>64635</xdr:rowOff>
    </xdr:from>
    <xdr:to>
      <xdr:col>18</xdr:col>
      <xdr:colOff>384401</xdr:colOff>
      <xdr:row>24</xdr:row>
      <xdr:rowOff>159886</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576942</xdr:colOff>
      <xdr:row>0</xdr:row>
      <xdr:rowOff>21770</xdr:rowOff>
    </xdr:from>
    <xdr:to>
      <xdr:col>19</xdr:col>
      <xdr:colOff>246296</xdr:colOff>
      <xdr:row>3</xdr:row>
      <xdr:rowOff>40024</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4"/>
        <a:stretch>
          <a:fillRect/>
        </a:stretch>
      </xdr:blipFill>
      <xdr:spPr>
        <a:xfrm>
          <a:off x="12344399" y="21770"/>
          <a:ext cx="2815326" cy="616968"/>
        </a:xfrm>
        <a:prstGeom prst="rect">
          <a:avLst/>
        </a:prstGeom>
      </xdr:spPr>
    </xdr:pic>
    <xdr:clientData/>
  </xdr:twoCellAnchor>
</xdr:wsDr>
</file>

<file path=xl/drawings/drawing16.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Segment dashbd'!$E$4:$I$4">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100G ER4_40 km_QSFP28</a:t>
          </a:fld>
          <a:endParaRPr lang="en-US" sz="1200" b="0">
            <a:latin typeface="+mn-lt"/>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Segment dashbd'!$E$4:$I$4">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100G ER4_40 km_QSFP28</a:t>
          </a:fld>
          <a:endParaRPr lang="en-US" sz="1100" b="0">
            <a:latin typeface="+mn-l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0.50758</cdr:x>
      <cdr:y>0.02123</cdr:y>
    </cdr:from>
    <cdr:to>
      <cdr:x>1</cdr:x>
      <cdr:y>0.10314</cdr:y>
    </cdr:to>
    <cdr:sp macro="" textlink="'Segment dashbd'!$E$4:$I$4">
      <cdr:nvSpPr>
        <cdr:cNvPr id="2" name="TextBox 1"/>
        <cdr:cNvSpPr txBox="1"/>
      </cdr:nvSpPr>
      <cdr:spPr>
        <a:xfrm xmlns:a="http://schemas.openxmlformats.org/drawingml/2006/main">
          <a:off x="2496637" y="64407"/>
          <a:ext cx="2422072" cy="248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100G ER4_40 km_QSFP28</a:t>
          </a:fld>
          <a:endParaRPr lang="en-US" sz="12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888671"/>
          <a:ext cx="5301487" cy="1432639"/>
          <a:chOff x="158" y="204"/>
          <a:chExt cx="534" cy="149"/>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1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1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1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1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59532</xdr:colOff>
      <xdr:row>16</xdr:row>
      <xdr:rowOff>119061</xdr:rowOff>
    </xdr:from>
    <xdr:to>
      <xdr:col>3</xdr:col>
      <xdr:colOff>1440657</xdr:colOff>
      <xdr:row>31</xdr:row>
      <xdr:rowOff>97627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1765527</xdr:colOff>
      <xdr:row>18</xdr:row>
      <xdr:rowOff>5103</xdr:rowOff>
    </xdr:from>
    <xdr:to>
      <xdr:col>16</xdr:col>
      <xdr:colOff>459242</xdr:colOff>
      <xdr:row>33</xdr:row>
      <xdr:rowOff>9867</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107159</xdr:colOff>
      <xdr:row>19</xdr:row>
      <xdr:rowOff>59531</xdr:rowOff>
    </xdr:from>
    <xdr:to>
      <xdr:col>11</xdr:col>
      <xdr:colOff>988222</xdr:colOff>
      <xdr:row>24</xdr:row>
      <xdr:rowOff>35718</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Ethernet transport are included in the Ethernet/Telecom segment.</a:t>
          </a:r>
        </a:p>
      </xdr:txBody>
    </xdr:sp>
    <xdr:clientData/>
  </xdr:twoCellAnchor>
  <xdr:twoCellAnchor>
    <xdr:from>
      <xdr:col>3</xdr:col>
      <xdr:colOff>23813</xdr:colOff>
      <xdr:row>21</xdr:row>
      <xdr:rowOff>130969</xdr:rowOff>
    </xdr:from>
    <xdr:to>
      <xdr:col>5</xdr:col>
      <xdr:colOff>107159</xdr:colOff>
      <xdr:row>21</xdr:row>
      <xdr:rowOff>130969</xdr:rowOff>
    </xdr:to>
    <xdr:cxnSp macro="">
      <xdr:nvCxnSpPr>
        <xdr:cNvPr id="9" name="Straight Arrow Connector 8">
          <a:extLst>
            <a:ext uri="{FF2B5EF4-FFF2-40B4-BE49-F238E27FC236}">
              <a16:creationId xmlns:a16="http://schemas.microsoft.com/office/drawing/2014/main" id="{00000000-0008-0000-0200-000009000000}"/>
            </a:ext>
          </a:extLst>
        </xdr:cNvPr>
        <xdr:cNvCxnSpPr>
          <a:stCxn id="6" idx="1"/>
        </xdr:cNvCxnSpPr>
      </xdr:nvCxnSpPr>
      <xdr:spPr>
        <a:xfrm flipH="1">
          <a:off x="4274344" y="4321969"/>
          <a:ext cx="1631159"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104778</xdr:colOff>
      <xdr:row>25</xdr:row>
      <xdr:rowOff>57150</xdr:rowOff>
    </xdr:from>
    <xdr:to>
      <xdr:col>11</xdr:col>
      <xdr:colOff>985841</xdr:colOff>
      <xdr:row>30</xdr:row>
      <xdr:rowOff>33337</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DWDM transport are included in the DCI segment.</a:t>
          </a:r>
        </a:p>
      </xdr:txBody>
    </xdr:sp>
    <xdr:clientData/>
  </xdr:twoCellAnchor>
  <xdr:twoCellAnchor>
    <xdr:from>
      <xdr:col>11</xdr:col>
      <xdr:colOff>988219</xdr:colOff>
      <xdr:row>25</xdr:row>
      <xdr:rowOff>104776</xdr:rowOff>
    </xdr:from>
    <xdr:to>
      <xdr:col>11</xdr:col>
      <xdr:colOff>1735933</xdr:colOff>
      <xdr:row>27</xdr:row>
      <xdr:rowOff>1</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426356</xdr:colOff>
      <xdr:row>0</xdr:row>
      <xdr:rowOff>127000</xdr:rowOff>
    </xdr:from>
    <xdr:to>
      <xdr:col>15</xdr:col>
      <xdr:colOff>625927</xdr:colOff>
      <xdr:row>3</xdr:row>
      <xdr:rowOff>166344</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stretch>
          <a:fillRect/>
        </a:stretch>
      </xdr:blipFill>
      <xdr:spPr>
        <a:xfrm>
          <a:off x="11112499" y="127000"/>
          <a:ext cx="335642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10582</xdr:colOff>
      <xdr:row>28</xdr:row>
      <xdr:rowOff>31750</xdr:rowOff>
    </xdr:from>
    <xdr:to>
      <xdr:col>7</xdr:col>
      <xdr:colOff>338666</xdr:colOff>
      <xdr:row>48</xdr:row>
      <xdr:rowOff>38100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255</xdr:row>
      <xdr:rowOff>123826</xdr:rowOff>
    </xdr:from>
    <xdr:to>
      <xdr:col>15</xdr:col>
      <xdr:colOff>101600</xdr:colOff>
      <xdr:row>274</xdr:row>
      <xdr:rowOff>127000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255</xdr:row>
      <xdr:rowOff>117928</xdr:rowOff>
    </xdr:from>
    <xdr:to>
      <xdr:col>7</xdr:col>
      <xdr:colOff>447676</xdr:colOff>
      <xdr:row>274</xdr:row>
      <xdr:rowOff>90714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666751</xdr:colOff>
      <xdr:row>355</xdr:row>
      <xdr:rowOff>76200</xdr:rowOff>
    </xdr:from>
    <xdr:to>
      <xdr:col>5</xdr:col>
      <xdr:colOff>390526</xdr:colOff>
      <xdr:row>373</xdr:row>
      <xdr:rowOff>70485</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840922</xdr:colOff>
      <xdr:row>355</xdr:row>
      <xdr:rowOff>65919</xdr:rowOff>
    </xdr:from>
    <xdr:to>
      <xdr:col>19</xdr:col>
      <xdr:colOff>965200</xdr:colOff>
      <xdr:row>372</xdr:row>
      <xdr:rowOff>164071</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11641</xdr:colOff>
      <xdr:row>314</xdr:row>
      <xdr:rowOff>74084</xdr:rowOff>
    </xdr:from>
    <xdr:to>
      <xdr:col>7</xdr:col>
      <xdr:colOff>315383</xdr:colOff>
      <xdr:row>333</xdr:row>
      <xdr:rowOff>77258</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310696</xdr:colOff>
      <xdr:row>400</xdr:row>
      <xdr:rowOff>36286</xdr:rowOff>
    </xdr:from>
    <xdr:to>
      <xdr:col>5</xdr:col>
      <xdr:colOff>721178</xdr:colOff>
      <xdr:row>418</xdr:row>
      <xdr:rowOff>111125</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555625</xdr:colOff>
      <xdr:row>355</xdr:row>
      <xdr:rowOff>81642</xdr:rowOff>
    </xdr:from>
    <xdr:to>
      <xdr:col>11</xdr:col>
      <xdr:colOff>804333</xdr:colOff>
      <xdr:row>373</xdr:row>
      <xdr:rowOff>10160</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835660</xdr:colOff>
      <xdr:row>400</xdr:row>
      <xdr:rowOff>44753</xdr:rowOff>
    </xdr:from>
    <xdr:to>
      <xdr:col>11</xdr:col>
      <xdr:colOff>714375</xdr:colOff>
      <xdr:row>418</xdr:row>
      <xdr:rowOff>127001</xdr:rowOff>
    </xdr:to>
    <xdr:graphicFrame macro="">
      <xdr:nvGraphicFramePr>
        <xdr:cNvPr id="20" name="Chart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136524</xdr:colOff>
      <xdr:row>592</xdr:row>
      <xdr:rowOff>74084</xdr:rowOff>
    </xdr:from>
    <xdr:to>
      <xdr:col>5</xdr:col>
      <xdr:colOff>589643</xdr:colOff>
      <xdr:row>610</xdr:row>
      <xdr:rowOff>92867</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67205</xdr:colOff>
      <xdr:row>165</xdr:row>
      <xdr:rowOff>23814</xdr:rowOff>
    </xdr:from>
    <xdr:to>
      <xdr:col>15</xdr:col>
      <xdr:colOff>177800</xdr:colOff>
      <xdr:row>186</xdr:row>
      <xdr:rowOff>152400</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293158</xdr:colOff>
      <xdr:row>255</xdr:row>
      <xdr:rowOff>153004</xdr:rowOff>
    </xdr:from>
    <xdr:to>
      <xdr:col>21</xdr:col>
      <xdr:colOff>150283</xdr:colOff>
      <xdr:row>274</xdr:row>
      <xdr:rowOff>105833</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70757</xdr:colOff>
      <xdr:row>551</xdr:row>
      <xdr:rowOff>108857</xdr:rowOff>
    </xdr:from>
    <xdr:to>
      <xdr:col>5</xdr:col>
      <xdr:colOff>507999</xdr:colOff>
      <xdr:row>570</xdr:row>
      <xdr:rowOff>3855</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92528</xdr:colOff>
      <xdr:row>188</xdr:row>
      <xdr:rowOff>5169</xdr:rowOff>
    </xdr:from>
    <xdr:to>
      <xdr:col>5</xdr:col>
      <xdr:colOff>18142</xdr:colOff>
      <xdr:row>205</xdr:row>
      <xdr:rowOff>127000</xdr:rowOff>
    </xdr:to>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95</xdr:row>
      <xdr:rowOff>30844</xdr:rowOff>
    </xdr:from>
    <xdr:to>
      <xdr:col>7</xdr:col>
      <xdr:colOff>635000</xdr:colOff>
      <xdr:row>114</xdr:row>
      <xdr:rowOff>151494</xdr:rowOff>
    </xdr:to>
    <xdr:graphicFrame macro="">
      <xdr:nvGraphicFramePr>
        <xdr:cNvPr id="30" name="Chart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659039</xdr:colOff>
      <xdr:row>188</xdr:row>
      <xdr:rowOff>5897</xdr:rowOff>
    </xdr:from>
    <xdr:to>
      <xdr:col>12</xdr:col>
      <xdr:colOff>399142</xdr:colOff>
      <xdr:row>205</xdr:row>
      <xdr:rowOff>127001</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805089</xdr:colOff>
      <xdr:row>95</xdr:row>
      <xdr:rowOff>52274</xdr:rowOff>
    </xdr:from>
    <xdr:to>
      <xdr:col>16</xdr:col>
      <xdr:colOff>805088</xdr:colOff>
      <xdr:row>115</xdr:row>
      <xdr:rowOff>9638</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366485</xdr:colOff>
      <xdr:row>165</xdr:row>
      <xdr:rowOff>-1</xdr:rowOff>
    </xdr:from>
    <xdr:to>
      <xdr:col>22</xdr:col>
      <xdr:colOff>0</xdr:colOff>
      <xdr:row>186</xdr:row>
      <xdr:rowOff>147108</xdr:rowOff>
    </xdr:to>
    <xdr:graphicFrame macro="">
      <xdr:nvGraphicFramePr>
        <xdr:cNvPr id="34" name="Chart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695477</xdr:colOff>
      <xdr:row>314</xdr:row>
      <xdr:rowOff>66524</xdr:rowOff>
    </xdr:from>
    <xdr:to>
      <xdr:col>16</xdr:col>
      <xdr:colOff>785283</xdr:colOff>
      <xdr:row>333</xdr:row>
      <xdr:rowOff>36587</xdr:rowOff>
    </xdr:to>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7225</xdr:colOff>
      <xdr:row>6</xdr:row>
      <xdr:rowOff>116417</xdr:rowOff>
    </xdr:from>
    <xdr:to>
      <xdr:col>7</xdr:col>
      <xdr:colOff>359833</xdr:colOff>
      <xdr:row>26</xdr:row>
      <xdr:rowOff>63501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97894</xdr:colOff>
      <xdr:row>6</xdr:row>
      <xdr:rowOff>148167</xdr:rowOff>
    </xdr:from>
    <xdr:to>
      <xdr:col>32</xdr:col>
      <xdr:colOff>52916</xdr:colOff>
      <xdr:row>26</xdr:row>
      <xdr:rowOff>76200</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123824</xdr:colOff>
      <xdr:row>165</xdr:row>
      <xdr:rowOff>25400</xdr:rowOff>
    </xdr:from>
    <xdr:to>
      <xdr:col>6</xdr:col>
      <xdr:colOff>393700</xdr:colOff>
      <xdr:row>186</xdr:row>
      <xdr:rowOff>127000</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772584</xdr:colOff>
      <xdr:row>50</xdr:row>
      <xdr:rowOff>63501</xdr:rowOff>
    </xdr:from>
    <xdr:to>
      <xdr:col>16</xdr:col>
      <xdr:colOff>719667</xdr:colOff>
      <xdr:row>70</xdr:row>
      <xdr:rowOff>105835</xdr:rowOff>
    </xdr:to>
    <xdr:graphicFrame macro="">
      <xdr:nvGraphicFramePr>
        <xdr:cNvPr id="40" name="Chart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688067</xdr:colOff>
      <xdr:row>592</xdr:row>
      <xdr:rowOff>74083</xdr:rowOff>
    </xdr:from>
    <xdr:to>
      <xdr:col>12</xdr:col>
      <xdr:colOff>0</xdr:colOff>
      <xdr:row>610</xdr:row>
      <xdr:rowOff>109194</xdr:rowOff>
    </xdr:to>
    <xdr:graphicFrame macro="">
      <xdr:nvGraphicFramePr>
        <xdr:cNvPr id="43" name="Chart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105683</xdr:colOff>
      <xdr:row>592</xdr:row>
      <xdr:rowOff>95249</xdr:rowOff>
    </xdr:from>
    <xdr:to>
      <xdr:col>19</xdr:col>
      <xdr:colOff>317500</xdr:colOff>
      <xdr:row>610</xdr:row>
      <xdr:rowOff>116452</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613229</xdr:colOff>
      <xdr:row>551</xdr:row>
      <xdr:rowOff>107043</xdr:rowOff>
    </xdr:from>
    <xdr:to>
      <xdr:col>11</xdr:col>
      <xdr:colOff>542472</xdr:colOff>
      <xdr:row>570</xdr:row>
      <xdr:rowOff>2041</xdr:rowOff>
    </xdr:to>
    <xdr:graphicFrame macro="">
      <xdr:nvGraphicFramePr>
        <xdr:cNvPr id="45" name="Chart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647702</xdr:colOff>
      <xdr:row>551</xdr:row>
      <xdr:rowOff>105229</xdr:rowOff>
    </xdr:from>
    <xdr:to>
      <xdr:col>18</xdr:col>
      <xdr:colOff>671286</xdr:colOff>
      <xdr:row>570</xdr:row>
      <xdr:rowOff>72572</xdr:rowOff>
    </xdr:to>
    <xdr:graphicFrame macro="">
      <xdr:nvGraphicFramePr>
        <xdr:cNvPr id="46" name="Chart 45">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11</xdr:col>
      <xdr:colOff>1</xdr:colOff>
      <xdr:row>0</xdr:row>
      <xdr:rowOff>9072</xdr:rowOff>
    </xdr:from>
    <xdr:to>
      <xdr:col>14</xdr:col>
      <xdr:colOff>315015</xdr:colOff>
      <xdr:row>3</xdr:row>
      <xdr:rowOff>39345</xdr:rowOff>
    </xdr:to>
    <xdr:pic>
      <xdr:nvPicPr>
        <xdr:cNvPr id="47" name="Picture 46">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28"/>
        <a:stretch>
          <a:fillRect/>
        </a:stretch>
      </xdr:blipFill>
      <xdr:spPr>
        <a:xfrm>
          <a:off x="11030858" y="9072"/>
          <a:ext cx="3088603" cy="647130"/>
        </a:xfrm>
        <a:prstGeom prst="rect">
          <a:avLst/>
        </a:prstGeom>
      </xdr:spPr>
    </xdr:pic>
    <xdr:clientData/>
  </xdr:twoCellAnchor>
  <xdr:twoCellAnchor>
    <xdr:from>
      <xdr:col>11</xdr:col>
      <xdr:colOff>784680</xdr:colOff>
      <xdr:row>400</xdr:row>
      <xdr:rowOff>52614</xdr:rowOff>
    </xdr:from>
    <xdr:to>
      <xdr:col>19</xdr:col>
      <xdr:colOff>498928</xdr:colOff>
      <xdr:row>418</xdr:row>
      <xdr:rowOff>111125</xdr:rowOff>
    </xdr:to>
    <xdr:graphicFrame macro="">
      <xdr:nvGraphicFramePr>
        <xdr:cNvPr id="51" name="Chart 50">
          <a:extLst>
            <a:ext uri="{FF2B5EF4-FFF2-40B4-BE49-F238E27FC236}">
              <a16:creationId xmlns:a16="http://schemas.microsoft.com/office/drawing/2014/main" id="{00000000-0008-0000-03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128514</xdr:colOff>
      <xdr:row>50</xdr:row>
      <xdr:rowOff>116419</xdr:rowOff>
    </xdr:from>
    <xdr:to>
      <xdr:col>23</xdr:col>
      <xdr:colOff>254001</xdr:colOff>
      <xdr:row>70</xdr:row>
      <xdr:rowOff>116419</xdr:rowOff>
    </xdr:to>
    <xdr:graphicFrame macro="">
      <xdr:nvGraphicFramePr>
        <xdr:cNvPr id="48" name="Chart 47">
          <a:extLst>
            <a:ext uri="{FF2B5EF4-FFF2-40B4-BE49-F238E27FC236}">
              <a16:creationId xmlns:a16="http://schemas.microsoft.com/office/drawing/2014/main" id="{00000000-0008-0000-03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74083</xdr:colOff>
      <xdr:row>73</xdr:row>
      <xdr:rowOff>31750</xdr:rowOff>
    </xdr:from>
    <xdr:to>
      <xdr:col>7</xdr:col>
      <xdr:colOff>391584</xdr:colOff>
      <xdr:row>93</xdr:row>
      <xdr:rowOff>31749</xdr:rowOff>
    </xdr:to>
    <xdr:graphicFrame macro="">
      <xdr:nvGraphicFramePr>
        <xdr:cNvPr id="50" name="Chart 49">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788275</xdr:colOff>
      <xdr:row>73</xdr:row>
      <xdr:rowOff>31749</xdr:rowOff>
    </xdr:from>
    <xdr:to>
      <xdr:col>16</xdr:col>
      <xdr:colOff>709083</xdr:colOff>
      <xdr:row>92</xdr:row>
      <xdr:rowOff>95251</xdr:rowOff>
    </xdr:to>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oneCellAnchor>
    <xdr:from>
      <xdr:col>19</xdr:col>
      <xdr:colOff>685349</xdr:colOff>
      <xdr:row>54</xdr:row>
      <xdr:rowOff>58663</xdr:rowOff>
    </xdr:from>
    <xdr:ext cx="2813436" cy="610844"/>
    <xdr:pic>
      <xdr:nvPicPr>
        <xdr:cNvPr id="54" name="Picture 53">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28"/>
        <a:stretch>
          <a:fillRect/>
        </a:stretch>
      </xdr:blipFill>
      <xdr:spPr>
        <a:xfrm>
          <a:off x="17354099" y="9996413"/>
          <a:ext cx="2813436" cy="610844"/>
        </a:xfrm>
        <a:prstGeom prst="rect">
          <a:avLst/>
        </a:prstGeom>
        <a:ln>
          <a:solidFill>
            <a:schemeClr val="tx1"/>
          </a:solidFill>
        </a:ln>
      </xdr:spPr>
    </xdr:pic>
    <xdr:clientData/>
  </xdr:oneCellAnchor>
  <xdr:twoCellAnchor>
    <xdr:from>
      <xdr:col>7</xdr:col>
      <xdr:colOff>794626</xdr:colOff>
      <xdr:row>6</xdr:row>
      <xdr:rowOff>120649</xdr:rowOff>
    </xdr:from>
    <xdr:to>
      <xdr:col>16</xdr:col>
      <xdr:colOff>783166</xdr:colOff>
      <xdr:row>26</xdr:row>
      <xdr:rowOff>78316</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79193</xdr:colOff>
      <xdr:row>6</xdr:row>
      <xdr:rowOff>103715</xdr:rowOff>
    </xdr:from>
    <xdr:to>
      <xdr:col>23</xdr:col>
      <xdr:colOff>452968</xdr:colOff>
      <xdr:row>26</xdr:row>
      <xdr:rowOff>61382</xdr:rowOff>
    </xdr:to>
    <xdr:graphicFrame macro="">
      <xdr:nvGraphicFramePr>
        <xdr:cNvPr id="60" name="Chart 59">
          <a:extLst>
            <a:ext uri="{FF2B5EF4-FFF2-40B4-BE49-F238E27FC236}">
              <a16:creationId xmlns:a16="http://schemas.microsoft.com/office/drawing/2014/main" id="{00000000-0008-0000-03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65617</xdr:colOff>
      <xdr:row>28</xdr:row>
      <xdr:rowOff>67734</xdr:rowOff>
    </xdr:from>
    <xdr:to>
      <xdr:col>16</xdr:col>
      <xdr:colOff>905933</xdr:colOff>
      <xdr:row>48</xdr:row>
      <xdr:rowOff>14817</xdr:rowOff>
    </xdr:to>
    <xdr:graphicFrame macro="">
      <xdr:nvGraphicFramePr>
        <xdr:cNvPr id="61" name="Chart 60">
          <a:extLst>
            <a:ext uri="{FF2B5EF4-FFF2-40B4-BE49-F238E27FC236}">
              <a16:creationId xmlns:a16="http://schemas.microsoft.com/office/drawing/2014/main" id="{00000000-0008-0000-03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50800</xdr:colOff>
      <xdr:row>28</xdr:row>
      <xdr:rowOff>82552</xdr:rowOff>
    </xdr:from>
    <xdr:to>
      <xdr:col>23</xdr:col>
      <xdr:colOff>230717</xdr:colOff>
      <xdr:row>48</xdr:row>
      <xdr:rowOff>29635</xdr:rowOff>
    </xdr:to>
    <xdr:graphicFrame macro="">
      <xdr:nvGraphicFramePr>
        <xdr:cNvPr id="62" name="Chart 61">
          <a:extLst>
            <a:ext uri="{FF2B5EF4-FFF2-40B4-BE49-F238E27FC236}">
              <a16:creationId xmlns:a16="http://schemas.microsoft.com/office/drawing/2014/main" id="{00000000-0008-0000-03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141816</xdr:colOff>
      <xdr:row>50</xdr:row>
      <xdr:rowOff>120649</xdr:rowOff>
    </xdr:from>
    <xdr:to>
      <xdr:col>7</xdr:col>
      <xdr:colOff>459317</xdr:colOff>
      <xdr:row>70</xdr:row>
      <xdr:rowOff>120649</xdr:rowOff>
    </xdr:to>
    <xdr:graphicFrame macro="">
      <xdr:nvGraphicFramePr>
        <xdr:cNvPr id="64" name="Chart 63">
          <a:extLst>
            <a:ext uri="{FF2B5EF4-FFF2-40B4-BE49-F238E27FC236}">
              <a16:creationId xmlns:a16="http://schemas.microsoft.com/office/drawing/2014/main" id="{00000000-0008-0000-03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18143</xdr:colOff>
      <xdr:row>436</xdr:row>
      <xdr:rowOff>38554</xdr:rowOff>
    </xdr:from>
    <xdr:to>
      <xdr:col>5</xdr:col>
      <xdr:colOff>687161</xdr:colOff>
      <xdr:row>453</xdr:row>
      <xdr:rowOff>6803</xdr:rowOff>
    </xdr:to>
    <xdr:graphicFrame macro="">
      <xdr:nvGraphicFramePr>
        <xdr:cNvPr id="57" name="Chart 56">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34019</xdr:colOff>
      <xdr:row>419</xdr:row>
      <xdr:rowOff>72572</xdr:rowOff>
    </xdr:from>
    <xdr:to>
      <xdr:col>5</xdr:col>
      <xdr:colOff>684894</xdr:colOff>
      <xdr:row>435</xdr:row>
      <xdr:rowOff>145142</xdr:rowOff>
    </xdr:to>
    <xdr:graphicFrame macro="">
      <xdr:nvGraphicFramePr>
        <xdr:cNvPr id="58" name="Chart 57">
          <a:extLst>
            <a:ext uri="{FF2B5EF4-FFF2-40B4-BE49-F238E27FC236}">
              <a16:creationId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11</xdr:col>
      <xdr:colOff>830037</xdr:colOff>
      <xdr:row>419</xdr:row>
      <xdr:rowOff>24946</xdr:rowOff>
    </xdr:from>
    <xdr:to>
      <xdr:col>19</xdr:col>
      <xdr:colOff>621393</xdr:colOff>
      <xdr:row>435</xdr:row>
      <xdr:rowOff>129267</xdr:rowOff>
    </xdr:to>
    <xdr:graphicFrame macro="">
      <xdr:nvGraphicFramePr>
        <xdr:cNvPr id="63" name="Chart 62">
          <a:extLst>
            <a:ext uri="{FF2B5EF4-FFF2-40B4-BE49-F238E27FC236}">
              <a16:creationId xmlns:a16="http://schemas.microsoft.com/office/drawing/2014/main" id="{00000000-0008-0000-03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11</xdr:col>
      <xdr:colOff>833212</xdr:colOff>
      <xdr:row>436</xdr:row>
      <xdr:rowOff>38555</xdr:rowOff>
    </xdr:from>
    <xdr:to>
      <xdr:col>19</xdr:col>
      <xdr:colOff>687162</xdr:colOff>
      <xdr:row>452</xdr:row>
      <xdr:rowOff>81643</xdr:rowOff>
    </xdr:to>
    <xdr:graphicFrame macro="">
      <xdr:nvGraphicFramePr>
        <xdr:cNvPr id="65" name="Chart 64">
          <a:extLst>
            <a:ext uri="{FF2B5EF4-FFF2-40B4-BE49-F238E27FC236}">
              <a16:creationId xmlns:a16="http://schemas.microsoft.com/office/drawing/2014/main" id="{00000000-0008-0000-03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136524</xdr:colOff>
      <xdr:row>648</xdr:row>
      <xdr:rowOff>74083</xdr:rowOff>
    </xdr:from>
    <xdr:to>
      <xdr:col>5</xdr:col>
      <xdr:colOff>417285</xdr:colOff>
      <xdr:row>666</xdr:row>
      <xdr:rowOff>163285</xdr:rowOff>
    </xdr:to>
    <xdr:graphicFrame macro="">
      <xdr:nvGraphicFramePr>
        <xdr:cNvPr id="67" name="Chart 66">
          <a:extLst>
            <a:ext uri="{FF2B5EF4-FFF2-40B4-BE49-F238E27FC236}">
              <a16:creationId xmlns:a16="http://schemas.microsoft.com/office/drawing/2014/main" id="{00000000-0008-0000-03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783317</xdr:colOff>
      <xdr:row>648</xdr:row>
      <xdr:rowOff>105833</xdr:rowOff>
    </xdr:from>
    <xdr:to>
      <xdr:col>13</xdr:col>
      <xdr:colOff>95250</xdr:colOff>
      <xdr:row>666</xdr:row>
      <xdr:rowOff>140944</xdr:rowOff>
    </xdr:to>
    <xdr:graphicFrame macro="">
      <xdr:nvGraphicFramePr>
        <xdr:cNvPr id="68" name="Chart 67">
          <a:extLst>
            <a:ext uri="{FF2B5EF4-FFF2-40B4-BE49-F238E27FC236}">
              <a16:creationId xmlns:a16="http://schemas.microsoft.com/office/drawing/2014/main" id="{00000000-0008-0000-03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13</xdr:col>
      <xdr:colOff>248558</xdr:colOff>
      <xdr:row>648</xdr:row>
      <xdr:rowOff>111124</xdr:rowOff>
    </xdr:from>
    <xdr:to>
      <xdr:col>19</xdr:col>
      <xdr:colOff>460375</xdr:colOff>
      <xdr:row>666</xdr:row>
      <xdr:rowOff>132327</xdr:rowOff>
    </xdr:to>
    <xdr:graphicFrame macro="">
      <xdr:nvGraphicFramePr>
        <xdr:cNvPr id="69" name="Chart 68">
          <a:extLst>
            <a:ext uri="{FF2B5EF4-FFF2-40B4-BE49-F238E27FC236}">
              <a16:creationId xmlns:a16="http://schemas.microsoft.com/office/drawing/2014/main" id="{00000000-0008-0000-03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311150</xdr:colOff>
      <xdr:row>504</xdr:row>
      <xdr:rowOff>206376</xdr:rowOff>
    </xdr:from>
    <xdr:to>
      <xdr:col>5</xdr:col>
      <xdr:colOff>730250</xdr:colOff>
      <xdr:row>519</xdr:row>
      <xdr:rowOff>15875</xdr:rowOff>
    </xdr:to>
    <xdr:graphicFrame macro="">
      <xdr:nvGraphicFramePr>
        <xdr:cNvPr id="70" name="Chart 69">
          <a:extLst>
            <a:ext uri="{FF2B5EF4-FFF2-40B4-BE49-F238E27FC236}">
              <a16:creationId xmlns:a16="http://schemas.microsoft.com/office/drawing/2014/main" id="{00000000-0008-0000-03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130175</xdr:colOff>
      <xdr:row>504</xdr:row>
      <xdr:rowOff>215901</xdr:rowOff>
    </xdr:from>
    <xdr:to>
      <xdr:col>13</xdr:col>
      <xdr:colOff>399142</xdr:colOff>
      <xdr:row>519</xdr:row>
      <xdr:rowOff>72571</xdr:rowOff>
    </xdr:to>
    <xdr:graphicFrame macro="">
      <xdr:nvGraphicFramePr>
        <xdr:cNvPr id="71" name="Chart 70">
          <a:extLst>
            <a:ext uri="{FF2B5EF4-FFF2-40B4-BE49-F238E27FC236}">
              <a16:creationId xmlns:a16="http://schemas.microsoft.com/office/drawing/2014/main" id="{00000000-0008-0000-03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15</xdr:col>
      <xdr:colOff>60325</xdr:colOff>
      <xdr:row>504</xdr:row>
      <xdr:rowOff>225426</xdr:rowOff>
    </xdr:from>
    <xdr:to>
      <xdr:col>21</xdr:col>
      <xdr:colOff>812800</xdr:colOff>
      <xdr:row>519</xdr:row>
      <xdr:rowOff>34925</xdr:rowOff>
    </xdr:to>
    <xdr:graphicFrame macro="">
      <xdr:nvGraphicFramePr>
        <xdr:cNvPr id="72" name="Chart 71">
          <a:extLst>
            <a:ext uri="{FF2B5EF4-FFF2-40B4-BE49-F238E27FC236}">
              <a16:creationId xmlns:a16="http://schemas.microsoft.com/office/drawing/2014/main" id="{00000000-0008-0000-03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136524</xdr:colOff>
      <xdr:row>700</xdr:row>
      <xdr:rowOff>74083</xdr:rowOff>
    </xdr:from>
    <xdr:to>
      <xdr:col>5</xdr:col>
      <xdr:colOff>417285</xdr:colOff>
      <xdr:row>718</xdr:row>
      <xdr:rowOff>163285</xdr:rowOff>
    </xdr:to>
    <xdr:graphicFrame macro="">
      <xdr:nvGraphicFramePr>
        <xdr:cNvPr id="73" name="Chart 72">
          <a:extLst>
            <a:ext uri="{FF2B5EF4-FFF2-40B4-BE49-F238E27FC236}">
              <a16:creationId xmlns:a16="http://schemas.microsoft.com/office/drawing/2014/main" id="{00000000-0008-0000-03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783317</xdr:colOff>
      <xdr:row>700</xdr:row>
      <xdr:rowOff>105833</xdr:rowOff>
    </xdr:from>
    <xdr:to>
      <xdr:col>13</xdr:col>
      <xdr:colOff>95250</xdr:colOff>
      <xdr:row>718</xdr:row>
      <xdr:rowOff>140944</xdr:rowOff>
    </xdr:to>
    <xdr:graphicFrame macro="">
      <xdr:nvGraphicFramePr>
        <xdr:cNvPr id="74" name="Chart 73">
          <a:extLst>
            <a:ext uri="{FF2B5EF4-FFF2-40B4-BE49-F238E27FC236}">
              <a16:creationId xmlns:a16="http://schemas.microsoft.com/office/drawing/2014/main" id="{00000000-0008-0000-03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13</xdr:col>
      <xdr:colOff>248558</xdr:colOff>
      <xdr:row>700</xdr:row>
      <xdr:rowOff>111124</xdr:rowOff>
    </xdr:from>
    <xdr:to>
      <xdr:col>19</xdr:col>
      <xdr:colOff>460375</xdr:colOff>
      <xdr:row>718</xdr:row>
      <xdr:rowOff>132327</xdr:rowOff>
    </xdr:to>
    <xdr:graphicFrame macro="">
      <xdr:nvGraphicFramePr>
        <xdr:cNvPr id="75" name="Chart 74">
          <a:extLst>
            <a:ext uri="{FF2B5EF4-FFF2-40B4-BE49-F238E27FC236}">
              <a16:creationId xmlns:a16="http://schemas.microsoft.com/office/drawing/2014/main" id="{00000000-0008-0000-03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1089</xdr:colOff>
      <xdr:row>5</xdr:row>
      <xdr:rowOff>113844</xdr:rowOff>
    </xdr:from>
    <xdr:to>
      <xdr:col>6</xdr:col>
      <xdr:colOff>544284</xdr:colOff>
      <xdr:row>25</xdr:row>
      <xdr:rowOff>102958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616857</xdr:colOff>
      <xdr:row>5</xdr:row>
      <xdr:rowOff>80646</xdr:rowOff>
    </xdr:from>
    <xdr:to>
      <xdr:col>11</xdr:col>
      <xdr:colOff>925286</xdr:colOff>
      <xdr:row>25</xdr:row>
      <xdr:rowOff>63501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199571</xdr:colOff>
      <xdr:row>5</xdr:row>
      <xdr:rowOff>107860</xdr:rowOff>
    </xdr:from>
    <xdr:to>
      <xdr:col>20</xdr:col>
      <xdr:colOff>87539</xdr:colOff>
      <xdr:row>25</xdr:row>
      <xdr:rowOff>90714</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583292</xdr:colOff>
      <xdr:row>7</xdr:row>
      <xdr:rowOff>48532</xdr:rowOff>
    </xdr:from>
    <xdr:to>
      <xdr:col>19</xdr:col>
      <xdr:colOff>107043</xdr:colOff>
      <xdr:row>9</xdr:row>
      <xdr:rowOff>100239</xdr:rowOff>
    </xdr:to>
    <xdr:sp macro="" textlink="E28">
      <xdr:nvSpPr>
        <xdr:cNvPr id="5" name="TextBox 1">
          <a:extLst>
            <a:ext uri="{FF2B5EF4-FFF2-40B4-BE49-F238E27FC236}">
              <a16:creationId xmlns:a16="http://schemas.microsoft.com/office/drawing/2014/main" id="{00000000-0008-0000-0400-000005000000}"/>
            </a:ext>
          </a:extLst>
        </xdr:cNvPr>
        <xdr:cNvSpPr txBox="1"/>
      </xdr:nvSpPr>
      <xdr:spPr>
        <a:xfrm>
          <a:off x="11124292" y="1354818"/>
          <a:ext cx="4431394" cy="3782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cs typeface="Arial"/>
            </a:rPr>
            <a:pPr algn="ctr"/>
            <a:t>10G_40 km_XFP</a:t>
          </a:fld>
          <a:endParaRPr lang="en-US" sz="800"/>
        </a:p>
      </xdr:txBody>
    </xdr:sp>
    <xdr:clientData/>
  </xdr:twoCellAnchor>
  <xdr:twoCellAnchor editAs="oneCell">
    <xdr:from>
      <xdr:col>13</xdr:col>
      <xdr:colOff>580571</xdr:colOff>
      <xdr:row>0</xdr:row>
      <xdr:rowOff>90714</xdr:rowOff>
    </xdr:from>
    <xdr:to>
      <xdr:col>17</xdr:col>
      <xdr:colOff>448818</xdr:colOff>
      <xdr:row>3</xdr:row>
      <xdr:rowOff>130058</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12201071" y="90714"/>
          <a:ext cx="2870889" cy="628987"/>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E$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10G_40 km_XFP</a:t>
          </a:fld>
          <a:endParaRPr lang="en-US" sz="900"/>
        </a:p>
      </cdr:txBody>
    </cdr:sp>
  </cdr:relSizeAnchor>
</c:userShapes>
</file>

<file path=xl/drawings/drawing7.xml><?xml version="1.0" encoding="utf-8"?>
<c:userShapes xmlns:c="http://schemas.openxmlformats.org/drawingml/2006/chart">
  <cdr:relSizeAnchor xmlns:cdr="http://schemas.openxmlformats.org/drawingml/2006/chartDrawing">
    <cdr:from>
      <cdr:x>0.13088</cdr:x>
      <cdr:y>0.08275</cdr:y>
    </cdr:from>
    <cdr:to>
      <cdr:x>0.95771</cdr:x>
      <cdr:y>0.21675</cdr:y>
    </cdr:to>
    <cdr:sp macro="" textlink="Dashboard!$E$28">
      <cdr:nvSpPr>
        <cdr:cNvPr id="2" name="TextBox 1"/>
        <cdr:cNvSpPr txBox="1"/>
      </cdr:nvSpPr>
      <cdr:spPr>
        <a:xfrm xmlns:a="http://schemas.openxmlformats.org/drawingml/2006/main">
          <a:off x="330405" y="268820"/>
          <a:ext cx="2087399" cy="4353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10G_40 km_XFP</a:t>
          </a:fld>
          <a:endParaRPr lang="en-US" sz="800"/>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10</xdr:col>
      <xdr:colOff>480785</xdr:colOff>
      <xdr:row>1</xdr:row>
      <xdr:rowOff>75973</xdr:rowOff>
    </xdr:from>
    <xdr:to>
      <xdr:col>14</xdr:col>
      <xdr:colOff>13388</xdr:colOff>
      <xdr:row>3</xdr:row>
      <xdr:rowOff>206032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664473" y="242661"/>
          <a:ext cx="2898103" cy="630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135314</xdr:colOff>
      <xdr:row>7</xdr:row>
      <xdr:rowOff>57906</xdr:rowOff>
    </xdr:from>
    <xdr:to>
      <xdr:col>9</xdr:col>
      <xdr:colOff>508000</xdr:colOff>
      <xdr:row>25</xdr:row>
      <xdr:rowOff>138547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28452</xdr:colOff>
      <xdr:row>7</xdr:row>
      <xdr:rowOff>11545</xdr:rowOff>
    </xdr:from>
    <xdr:to>
      <xdr:col>25</xdr:col>
      <xdr:colOff>635001</xdr:colOff>
      <xdr:row>25</xdr:row>
      <xdr:rowOff>92364</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36286</xdr:colOff>
      <xdr:row>0</xdr:row>
      <xdr:rowOff>0</xdr:rowOff>
    </xdr:from>
    <xdr:to>
      <xdr:col>27</xdr:col>
      <xdr:colOff>702818</xdr:colOff>
      <xdr:row>3</xdr:row>
      <xdr:rowOff>40478</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13570857" y="0"/>
          <a:ext cx="2898103" cy="6301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Normal="100" zoomScalePageLayoutView="80" workbookViewId="0"/>
  </sheetViews>
  <sheetFormatPr defaultColWidth="9.21875" defaultRowHeight="13.2"/>
  <cols>
    <col min="1" max="1" width="4.44140625" style="4" customWidth="1"/>
    <col min="2" max="2" width="36.21875" style="4" customWidth="1"/>
    <col min="3" max="3" width="41.44140625" style="4" customWidth="1"/>
    <col min="4" max="16384" width="9.21875" style="4"/>
  </cols>
  <sheetData>
    <row r="1" spans="1:20">
      <c r="A1" s="2"/>
      <c r="B1" s="2"/>
      <c r="C1" s="2"/>
      <c r="D1" s="2"/>
      <c r="E1" s="2"/>
      <c r="F1" s="2"/>
      <c r="G1" s="2"/>
      <c r="H1" s="2"/>
      <c r="I1" s="2"/>
      <c r="J1" s="2"/>
      <c r="K1" s="2"/>
      <c r="L1" s="2"/>
      <c r="M1" s="2"/>
      <c r="N1" s="2"/>
      <c r="O1" s="2"/>
      <c r="P1" s="2"/>
      <c r="Q1" s="2"/>
      <c r="R1" s="2"/>
      <c r="S1" s="2"/>
      <c r="T1" s="2"/>
    </row>
    <row r="2" spans="1:20" ht="17.399999999999999">
      <c r="A2" s="2"/>
      <c r="B2" s="6" t="s">
        <v>66</v>
      </c>
      <c r="C2" s="2"/>
      <c r="D2" s="11"/>
      <c r="E2" s="2"/>
      <c r="F2" s="2"/>
      <c r="G2" s="2"/>
      <c r="H2" s="2"/>
      <c r="I2" s="2"/>
      <c r="J2" s="2"/>
      <c r="K2" s="2"/>
      <c r="L2" s="2"/>
      <c r="M2" s="2"/>
      <c r="N2" s="2"/>
      <c r="O2" s="2"/>
      <c r="P2" s="2"/>
      <c r="Q2" s="2"/>
      <c r="R2" s="2"/>
      <c r="S2" s="2"/>
      <c r="T2" s="2"/>
    </row>
    <row r="3" spans="1:20" ht="15">
      <c r="A3" s="2"/>
      <c r="B3" s="724" t="s">
        <v>474</v>
      </c>
      <c r="C3" s="724"/>
      <c r="D3" s="2"/>
      <c r="E3" s="2"/>
      <c r="F3" s="2"/>
      <c r="G3" s="2"/>
      <c r="H3" s="2"/>
      <c r="I3" s="2"/>
      <c r="J3" s="2"/>
      <c r="K3" s="2"/>
      <c r="L3" s="2"/>
      <c r="M3" s="2"/>
      <c r="N3" s="2"/>
      <c r="O3" s="2"/>
      <c r="P3" s="2"/>
      <c r="Q3" s="2"/>
      <c r="R3" s="2"/>
      <c r="S3" s="2"/>
      <c r="T3" s="2"/>
    </row>
    <row r="4" spans="1:20" ht="17.399999999999999">
      <c r="A4" s="2"/>
      <c r="B4" s="6"/>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723" t="s">
        <v>472</v>
      </c>
      <c r="C6" s="723"/>
      <c r="D6" s="723"/>
      <c r="E6" s="723"/>
      <c r="F6" s="723"/>
      <c r="G6" s="723"/>
      <c r="H6" s="723"/>
      <c r="I6" s="723"/>
      <c r="J6" s="723"/>
      <c r="K6" s="723"/>
      <c r="L6" s="723"/>
      <c r="M6" s="723"/>
      <c r="N6" s="2"/>
      <c r="O6" s="2"/>
      <c r="P6" s="2"/>
      <c r="Q6" s="2"/>
      <c r="R6" s="2"/>
      <c r="S6" s="2"/>
      <c r="T6" s="2"/>
    </row>
    <row r="7" spans="1:20">
      <c r="A7" s="2"/>
      <c r="B7" s="723"/>
      <c r="C7" s="723"/>
      <c r="D7" s="723"/>
      <c r="E7" s="723"/>
      <c r="F7" s="723"/>
      <c r="G7" s="723"/>
      <c r="H7" s="723"/>
      <c r="I7" s="723"/>
      <c r="J7" s="723"/>
      <c r="K7" s="723"/>
      <c r="L7" s="723"/>
      <c r="M7" s="723"/>
      <c r="N7" s="2"/>
      <c r="O7" s="2"/>
      <c r="P7" s="2"/>
      <c r="Q7" s="2"/>
      <c r="R7" s="2"/>
      <c r="S7" s="2"/>
      <c r="T7" s="2"/>
    </row>
    <row r="8" spans="1:20">
      <c r="A8" s="2"/>
      <c r="B8" s="723"/>
      <c r="C8" s="723"/>
      <c r="D8" s="723"/>
      <c r="E8" s="723"/>
      <c r="F8" s="723"/>
      <c r="G8" s="723"/>
      <c r="H8" s="723"/>
      <c r="I8" s="723"/>
      <c r="J8" s="723"/>
      <c r="K8" s="723"/>
      <c r="L8" s="723"/>
      <c r="M8" s="723"/>
      <c r="N8" s="2"/>
      <c r="O8" s="2"/>
      <c r="P8" s="2"/>
      <c r="Q8" s="2"/>
      <c r="R8" s="2"/>
      <c r="S8" s="2"/>
      <c r="T8" s="2"/>
    </row>
    <row r="9" spans="1:20">
      <c r="A9" s="2"/>
      <c r="B9" s="723"/>
      <c r="C9" s="723"/>
      <c r="D9" s="723"/>
      <c r="E9" s="723"/>
      <c r="F9" s="723"/>
      <c r="G9" s="723"/>
      <c r="H9" s="723"/>
      <c r="I9" s="723"/>
      <c r="J9" s="723"/>
      <c r="K9" s="723"/>
      <c r="L9" s="723"/>
      <c r="M9" s="723"/>
      <c r="N9" s="2"/>
      <c r="O9" s="2"/>
      <c r="P9" s="2"/>
      <c r="Q9" s="2"/>
      <c r="R9" s="2"/>
      <c r="S9" s="2"/>
      <c r="T9" s="2"/>
    </row>
    <row r="10" spans="1:20" ht="17.399999999999999" customHeight="1">
      <c r="A10" s="2"/>
      <c r="B10" s="723"/>
      <c r="C10" s="723"/>
      <c r="D10" s="723"/>
      <c r="E10" s="723"/>
      <c r="F10" s="723"/>
      <c r="G10" s="723"/>
      <c r="H10" s="723"/>
      <c r="I10" s="723"/>
      <c r="J10" s="723"/>
      <c r="K10" s="723"/>
      <c r="L10" s="723"/>
      <c r="M10" s="723"/>
      <c r="N10" s="2"/>
      <c r="O10" s="2"/>
      <c r="P10" s="2"/>
      <c r="Q10" s="2"/>
      <c r="R10" s="2"/>
      <c r="S10" s="2"/>
      <c r="T10" s="2"/>
    </row>
    <row r="11" spans="1:20" ht="12.6" customHeight="1">
      <c r="A11" s="2"/>
      <c r="C11" s="36"/>
      <c r="D11" s="2"/>
      <c r="E11" s="413"/>
      <c r="F11" s="7"/>
      <c r="G11" s="2"/>
      <c r="H11" s="2"/>
      <c r="I11" s="2"/>
      <c r="J11" s="2"/>
      <c r="K11" s="2"/>
      <c r="L11" s="2"/>
      <c r="M11" s="2"/>
      <c r="N11" s="2"/>
      <c r="O11" s="2"/>
      <c r="P11" s="2"/>
      <c r="Q11" s="2"/>
      <c r="R11" s="2"/>
      <c r="S11" s="2"/>
      <c r="T11" s="2"/>
    </row>
    <row r="12" spans="1:20" ht="24" customHeight="1">
      <c r="A12" s="2"/>
      <c r="B12" s="37" t="s">
        <v>471</v>
      </c>
      <c r="C12" s="36"/>
      <c r="D12" s="2"/>
      <c r="E12" s="7"/>
      <c r="F12" s="7"/>
      <c r="G12" s="2"/>
      <c r="H12" s="2"/>
      <c r="I12" s="2"/>
      <c r="J12" s="2"/>
      <c r="K12" s="2"/>
      <c r="L12" s="2"/>
      <c r="M12" s="2"/>
      <c r="N12" s="2"/>
      <c r="O12" s="2"/>
      <c r="P12" s="2"/>
      <c r="Q12" s="2"/>
      <c r="R12" s="2"/>
      <c r="S12" s="2"/>
      <c r="T12" s="2"/>
    </row>
    <row r="13" spans="1:20" ht="24" customHeight="1">
      <c r="A13" s="2"/>
      <c r="B13" s="36" t="s">
        <v>27</v>
      </c>
      <c r="C13" s="2"/>
      <c r="D13" s="2"/>
      <c r="E13" s="2"/>
      <c r="F13" s="2"/>
      <c r="G13" s="2"/>
      <c r="H13" s="2"/>
      <c r="I13" s="2"/>
      <c r="J13" s="2"/>
      <c r="K13" s="2"/>
      <c r="L13" s="2"/>
      <c r="M13" s="2"/>
      <c r="N13" s="2"/>
      <c r="O13" s="2"/>
      <c r="P13" s="2"/>
      <c r="Q13" s="2"/>
      <c r="R13" s="2"/>
      <c r="S13" s="2"/>
      <c r="T13" s="2"/>
    </row>
    <row r="14" spans="1:20" ht="25.05" customHeight="1">
      <c r="A14" s="2"/>
      <c r="B14" s="529" t="s">
        <v>473</v>
      </c>
      <c r="C14" s="7"/>
      <c r="D14" s="2"/>
      <c r="E14" s="2"/>
      <c r="F14" s="2"/>
      <c r="G14" s="2"/>
      <c r="H14" s="2"/>
      <c r="I14" s="2"/>
      <c r="J14" s="2"/>
      <c r="K14" s="2"/>
      <c r="L14" s="2"/>
      <c r="M14" s="2"/>
      <c r="N14" s="2"/>
      <c r="O14" s="2"/>
      <c r="P14" s="2"/>
      <c r="Q14" s="2"/>
      <c r="R14" s="2"/>
      <c r="S14" s="2"/>
      <c r="T14" s="2"/>
    </row>
    <row r="15" spans="1:20" ht="15">
      <c r="A15" s="2"/>
      <c r="B15" s="415"/>
      <c r="C15" s="2"/>
      <c r="D15" s="2"/>
      <c r="E15" s="2"/>
      <c r="F15" s="2"/>
      <c r="G15" s="2"/>
      <c r="H15" s="2"/>
      <c r="I15" s="2"/>
      <c r="J15" s="2"/>
      <c r="K15" s="2"/>
      <c r="L15" s="2"/>
      <c r="M15" s="2"/>
      <c r="N15" s="2"/>
      <c r="O15" s="2"/>
      <c r="P15" s="2"/>
      <c r="Q15" s="2"/>
      <c r="R15" s="2"/>
      <c r="S15" s="2"/>
      <c r="T15" s="2"/>
    </row>
    <row r="16" spans="1:20" ht="18.75" customHeight="1">
      <c r="A16" s="2"/>
      <c r="D16" s="2"/>
      <c r="E16" s="2"/>
      <c r="F16" s="2"/>
      <c r="G16" s="2"/>
      <c r="H16" s="2"/>
      <c r="I16" s="2"/>
      <c r="J16" s="2"/>
      <c r="K16" s="2"/>
      <c r="L16" s="2"/>
      <c r="M16" s="2"/>
      <c r="N16" s="2"/>
      <c r="O16" s="2"/>
      <c r="P16" s="2"/>
      <c r="Q16" s="2"/>
      <c r="R16" s="2"/>
      <c r="S16" s="2"/>
      <c r="T16" s="2"/>
    </row>
    <row r="17" spans="1:20">
      <c r="A17" s="2"/>
      <c r="B17" s="412"/>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2">
    <mergeCell ref="B6:M10"/>
    <mergeCell ref="B3:C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T260"/>
  <sheetViews>
    <sheetView showGridLines="0" zoomScale="70" zoomScaleNormal="70" zoomScalePageLayoutView="70" workbookViewId="0">
      <pane xSplit="4" ySplit="6" topLeftCell="E7" activePane="bottomRight" state="frozen"/>
      <selection pane="topRight" activeCell="E1" sqref="E1"/>
      <selection pane="bottomLeft" activeCell="A7" sqref="A7"/>
      <selection pane="bottomRight"/>
    </sheetView>
  </sheetViews>
  <sheetFormatPr defaultColWidth="8.77734375" defaultRowHeight="13.8"/>
  <cols>
    <col min="1" max="1" width="4.44140625" style="82" customWidth="1"/>
    <col min="2" max="2" width="17.77734375" style="82" customWidth="1"/>
    <col min="3" max="3" width="12.44140625" style="82" customWidth="1"/>
    <col min="4" max="4" width="17.21875" style="82" customWidth="1"/>
    <col min="5" max="15" width="12.44140625" style="82" customWidth="1"/>
    <col min="16" max="16" width="22.21875" style="100" customWidth="1"/>
    <col min="17" max="17" width="10.77734375" style="82" bestFit="1" customWidth="1"/>
    <col min="18" max="22" width="8.77734375" style="82"/>
    <col min="23" max="30" width="10.44140625" style="82" customWidth="1"/>
    <col min="31" max="16384" width="8.77734375" style="82"/>
  </cols>
  <sheetData>
    <row r="2" spans="2:20" ht="23.4">
      <c r="B2" s="6" t="str">
        <f>Introduction!$B$2</f>
        <v>LightCounting Ethernet Transceivers Forecast</v>
      </c>
      <c r="C2" s="62"/>
      <c r="D2" s="62"/>
      <c r="S2" s="12"/>
      <c r="T2" s="12"/>
    </row>
    <row r="3" spans="2:20" ht="15.6">
      <c r="B3" s="722" t="str">
        <f>Introduction!$B$3</f>
        <v>September 2021 - Sample template for illustrative purposes only</v>
      </c>
    </row>
    <row r="4" spans="2:20" ht="18">
      <c r="B4" s="6" t="s">
        <v>356</v>
      </c>
      <c r="C4" s="62"/>
      <c r="D4" s="62"/>
      <c r="E4" s="84"/>
      <c r="F4" s="84"/>
      <c r="G4" s="84"/>
      <c r="H4" s="84"/>
      <c r="I4" s="84"/>
      <c r="J4" s="84"/>
      <c r="K4" s="84"/>
      <c r="L4" s="84"/>
      <c r="M4" s="84"/>
      <c r="N4" s="84"/>
      <c r="O4" s="84"/>
    </row>
    <row r="5" spans="2:20" ht="14.4">
      <c r="B5" s="83"/>
    </row>
    <row r="6" spans="2:20">
      <c r="B6" s="252" t="s">
        <v>32</v>
      </c>
      <c r="C6" s="253" t="s">
        <v>31</v>
      </c>
      <c r="D6" s="254" t="s">
        <v>33</v>
      </c>
      <c r="E6" s="161">
        <v>2016</v>
      </c>
      <c r="F6" s="161">
        <v>2017</v>
      </c>
      <c r="G6" s="161">
        <v>2018</v>
      </c>
      <c r="H6" s="161">
        <v>2019</v>
      </c>
      <c r="I6" s="161">
        <v>2020</v>
      </c>
      <c r="J6" s="161">
        <v>2021</v>
      </c>
      <c r="K6" s="161">
        <v>2022</v>
      </c>
      <c r="L6" s="161">
        <v>2023</v>
      </c>
      <c r="M6" s="161">
        <v>2024</v>
      </c>
      <c r="N6" s="161">
        <v>2025</v>
      </c>
      <c r="O6" s="161">
        <v>2026</v>
      </c>
    </row>
    <row r="7" spans="2:20" ht="21">
      <c r="B7" s="14" t="s">
        <v>18</v>
      </c>
      <c r="E7" s="13" t="s">
        <v>17</v>
      </c>
    </row>
    <row r="8" spans="2:20">
      <c r="B8" s="361" t="str">
        <f>B6</f>
        <v>Data Rate</v>
      </c>
      <c r="C8" s="362" t="str">
        <f>C6</f>
        <v>Reach</v>
      </c>
      <c r="D8" s="362" t="str">
        <f>D6</f>
        <v>Form Factor</v>
      </c>
      <c r="E8" s="267">
        <v>2016</v>
      </c>
      <c r="F8" s="267">
        <v>2017</v>
      </c>
      <c r="G8" s="267">
        <v>2018</v>
      </c>
      <c r="H8" s="267">
        <v>2019</v>
      </c>
      <c r="I8" s="267">
        <v>2020</v>
      </c>
      <c r="J8" s="267">
        <v>2021</v>
      </c>
      <c r="K8" s="267">
        <v>2022</v>
      </c>
      <c r="L8" s="267">
        <v>2023</v>
      </c>
      <c r="M8" s="267">
        <v>2024</v>
      </c>
      <c r="N8" s="267">
        <v>2025</v>
      </c>
      <c r="O8" s="267">
        <v>2026</v>
      </c>
    </row>
    <row r="9" spans="2:20">
      <c r="B9" s="87" t="str">
        <f>Products!B36</f>
        <v>1G</v>
      </c>
      <c r="C9" s="88" t="str">
        <f>Products!C36</f>
        <v>500 m</v>
      </c>
      <c r="D9" s="89" t="str">
        <f>Products!D36</f>
        <v>SFP</v>
      </c>
      <c r="E9" s="90">
        <v>4496175.0999999996</v>
      </c>
      <c r="F9" s="90">
        <v>4278484</v>
      </c>
      <c r="G9" s="90"/>
      <c r="H9" s="90"/>
      <c r="I9" s="90"/>
      <c r="J9" s="90"/>
      <c r="K9" s="90"/>
      <c r="L9" s="90"/>
      <c r="M9" s="90"/>
      <c r="N9" s="90"/>
      <c r="O9" s="90"/>
    </row>
    <row r="10" spans="2:20">
      <c r="B10" s="95" t="str">
        <f>Products!B37</f>
        <v>1G</v>
      </c>
      <c r="C10" s="96" t="str">
        <f>Products!C37</f>
        <v>10 km</v>
      </c>
      <c r="D10" s="97" t="str">
        <f>Products!D37</f>
        <v>SFP</v>
      </c>
      <c r="E10" s="98">
        <v>6043317.0336000007</v>
      </c>
      <c r="F10" s="98">
        <v>4616748.72</v>
      </c>
      <c r="G10" s="98"/>
      <c r="H10" s="98"/>
      <c r="I10" s="98"/>
      <c r="J10" s="98"/>
      <c r="K10" s="98"/>
      <c r="L10" s="98"/>
      <c r="M10" s="98"/>
      <c r="N10" s="98"/>
      <c r="O10" s="98"/>
    </row>
    <row r="11" spans="2:20">
      <c r="B11" s="95" t="str">
        <f>Products!B38</f>
        <v>1G</v>
      </c>
      <c r="C11" s="96" t="str">
        <f>Products!C38</f>
        <v>40 km</v>
      </c>
      <c r="D11" s="97" t="str">
        <f>Products!D38</f>
        <v>SFP</v>
      </c>
      <c r="E11" s="98">
        <v>281281.8125</v>
      </c>
      <c r="F11" s="98">
        <v>238750.2</v>
      </c>
      <c r="G11" s="98"/>
      <c r="H11" s="98"/>
      <c r="I11" s="98"/>
      <c r="J11" s="98"/>
      <c r="K11" s="98"/>
      <c r="L11" s="98"/>
      <c r="M11" s="98"/>
      <c r="N11" s="98"/>
      <c r="O11" s="98"/>
    </row>
    <row r="12" spans="2:20">
      <c r="B12" s="95" t="str">
        <f>Products!B39</f>
        <v>1G</v>
      </c>
      <c r="C12" s="96" t="str">
        <f>Products!C39</f>
        <v>80 km</v>
      </c>
      <c r="D12" s="97" t="str">
        <f>Products!D39</f>
        <v>SFP</v>
      </c>
      <c r="E12" s="98">
        <v>0</v>
      </c>
      <c r="F12" s="98">
        <v>0</v>
      </c>
      <c r="G12" s="98"/>
      <c r="H12" s="98"/>
      <c r="I12" s="98"/>
      <c r="J12" s="98"/>
      <c r="K12" s="98"/>
      <c r="L12" s="98"/>
      <c r="M12" s="98"/>
      <c r="N12" s="98"/>
      <c r="O12" s="98"/>
    </row>
    <row r="13" spans="2:20">
      <c r="B13" s="91" t="str">
        <f>Products!B40</f>
        <v>1G &amp; Fast Ethernet</v>
      </c>
      <c r="C13" s="92" t="str">
        <f>Products!C40</f>
        <v>Various</v>
      </c>
      <c r="D13" s="93" t="str">
        <f>Products!D40</f>
        <v>Legacy/discontinued</v>
      </c>
      <c r="E13" s="94">
        <v>100000</v>
      </c>
      <c r="F13" s="94">
        <v>0</v>
      </c>
      <c r="G13" s="94"/>
      <c r="H13" s="94"/>
      <c r="I13" s="94"/>
      <c r="J13" s="94"/>
      <c r="K13" s="94"/>
      <c r="L13" s="94"/>
      <c r="M13" s="94"/>
      <c r="N13" s="94"/>
      <c r="O13" s="94"/>
    </row>
    <row r="14" spans="2:20">
      <c r="B14" s="95" t="str">
        <f>Products!B41</f>
        <v>10G</v>
      </c>
      <c r="C14" s="96" t="str">
        <f>Products!C41</f>
        <v>300 m</v>
      </c>
      <c r="D14" s="89" t="str">
        <f>Products!D41</f>
        <v>XFP</v>
      </c>
      <c r="E14" s="98">
        <v>117811</v>
      </c>
      <c r="F14" s="98">
        <v>83582</v>
      </c>
      <c r="G14" s="98"/>
      <c r="H14" s="98"/>
      <c r="I14" s="98"/>
      <c r="J14" s="98"/>
      <c r="K14" s="98"/>
      <c r="L14" s="98"/>
      <c r="M14" s="98"/>
      <c r="N14" s="98"/>
      <c r="O14" s="98"/>
    </row>
    <row r="15" spans="2:20">
      <c r="B15" s="95" t="str">
        <f>Products!B42</f>
        <v>10G</v>
      </c>
      <c r="C15" s="96" t="str">
        <f>Products!C42</f>
        <v>300 m</v>
      </c>
      <c r="D15" s="97" t="str">
        <f>Products!D42</f>
        <v>SFP+</v>
      </c>
      <c r="E15" s="98">
        <v>5828784.1666400004</v>
      </c>
      <c r="F15" s="98">
        <v>6732983.1762297843</v>
      </c>
      <c r="G15" s="98"/>
      <c r="H15" s="98"/>
      <c r="I15" s="98"/>
      <c r="J15" s="98"/>
      <c r="K15" s="98"/>
      <c r="L15" s="98"/>
      <c r="M15" s="98"/>
      <c r="N15" s="98"/>
      <c r="O15" s="98"/>
    </row>
    <row r="16" spans="2:20">
      <c r="B16" s="95" t="str">
        <f>Products!B43</f>
        <v>10G LRM</v>
      </c>
      <c r="C16" s="96" t="str">
        <f>Products!C43</f>
        <v>220 m</v>
      </c>
      <c r="D16" s="97" t="str">
        <f>Products!D43</f>
        <v>SFP+</v>
      </c>
      <c r="E16" s="98">
        <v>121638</v>
      </c>
      <c r="F16" s="98">
        <v>108162</v>
      </c>
      <c r="G16" s="98"/>
      <c r="H16" s="98"/>
      <c r="I16" s="98"/>
      <c r="J16" s="98"/>
      <c r="K16" s="98"/>
      <c r="L16" s="98"/>
      <c r="M16" s="98"/>
      <c r="N16" s="98"/>
      <c r="O16" s="98"/>
    </row>
    <row r="17" spans="2:15">
      <c r="B17" s="95" t="str">
        <f>Products!B44</f>
        <v>10G</v>
      </c>
      <c r="C17" s="96" t="str">
        <f>Products!C44</f>
        <v>10 km</v>
      </c>
      <c r="D17" s="97" t="str">
        <f>Products!D44</f>
        <v>XFP</v>
      </c>
      <c r="E17" s="98">
        <v>36681.300000000003</v>
      </c>
      <c r="F17" s="98">
        <v>19571.400000000001</v>
      </c>
      <c r="G17" s="98"/>
      <c r="H17" s="98"/>
      <c r="I17" s="98"/>
      <c r="J17" s="98"/>
      <c r="K17" s="98"/>
      <c r="L17" s="98"/>
      <c r="M17" s="98"/>
      <c r="N17" s="98"/>
      <c r="O17" s="98"/>
    </row>
    <row r="18" spans="2:15">
      <c r="B18" s="95" t="str">
        <f>Products!B45</f>
        <v>10G</v>
      </c>
      <c r="C18" s="96" t="str">
        <f>Products!C45</f>
        <v>10 km</v>
      </c>
      <c r="D18" s="97" t="str">
        <f>Products!D45</f>
        <v>SFP+</v>
      </c>
      <c r="E18" s="98">
        <v>3392360.6810269356</v>
      </c>
      <c r="F18" s="98">
        <v>3629959.5306415008</v>
      </c>
      <c r="G18" s="98"/>
      <c r="H18" s="98"/>
      <c r="I18" s="98"/>
      <c r="J18" s="98"/>
      <c r="K18" s="98"/>
      <c r="L18" s="98"/>
      <c r="M18" s="98"/>
      <c r="N18" s="98"/>
      <c r="O18" s="98"/>
    </row>
    <row r="19" spans="2:15">
      <c r="B19" s="95" t="str">
        <f>Products!B46</f>
        <v>10G</v>
      </c>
      <c r="C19" s="96" t="str">
        <f>Products!C46</f>
        <v>40 km</v>
      </c>
      <c r="D19" s="97" t="str">
        <f>Products!D46</f>
        <v>XFP</v>
      </c>
      <c r="E19" s="98">
        <v>0</v>
      </c>
      <c r="F19" s="98">
        <v>0</v>
      </c>
      <c r="G19" s="98"/>
      <c r="H19" s="98"/>
      <c r="I19" s="98"/>
      <c r="J19" s="98"/>
      <c r="K19" s="98"/>
      <c r="L19" s="98"/>
      <c r="M19" s="98"/>
      <c r="N19" s="98"/>
      <c r="O19" s="98"/>
    </row>
    <row r="20" spans="2:15">
      <c r="B20" s="95" t="str">
        <f>Products!B47</f>
        <v>10G</v>
      </c>
      <c r="C20" s="96" t="str">
        <f>Products!C47</f>
        <v>40 km</v>
      </c>
      <c r="D20" s="97" t="str">
        <f>Products!D47</f>
        <v>SFP+</v>
      </c>
      <c r="E20" s="98">
        <v>51581.85000000002</v>
      </c>
      <c r="F20" s="98">
        <v>64579.649999999994</v>
      </c>
      <c r="G20" s="98"/>
      <c r="H20" s="98"/>
      <c r="I20" s="98"/>
      <c r="J20" s="98"/>
      <c r="K20" s="98"/>
      <c r="L20" s="98"/>
      <c r="M20" s="98"/>
      <c r="N20" s="98"/>
      <c r="O20" s="98"/>
    </row>
    <row r="21" spans="2:15">
      <c r="B21" s="95" t="str">
        <f>Products!B48</f>
        <v>10G</v>
      </c>
      <c r="C21" s="96" t="str">
        <f>Products!C48</f>
        <v>80 km</v>
      </c>
      <c r="D21" s="97" t="str">
        <f>Products!D48</f>
        <v>XFP</v>
      </c>
      <c r="E21" s="98">
        <v>0</v>
      </c>
      <c r="F21" s="98">
        <v>0</v>
      </c>
      <c r="G21" s="98"/>
      <c r="H21" s="98"/>
      <c r="I21" s="98"/>
      <c r="J21" s="98"/>
      <c r="K21" s="98"/>
      <c r="L21" s="98"/>
      <c r="M21" s="98"/>
      <c r="N21" s="98"/>
      <c r="O21" s="98"/>
    </row>
    <row r="22" spans="2:15">
      <c r="B22" s="95" t="str">
        <f>Products!B49</f>
        <v>10G</v>
      </c>
      <c r="C22" s="96" t="str">
        <f>Products!C49</f>
        <v>80 km</v>
      </c>
      <c r="D22" s="97" t="str">
        <f>Products!D49</f>
        <v>SFP+</v>
      </c>
      <c r="E22" s="98">
        <v>0</v>
      </c>
      <c r="F22" s="98">
        <v>0</v>
      </c>
      <c r="G22" s="98"/>
      <c r="H22" s="98"/>
      <c r="I22" s="98"/>
      <c r="J22" s="98"/>
      <c r="K22" s="98"/>
      <c r="L22" s="98"/>
      <c r="M22" s="98"/>
      <c r="N22" s="98"/>
      <c r="O22" s="98"/>
    </row>
    <row r="23" spans="2:15">
      <c r="B23" s="95" t="str">
        <f>Products!B50</f>
        <v>10G</v>
      </c>
      <c r="C23" s="96" t="str">
        <f>Products!C50</f>
        <v>Various</v>
      </c>
      <c r="D23" s="93" t="str">
        <f>Products!D50</f>
        <v>Legacy/discontinued</v>
      </c>
      <c r="E23" s="98">
        <v>32526.5</v>
      </c>
      <c r="F23" s="98">
        <v>12164.5</v>
      </c>
      <c r="G23" s="98"/>
      <c r="H23" s="98"/>
      <c r="I23" s="98"/>
      <c r="J23" s="98"/>
      <c r="K23" s="98"/>
      <c r="L23" s="98"/>
      <c r="M23" s="98"/>
      <c r="N23" s="98"/>
      <c r="O23" s="98"/>
    </row>
    <row r="24" spans="2:15">
      <c r="B24" s="87" t="str">
        <f>Products!B51</f>
        <v>25G SR, eSR</v>
      </c>
      <c r="C24" s="88" t="str">
        <f>Products!C51</f>
        <v>100 - 300 m</v>
      </c>
      <c r="D24" s="89" t="str">
        <f>Products!D51</f>
        <v>SFP28</v>
      </c>
      <c r="E24" s="90">
        <v>7146</v>
      </c>
      <c r="F24" s="90">
        <v>95865</v>
      </c>
      <c r="G24" s="90"/>
      <c r="H24" s="90"/>
      <c r="I24" s="90"/>
      <c r="J24" s="90"/>
      <c r="K24" s="90"/>
      <c r="L24" s="90"/>
      <c r="M24" s="90"/>
      <c r="N24" s="90"/>
      <c r="O24" s="90"/>
    </row>
    <row r="25" spans="2:15">
      <c r="B25" s="95" t="str">
        <f>Products!B52</f>
        <v>25G LR</v>
      </c>
      <c r="C25" s="96" t="str">
        <f>Products!C52</f>
        <v>10 km</v>
      </c>
      <c r="D25" s="97" t="str">
        <f>Products!D52</f>
        <v>SFP28</v>
      </c>
      <c r="E25" s="98">
        <v>3183.6</v>
      </c>
      <c r="F25" s="98">
        <v>12223.4</v>
      </c>
      <c r="G25" s="98"/>
      <c r="H25" s="98"/>
      <c r="I25" s="98"/>
      <c r="J25" s="98"/>
      <c r="K25" s="98"/>
      <c r="L25" s="98"/>
      <c r="M25" s="98"/>
      <c r="N25" s="98"/>
      <c r="O25" s="98"/>
    </row>
    <row r="26" spans="2:15">
      <c r="B26" s="91" t="str">
        <f>Products!B53</f>
        <v>25G ER</v>
      </c>
      <c r="C26" s="92" t="str">
        <f>Products!C53</f>
        <v>40 km</v>
      </c>
      <c r="D26" s="93" t="str">
        <f>Products!D53</f>
        <v>SFP28</v>
      </c>
      <c r="E26" s="94">
        <v>0</v>
      </c>
      <c r="F26" s="94">
        <v>0</v>
      </c>
      <c r="G26" s="94"/>
      <c r="H26" s="94"/>
      <c r="I26" s="94"/>
      <c r="J26" s="94"/>
      <c r="K26" s="94"/>
      <c r="L26" s="94"/>
      <c r="M26" s="94"/>
      <c r="N26" s="94"/>
      <c r="O26" s="94"/>
    </row>
    <row r="27" spans="2:15">
      <c r="B27" s="95" t="str">
        <f>Products!B54</f>
        <v>40G SR4</v>
      </c>
      <c r="C27" s="96" t="str">
        <f>Products!C54</f>
        <v>100 m</v>
      </c>
      <c r="D27" s="97" t="str">
        <f>Products!D54</f>
        <v>QSFP+</v>
      </c>
      <c r="E27" s="90">
        <v>63993.500000000015</v>
      </c>
      <c r="F27" s="90">
        <v>79381.200000000012</v>
      </c>
      <c r="G27" s="90"/>
      <c r="H27" s="90"/>
      <c r="I27" s="90"/>
      <c r="J27" s="90"/>
      <c r="K27" s="90"/>
      <c r="L27" s="90"/>
      <c r="M27" s="90"/>
      <c r="N27" s="90"/>
      <c r="O27" s="90"/>
    </row>
    <row r="28" spans="2:15">
      <c r="B28" s="95" t="str">
        <f>Products!B55</f>
        <v>40G MM duplex</v>
      </c>
      <c r="C28" s="96" t="str">
        <f>Products!C55</f>
        <v>100 m</v>
      </c>
      <c r="D28" s="97" t="str">
        <f>Products!D55</f>
        <v>QSFP+</v>
      </c>
      <c r="E28" s="98">
        <v>614294</v>
      </c>
      <c r="F28" s="98">
        <v>750519</v>
      </c>
      <c r="G28" s="98"/>
      <c r="H28" s="98"/>
      <c r="I28" s="98"/>
      <c r="J28" s="98"/>
      <c r="K28" s="98"/>
      <c r="L28" s="98"/>
      <c r="M28" s="98"/>
      <c r="N28" s="98"/>
      <c r="O28" s="98"/>
    </row>
    <row r="29" spans="2:15">
      <c r="B29" s="95" t="str">
        <f>Products!B56</f>
        <v>40G eSR4</v>
      </c>
      <c r="C29" s="96" t="str">
        <f>Products!C56</f>
        <v>300 m</v>
      </c>
      <c r="D29" s="97" t="str">
        <f>Products!D56</f>
        <v>QSFP+</v>
      </c>
      <c r="E29" s="98">
        <v>27526.900000000005</v>
      </c>
      <c r="F29" s="98">
        <v>46653.500000000007</v>
      </c>
      <c r="G29" s="98"/>
      <c r="H29" s="98"/>
      <c r="I29" s="98"/>
      <c r="J29" s="98"/>
      <c r="K29" s="98"/>
      <c r="L29" s="98"/>
      <c r="M29" s="98"/>
      <c r="N29" s="98"/>
      <c r="O29" s="98"/>
    </row>
    <row r="30" spans="2:15">
      <c r="B30" s="95" t="s">
        <v>257</v>
      </c>
      <c r="C30" s="96" t="s">
        <v>44</v>
      </c>
      <c r="D30" s="97" t="s">
        <v>89</v>
      </c>
      <c r="E30" s="192">
        <v>0</v>
      </c>
      <c r="F30" s="192">
        <v>0</v>
      </c>
      <c r="G30" s="192"/>
      <c r="H30" s="192"/>
      <c r="I30" s="192"/>
      <c r="J30" s="192"/>
      <c r="K30" s="192"/>
      <c r="L30" s="192"/>
      <c r="M30" s="192"/>
      <c r="N30" s="192"/>
      <c r="O30" s="192"/>
    </row>
    <row r="31" spans="2:15">
      <c r="B31" s="95" t="str">
        <f>Products!B58</f>
        <v>40G (FR)</v>
      </c>
      <c r="C31" s="96" t="str">
        <f>Products!C58</f>
        <v>2 km</v>
      </c>
      <c r="D31" s="97" t="str">
        <f>Products!D58</f>
        <v>CFP</v>
      </c>
      <c r="E31" s="98">
        <v>0</v>
      </c>
      <c r="F31" s="98">
        <v>0</v>
      </c>
      <c r="G31" s="98"/>
      <c r="H31" s="98"/>
      <c r="I31" s="98"/>
      <c r="J31" s="98"/>
      <c r="K31" s="98"/>
      <c r="L31" s="98"/>
      <c r="M31" s="98"/>
      <c r="N31" s="98"/>
      <c r="O31" s="98"/>
    </row>
    <row r="32" spans="2:15">
      <c r="B32" s="95" t="str">
        <f>Products!B59</f>
        <v>40G (LR4 subspec)</v>
      </c>
      <c r="C32" s="96" t="str">
        <f>Products!C59</f>
        <v>2 km</v>
      </c>
      <c r="D32" s="97" t="str">
        <f>Products!D59</f>
        <v>QSFP+</v>
      </c>
      <c r="E32" s="98">
        <v>0</v>
      </c>
      <c r="F32" s="98">
        <v>0</v>
      </c>
      <c r="G32" s="98"/>
      <c r="H32" s="98"/>
      <c r="I32" s="98"/>
      <c r="J32" s="98"/>
      <c r="K32" s="98"/>
      <c r="L32" s="98"/>
      <c r="M32" s="98"/>
      <c r="N32" s="98"/>
      <c r="O32" s="98"/>
    </row>
    <row r="33" spans="2:15">
      <c r="B33" s="95" t="str">
        <f>Products!B60</f>
        <v>40G</v>
      </c>
      <c r="C33" s="96" t="str">
        <f>Products!C60</f>
        <v>10 km</v>
      </c>
      <c r="D33" s="97" t="str">
        <f>Products!D60</f>
        <v>CFP</v>
      </c>
      <c r="E33" s="98">
        <v>0</v>
      </c>
      <c r="F33" s="98">
        <v>0</v>
      </c>
      <c r="G33" s="98"/>
      <c r="H33" s="98"/>
      <c r="I33" s="98"/>
      <c r="J33" s="98"/>
      <c r="K33" s="98"/>
      <c r="L33" s="98"/>
      <c r="M33" s="98"/>
      <c r="N33" s="98"/>
      <c r="O33" s="98"/>
    </row>
    <row r="34" spans="2:15">
      <c r="B34" s="95" t="str">
        <f>Products!B61</f>
        <v>40G</v>
      </c>
      <c r="C34" s="96" t="str">
        <f>Products!C61</f>
        <v>10 km</v>
      </c>
      <c r="D34" s="97" t="str">
        <f>Products!D61</f>
        <v>QSFP+</v>
      </c>
      <c r="E34" s="98">
        <v>65446.199999999983</v>
      </c>
      <c r="F34" s="98">
        <v>84871.599999999977</v>
      </c>
      <c r="G34" s="98"/>
      <c r="H34" s="98"/>
      <c r="I34" s="98"/>
      <c r="J34" s="98"/>
      <c r="K34" s="98"/>
      <c r="L34" s="98"/>
      <c r="M34" s="98"/>
      <c r="N34" s="98"/>
      <c r="O34" s="98"/>
    </row>
    <row r="35" spans="2:15">
      <c r="B35" s="91" t="str">
        <f>Products!B62</f>
        <v>40G</v>
      </c>
      <c r="C35" s="92" t="str">
        <f>Products!C62</f>
        <v>40 km</v>
      </c>
      <c r="D35" s="93" t="str">
        <f>Products!D62</f>
        <v>QSFP+</v>
      </c>
      <c r="E35" s="94">
        <v>2202.3000000000002</v>
      </c>
      <c r="F35" s="94">
        <v>2824.64</v>
      </c>
      <c r="G35" s="94"/>
      <c r="H35" s="94"/>
      <c r="I35" s="94"/>
      <c r="J35" s="94"/>
      <c r="K35" s="94"/>
      <c r="L35" s="94"/>
      <c r="M35" s="94"/>
      <c r="N35" s="94"/>
      <c r="O35" s="94"/>
    </row>
    <row r="36" spans="2:15">
      <c r="B36" s="87" t="str">
        <f>Products!B63</f>
        <v xml:space="preserve">50G </v>
      </c>
      <c r="C36" s="88" t="str">
        <f>Products!C63</f>
        <v>100 m</v>
      </c>
      <c r="D36" s="89" t="str">
        <f>Products!D63</f>
        <v>all</v>
      </c>
      <c r="E36" s="90">
        <v>0</v>
      </c>
      <c r="F36" s="90">
        <v>0</v>
      </c>
      <c r="G36" s="90"/>
      <c r="H36" s="90"/>
      <c r="I36" s="90"/>
      <c r="J36" s="90"/>
      <c r="K36" s="90"/>
      <c r="L36" s="90"/>
      <c r="M36" s="90"/>
      <c r="N36" s="90"/>
      <c r="O36" s="90"/>
    </row>
    <row r="37" spans="2:15">
      <c r="B37" s="95" t="str">
        <f>Products!B64</f>
        <v xml:space="preserve">50G </v>
      </c>
      <c r="C37" s="96" t="str">
        <f>Products!C64</f>
        <v>2 km</v>
      </c>
      <c r="D37" s="97" t="str">
        <f>Products!D64</f>
        <v>all</v>
      </c>
      <c r="E37" s="98">
        <v>0</v>
      </c>
      <c r="F37" s="98">
        <v>0</v>
      </c>
      <c r="G37" s="98"/>
      <c r="H37" s="98"/>
      <c r="I37" s="98"/>
      <c r="J37" s="98"/>
      <c r="K37" s="98"/>
      <c r="L37" s="98"/>
      <c r="M37" s="98"/>
      <c r="N37" s="98"/>
      <c r="O37" s="98"/>
    </row>
    <row r="38" spans="2:15">
      <c r="B38" s="95" t="str">
        <f>Products!B65</f>
        <v xml:space="preserve">50G </v>
      </c>
      <c r="C38" s="96" t="str">
        <f>Products!C65</f>
        <v>10 km</v>
      </c>
      <c r="D38" s="97" t="str">
        <f>Products!D65</f>
        <v>all</v>
      </c>
      <c r="E38" s="98">
        <v>0</v>
      </c>
      <c r="F38" s="98">
        <v>0</v>
      </c>
      <c r="G38" s="98"/>
      <c r="H38" s="98"/>
      <c r="I38" s="98"/>
      <c r="J38" s="98"/>
      <c r="K38" s="98"/>
      <c r="L38" s="98"/>
      <c r="M38" s="98"/>
      <c r="N38" s="98"/>
      <c r="O38" s="98"/>
    </row>
    <row r="39" spans="2:15">
      <c r="B39" s="95" t="str">
        <f>Products!B66</f>
        <v xml:space="preserve">50G </v>
      </c>
      <c r="C39" s="96" t="str">
        <f>Products!C66</f>
        <v>40 km</v>
      </c>
      <c r="D39" s="97" t="str">
        <f>Products!D66</f>
        <v>all</v>
      </c>
      <c r="E39" s="98">
        <v>0</v>
      </c>
      <c r="F39" s="98">
        <v>0</v>
      </c>
      <c r="G39" s="98"/>
      <c r="H39" s="98"/>
      <c r="I39" s="98"/>
      <c r="J39" s="98"/>
      <c r="K39" s="98"/>
      <c r="L39" s="98"/>
      <c r="M39" s="98"/>
      <c r="N39" s="98"/>
      <c r="O39" s="98"/>
    </row>
    <row r="40" spans="2:15">
      <c r="B40" s="95" t="str">
        <f>Products!B67</f>
        <v xml:space="preserve">50G </v>
      </c>
      <c r="C40" s="96" t="str">
        <f>Products!C67</f>
        <v>80 km</v>
      </c>
      <c r="D40" s="97" t="str">
        <f>Products!D67</f>
        <v>all</v>
      </c>
      <c r="E40" s="98">
        <v>0</v>
      </c>
      <c r="F40" s="98">
        <v>0</v>
      </c>
      <c r="G40" s="98"/>
      <c r="H40" s="98"/>
      <c r="I40" s="98"/>
      <c r="J40" s="98"/>
      <c r="K40" s="98"/>
      <c r="L40" s="98"/>
      <c r="M40" s="98"/>
      <c r="N40" s="98"/>
      <c r="O40" s="98"/>
    </row>
    <row r="41" spans="2:15">
      <c r="B41" s="87" t="str">
        <f>Products!B68</f>
        <v>100G SR4</v>
      </c>
      <c r="C41" s="88" t="str">
        <f>Products!C68</f>
        <v>100 m</v>
      </c>
      <c r="D41" s="89" t="str">
        <f>Products!D68</f>
        <v>CFP</v>
      </c>
      <c r="E41" s="90">
        <v>0</v>
      </c>
      <c r="F41" s="90">
        <v>0</v>
      </c>
      <c r="G41" s="90"/>
      <c r="H41" s="90"/>
      <c r="I41" s="90"/>
      <c r="J41" s="90"/>
      <c r="K41" s="90"/>
      <c r="L41" s="90"/>
      <c r="M41" s="90"/>
      <c r="N41" s="90"/>
      <c r="O41" s="90"/>
    </row>
    <row r="42" spans="2:15">
      <c r="B42" s="95" t="str">
        <f>Products!B69</f>
        <v>100G SR4</v>
      </c>
      <c r="C42" s="96" t="str">
        <f>Products!C69</f>
        <v>100 m</v>
      </c>
      <c r="D42" s="97" t="str">
        <f>Products!D69</f>
        <v>CFP2/4</v>
      </c>
      <c r="E42" s="98">
        <v>0</v>
      </c>
      <c r="F42" s="98">
        <v>0</v>
      </c>
      <c r="G42" s="98"/>
      <c r="H42" s="98"/>
      <c r="I42" s="98"/>
      <c r="J42" s="98"/>
      <c r="K42" s="98"/>
      <c r="L42" s="98"/>
      <c r="M42" s="98"/>
      <c r="N42" s="98"/>
      <c r="O42" s="98"/>
    </row>
    <row r="43" spans="2:15">
      <c r="B43" s="95" t="str">
        <f>Products!B70</f>
        <v>100G SR4</v>
      </c>
      <c r="C43" s="96" t="str">
        <f>Products!C70</f>
        <v>100 m</v>
      </c>
      <c r="D43" s="97" t="str">
        <f>Products!D70</f>
        <v>QSFP28</v>
      </c>
      <c r="E43" s="98">
        <v>0</v>
      </c>
      <c r="F43" s="98">
        <v>0</v>
      </c>
      <c r="G43" s="98"/>
      <c r="H43" s="98"/>
      <c r="I43" s="98"/>
      <c r="J43" s="98"/>
      <c r="K43" s="98"/>
      <c r="L43" s="98"/>
      <c r="M43" s="98"/>
      <c r="N43" s="98"/>
      <c r="O43" s="98"/>
    </row>
    <row r="44" spans="2:15">
      <c r="B44" s="95" t="str">
        <f>Products!B71</f>
        <v>100G SR2</v>
      </c>
      <c r="C44" s="96" t="str">
        <f>Products!C71</f>
        <v>100 m</v>
      </c>
      <c r="D44" s="97" t="str">
        <f>Products!D71</f>
        <v>All</v>
      </c>
      <c r="E44" s="98">
        <v>0</v>
      </c>
      <c r="F44" s="98">
        <v>0</v>
      </c>
      <c r="G44" s="98"/>
      <c r="H44" s="98"/>
      <c r="I44" s="98"/>
      <c r="J44" s="98"/>
      <c r="K44" s="98"/>
      <c r="L44" s="98"/>
      <c r="M44" s="98"/>
      <c r="N44" s="98"/>
      <c r="O44" s="98"/>
    </row>
    <row r="45" spans="2:15">
      <c r="B45" s="95" t="str">
        <f>Products!B72</f>
        <v>100G MM Duplex</v>
      </c>
      <c r="C45" s="96" t="str">
        <f>Products!C72</f>
        <v>100 - 300 m</v>
      </c>
      <c r="D45" s="97" t="str">
        <f>Products!D72</f>
        <v>QSFP28</v>
      </c>
      <c r="E45" s="98">
        <v>0</v>
      </c>
      <c r="F45" s="98">
        <v>0</v>
      </c>
      <c r="G45" s="98"/>
      <c r="H45" s="98"/>
      <c r="I45" s="98"/>
      <c r="J45" s="98"/>
      <c r="K45" s="98"/>
      <c r="L45" s="98"/>
      <c r="M45" s="98"/>
      <c r="N45" s="98"/>
      <c r="O45" s="98"/>
    </row>
    <row r="46" spans="2:15">
      <c r="B46" s="95" t="str">
        <f>Products!B73</f>
        <v>100G eSR4</v>
      </c>
      <c r="C46" s="96" t="str">
        <f>Products!C73</f>
        <v>300 m</v>
      </c>
      <c r="D46" s="97" t="str">
        <f>Products!D73</f>
        <v>QSFP28</v>
      </c>
      <c r="E46" s="98">
        <v>0</v>
      </c>
      <c r="F46" s="98">
        <v>0</v>
      </c>
      <c r="G46" s="98"/>
      <c r="H46" s="98"/>
      <c r="I46" s="98"/>
      <c r="J46" s="98"/>
      <c r="K46" s="98"/>
      <c r="L46" s="98"/>
      <c r="M46" s="98"/>
      <c r="N46" s="98"/>
      <c r="O46" s="98"/>
    </row>
    <row r="47" spans="2:15">
      <c r="B47" s="95" t="str">
        <f>Products!B74</f>
        <v>100G PSM4</v>
      </c>
      <c r="C47" s="96" t="str">
        <f>Products!C74</f>
        <v>500 m</v>
      </c>
      <c r="D47" s="97" t="str">
        <f>Products!D74</f>
        <v>QSFP28</v>
      </c>
      <c r="E47" s="98">
        <v>0</v>
      </c>
      <c r="F47" s="98">
        <v>0</v>
      </c>
      <c r="G47" s="98"/>
      <c r="H47" s="98"/>
      <c r="I47" s="98"/>
      <c r="J47" s="98"/>
      <c r="K47" s="98"/>
      <c r="L47" s="98"/>
      <c r="M47" s="98"/>
      <c r="N47" s="98"/>
      <c r="O47" s="98"/>
    </row>
    <row r="48" spans="2:15">
      <c r="B48" s="95" t="str">
        <f>Products!B75</f>
        <v>100G DR</v>
      </c>
      <c r="C48" s="96" t="str">
        <f>Products!C75</f>
        <v>500m</v>
      </c>
      <c r="D48" s="97" t="str">
        <f>Products!D75</f>
        <v>QSFP28</v>
      </c>
      <c r="E48" s="98">
        <v>0</v>
      </c>
      <c r="F48" s="98">
        <v>0</v>
      </c>
      <c r="G48" s="98"/>
      <c r="H48" s="98"/>
      <c r="I48" s="98"/>
      <c r="J48" s="98"/>
      <c r="K48" s="98"/>
      <c r="L48" s="98"/>
      <c r="M48" s="98"/>
      <c r="N48" s="98"/>
      <c r="O48" s="98"/>
    </row>
    <row r="49" spans="2:15">
      <c r="B49" s="95" t="str">
        <f>Products!B76</f>
        <v>100G CWDM4-subspec</v>
      </c>
      <c r="C49" s="96" t="str">
        <f>Products!C76</f>
        <v>500 m</v>
      </c>
      <c r="D49" s="97" t="str">
        <f>Products!D76</f>
        <v>QSFP28</v>
      </c>
      <c r="E49" s="98">
        <v>0</v>
      </c>
      <c r="F49" s="98">
        <v>0</v>
      </c>
      <c r="G49" s="98"/>
      <c r="H49" s="98"/>
      <c r="I49" s="98"/>
      <c r="J49" s="98"/>
      <c r="K49" s="98"/>
      <c r="L49" s="98"/>
      <c r="M49" s="98"/>
      <c r="N49" s="98"/>
      <c r="O49" s="98"/>
    </row>
    <row r="50" spans="2:15">
      <c r="B50" s="95" t="str">
        <f>Products!B77</f>
        <v>100G CWDM4</v>
      </c>
      <c r="C50" s="96" t="str">
        <f>Products!C77</f>
        <v>2 km</v>
      </c>
      <c r="D50" s="97" t="str">
        <f>Products!D77</f>
        <v>QSFP28</v>
      </c>
      <c r="E50" s="98">
        <v>0</v>
      </c>
      <c r="F50" s="98">
        <v>0</v>
      </c>
      <c r="G50" s="98"/>
      <c r="H50" s="98"/>
      <c r="I50" s="98"/>
      <c r="J50" s="98"/>
      <c r="K50" s="98"/>
      <c r="L50" s="98"/>
      <c r="M50" s="98"/>
      <c r="N50" s="98"/>
      <c r="O50" s="98"/>
    </row>
    <row r="51" spans="2:15">
      <c r="B51" s="95" t="str">
        <f>Products!B78</f>
        <v>100G FR, DR+</v>
      </c>
      <c r="C51" s="96" t="str">
        <f>Products!C78</f>
        <v>2 km</v>
      </c>
      <c r="D51" s="97" t="str">
        <f>Products!D78</f>
        <v>QSFP28</v>
      </c>
      <c r="E51" s="98">
        <v>0</v>
      </c>
      <c r="F51" s="98">
        <v>0</v>
      </c>
      <c r="G51" s="98"/>
      <c r="H51" s="98"/>
      <c r="I51" s="98"/>
      <c r="J51" s="98"/>
      <c r="K51" s="98"/>
      <c r="L51" s="98"/>
      <c r="M51" s="98"/>
      <c r="N51" s="98"/>
      <c r="O51" s="98"/>
    </row>
    <row r="52" spans="2:15">
      <c r="B52" s="95" t="str">
        <f>Products!B79</f>
        <v>100G LR4</v>
      </c>
      <c r="C52" s="96" t="str">
        <f>Products!C79</f>
        <v>10 km</v>
      </c>
      <c r="D52" s="97" t="str">
        <f>Products!D79</f>
        <v>CFP</v>
      </c>
      <c r="E52" s="98">
        <v>0</v>
      </c>
      <c r="F52" s="98">
        <v>0</v>
      </c>
      <c r="G52" s="98"/>
      <c r="H52" s="98"/>
      <c r="I52" s="98"/>
      <c r="J52" s="98"/>
      <c r="K52" s="98"/>
      <c r="L52" s="98"/>
      <c r="M52" s="98"/>
      <c r="N52" s="98"/>
      <c r="O52" s="98"/>
    </row>
    <row r="53" spans="2:15">
      <c r="B53" s="95" t="str">
        <f>Products!B80</f>
        <v>100G LR4</v>
      </c>
      <c r="C53" s="96" t="str">
        <f>Products!C80</f>
        <v>10 km</v>
      </c>
      <c r="D53" s="97" t="str">
        <f>Products!D80</f>
        <v>CFP2/4</v>
      </c>
      <c r="E53" s="98">
        <v>0</v>
      </c>
      <c r="F53" s="98">
        <v>0</v>
      </c>
      <c r="G53" s="98"/>
      <c r="H53" s="98"/>
      <c r="I53" s="98"/>
      <c r="J53" s="98"/>
      <c r="K53" s="98"/>
      <c r="L53" s="98"/>
      <c r="M53" s="98"/>
      <c r="N53" s="98"/>
      <c r="O53" s="98"/>
    </row>
    <row r="54" spans="2:15">
      <c r="B54" s="95" t="str">
        <f>Products!B81</f>
        <v>100G LR4 and LR1</v>
      </c>
      <c r="C54" s="96" t="str">
        <f>Products!C81</f>
        <v>10 km</v>
      </c>
      <c r="D54" s="97" t="str">
        <f>Products!D81</f>
        <v>QSFP28</v>
      </c>
      <c r="E54" s="98">
        <v>0</v>
      </c>
      <c r="F54" s="98">
        <v>0</v>
      </c>
      <c r="G54" s="98"/>
      <c r="H54" s="98"/>
      <c r="I54" s="98"/>
      <c r="J54" s="98"/>
      <c r="K54" s="98"/>
      <c r="L54" s="98"/>
      <c r="M54" s="98"/>
      <c r="N54" s="98"/>
      <c r="O54" s="98"/>
    </row>
    <row r="55" spans="2:15">
      <c r="B55" s="95" t="str">
        <f>Products!B82</f>
        <v>100G 4WDM10</v>
      </c>
      <c r="C55" s="96" t="str">
        <f>Products!C82</f>
        <v>10 km</v>
      </c>
      <c r="D55" s="97" t="str">
        <f>Products!D82</f>
        <v>QSFP28</v>
      </c>
      <c r="E55" s="98">
        <v>0</v>
      </c>
      <c r="F55" s="98">
        <v>4499.9999999999991</v>
      </c>
      <c r="G55" s="98"/>
      <c r="H55" s="98"/>
      <c r="I55" s="98"/>
      <c r="J55" s="98"/>
      <c r="K55" s="98"/>
      <c r="L55" s="98"/>
      <c r="M55" s="98"/>
      <c r="N55" s="98"/>
      <c r="O55" s="98"/>
    </row>
    <row r="56" spans="2:15">
      <c r="B56" s="95" t="str">
        <f>Products!B83</f>
        <v>100G 4WDM20</v>
      </c>
      <c r="C56" s="96" t="str">
        <f>Products!C83</f>
        <v>20 km</v>
      </c>
      <c r="D56" s="97" t="str">
        <f>Products!D83</f>
        <v>QSFP28</v>
      </c>
      <c r="E56" s="98">
        <v>0</v>
      </c>
      <c r="F56" s="98">
        <v>0</v>
      </c>
      <c r="G56" s="98"/>
      <c r="H56" s="98"/>
      <c r="I56" s="98"/>
      <c r="J56" s="98"/>
      <c r="K56" s="98"/>
      <c r="L56" s="98"/>
      <c r="M56" s="98"/>
      <c r="N56" s="98"/>
      <c r="O56" s="98"/>
    </row>
    <row r="57" spans="2:15">
      <c r="B57" s="95" t="str">
        <f>Products!B84</f>
        <v>100G ER4-Lite</v>
      </c>
      <c r="C57" s="96" t="str">
        <f>Products!C84</f>
        <v>30 km</v>
      </c>
      <c r="D57" s="97" t="str">
        <f>Products!D84</f>
        <v>QSFP28</v>
      </c>
      <c r="E57" s="98">
        <v>0</v>
      </c>
      <c r="F57" s="98">
        <v>399.99999999999989</v>
      </c>
      <c r="G57" s="98"/>
      <c r="H57" s="98"/>
      <c r="I57" s="98"/>
      <c r="J57" s="98"/>
      <c r="K57" s="98"/>
      <c r="L57" s="98"/>
      <c r="M57" s="98"/>
      <c r="N57" s="98"/>
      <c r="O57" s="98"/>
    </row>
    <row r="58" spans="2:15">
      <c r="B58" s="95" t="str">
        <f>Products!B85</f>
        <v>100G ER4</v>
      </c>
      <c r="C58" s="96" t="str">
        <f>Products!C85</f>
        <v>40 km</v>
      </c>
      <c r="D58" s="97" t="str">
        <f>Products!D85</f>
        <v>QSFP28</v>
      </c>
      <c r="E58" s="98">
        <v>1491.1999999999996</v>
      </c>
      <c r="F58" s="98">
        <v>1654.3999999999996</v>
      </c>
      <c r="G58" s="98"/>
      <c r="H58" s="98"/>
      <c r="I58" s="98"/>
      <c r="J58" s="98"/>
      <c r="K58" s="98"/>
      <c r="L58" s="98"/>
      <c r="M58" s="98"/>
      <c r="N58" s="98"/>
      <c r="O58" s="98"/>
    </row>
    <row r="59" spans="2:15">
      <c r="B59" s="95" t="str">
        <f>Products!B86</f>
        <v>100G ZR4</v>
      </c>
      <c r="C59" s="96" t="str">
        <f>Products!C86</f>
        <v>80 km</v>
      </c>
      <c r="D59" s="97" t="str">
        <f>Products!D86</f>
        <v>QSFP28</v>
      </c>
      <c r="E59" s="94">
        <v>0</v>
      </c>
      <c r="F59" s="94">
        <v>0</v>
      </c>
      <c r="G59" s="94"/>
      <c r="H59" s="94"/>
      <c r="I59" s="94"/>
      <c r="J59" s="94"/>
      <c r="K59" s="94"/>
      <c r="L59" s="94"/>
      <c r="M59" s="94"/>
      <c r="N59" s="94"/>
      <c r="O59" s="94"/>
    </row>
    <row r="60" spans="2:15">
      <c r="B60" s="87" t="str">
        <f>Products!B87</f>
        <v>200G SR4</v>
      </c>
      <c r="C60" s="88" t="str">
        <f>Products!C87</f>
        <v>100 m</v>
      </c>
      <c r="D60" s="89" t="str">
        <f>Products!D87</f>
        <v>QSFP56</v>
      </c>
      <c r="E60" s="90">
        <v>0</v>
      </c>
      <c r="F60" s="90">
        <v>0</v>
      </c>
      <c r="G60" s="90"/>
      <c r="H60" s="90"/>
      <c r="I60" s="90"/>
      <c r="J60" s="90"/>
      <c r="K60" s="90"/>
      <c r="L60" s="90"/>
      <c r="M60" s="90"/>
      <c r="N60" s="90"/>
      <c r="O60" s="90"/>
    </row>
    <row r="61" spans="2:15">
      <c r="B61" s="95" t="str">
        <f>Products!B88</f>
        <v>200G DR</v>
      </c>
      <c r="C61" s="96" t="str">
        <f>Products!C88</f>
        <v>500 m</v>
      </c>
      <c r="D61" s="97" t="str">
        <f>Products!D88</f>
        <v>TBD</v>
      </c>
      <c r="E61" s="98">
        <v>0</v>
      </c>
      <c r="F61" s="98">
        <v>0</v>
      </c>
      <c r="G61" s="98"/>
      <c r="H61" s="98"/>
      <c r="I61" s="98"/>
      <c r="J61" s="98"/>
      <c r="K61" s="98"/>
      <c r="L61" s="98"/>
      <c r="M61" s="98"/>
      <c r="N61" s="98"/>
      <c r="O61" s="98"/>
    </row>
    <row r="62" spans="2:15">
      <c r="B62" s="95" t="str">
        <f>Products!B89</f>
        <v>200G FR4</v>
      </c>
      <c r="C62" s="96" t="str">
        <f>Products!C89</f>
        <v>3 km</v>
      </c>
      <c r="D62" s="97" t="str">
        <f>Products!D89</f>
        <v>QSFP56</v>
      </c>
      <c r="E62" s="98">
        <v>0</v>
      </c>
      <c r="F62" s="98">
        <v>0</v>
      </c>
      <c r="G62" s="98"/>
      <c r="H62" s="98"/>
      <c r="I62" s="98"/>
      <c r="J62" s="98"/>
      <c r="K62" s="98"/>
      <c r="L62" s="98"/>
      <c r="M62" s="98"/>
      <c r="N62" s="98"/>
      <c r="O62" s="98"/>
    </row>
    <row r="63" spans="2:15">
      <c r="B63" s="95" t="str">
        <f>Products!B90</f>
        <v>200G LR</v>
      </c>
      <c r="C63" s="96" t="str">
        <f>Products!C90</f>
        <v>10 km</v>
      </c>
      <c r="D63" s="97" t="str">
        <f>Products!D90</f>
        <v>TBD</v>
      </c>
      <c r="E63" s="98">
        <v>0</v>
      </c>
      <c r="F63" s="98">
        <v>0</v>
      </c>
      <c r="G63" s="98"/>
      <c r="H63" s="98"/>
      <c r="I63" s="98"/>
      <c r="J63" s="98"/>
      <c r="K63" s="98"/>
      <c r="L63" s="98"/>
      <c r="M63" s="98"/>
      <c r="N63" s="98"/>
      <c r="O63" s="98"/>
    </row>
    <row r="64" spans="2:15">
      <c r="B64" s="95" t="str">
        <f>Products!B91</f>
        <v>200G ER4</v>
      </c>
      <c r="C64" s="96" t="str">
        <f>Products!C91</f>
        <v>40 km</v>
      </c>
      <c r="D64" s="97" t="str">
        <f>Products!D91</f>
        <v>TBD</v>
      </c>
      <c r="E64" s="98">
        <v>0</v>
      </c>
      <c r="F64" s="98">
        <v>0</v>
      </c>
      <c r="G64" s="98"/>
      <c r="H64" s="98"/>
      <c r="I64" s="98"/>
      <c r="J64" s="98"/>
      <c r="K64" s="98"/>
      <c r="L64" s="98"/>
      <c r="M64" s="98"/>
      <c r="N64" s="98"/>
      <c r="O64" s="98"/>
    </row>
    <row r="65" spans="2:15">
      <c r="B65" s="87" t="str">
        <f>Products!B92</f>
        <v>2x200 (400G-SR8)</v>
      </c>
      <c r="C65" s="88" t="str">
        <f>Products!C92</f>
        <v>100 m</v>
      </c>
      <c r="D65" s="89" t="str">
        <f>Products!D92</f>
        <v>OSFP, QSFP-DD</v>
      </c>
      <c r="E65" s="90">
        <v>0</v>
      </c>
      <c r="F65" s="90">
        <v>0</v>
      </c>
      <c r="G65" s="90"/>
      <c r="H65" s="90"/>
      <c r="I65" s="90"/>
      <c r="J65" s="90"/>
      <c r="K65" s="90"/>
      <c r="L65" s="90"/>
      <c r="M65" s="90"/>
      <c r="N65" s="90"/>
      <c r="O65" s="90"/>
    </row>
    <row r="66" spans="2:15">
      <c r="B66" s="95" t="str">
        <f>Products!B93</f>
        <v>400G SR4</v>
      </c>
      <c r="C66" s="96" t="str">
        <f>Products!C93</f>
        <v>100 m</v>
      </c>
      <c r="D66" s="97" t="str">
        <f>Products!D93</f>
        <v>OSFP112, QSFP112</v>
      </c>
      <c r="E66" s="98">
        <v>0</v>
      </c>
      <c r="F66" s="98">
        <v>0</v>
      </c>
      <c r="G66" s="98"/>
      <c r="H66" s="98"/>
      <c r="I66" s="98"/>
      <c r="J66" s="98"/>
      <c r="K66" s="98"/>
      <c r="L66" s="98"/>
      <c r="M66" s="98"/>
      <c r="N66" s="98"/>
      <c r="O66" s="98"/>
    </row>
    <row r="67" spans="2:15">
      <c r="B67" s="95" t="str">
        <f>Products!B94</f>
        <v>400G DR4</v>
      </c>
      <c r="C67" s="96" t="str">
        <f>Products!C94</f>
        <v>500 m</v>
      </c>
      <c r="D67" s="97" t="str">
        <f>Products!D94</f>
        <v>OSFP, QSFP-DD, QSFP112</v>
      </c>
      <c r="E67" s="98">
        <v>0</v>
      </c>
      <c r="F67" s="98">
        <v>0</v>
      </c>
      <c r="G67" s="98"/>
      <c r="H67" s="98"/>
      <c r="I67" s="98"/>
      <c r="J67" s="98"/>
      <c r="K67" s="98"/>
      <c r="L67" s="98"/>
      <c r="M67" s="98"/>
      <c r="N67" s="98"/>
      <c r="O67" s="98"/>
    </row>
    <row r="68" spans="2:15">
      <c r="B68" s="95" t="str">
        <f>Products!B95</f>
        <v>2x(200G FR4)</v>
      </c>
      <c r="C68" s="96" t="str">
        <f>Products!C95</f>
        <v>2 km</v>
      </c>
      <c r="D68" s="97" t="str">
        <f>Products!D95</f>
        <v>OSFP</v>
      </c>
      <c r="E68" s="98">
        <v>0</v>
      </c>
      <c r="F68" s="98">
        <v>0</v>
      </c>
      <c r="G68" s="98"/>
      <c r="H68" s="98"/>
      <c r="I68" s="98"/>
      <c r="J68" s="98"/>
      <c r="K68" s="98"/>
      <c r="L68" s="98"/>
      <c r="M68" s="98"/>
      <c r="N68" s="98"/>
      <c r="O68" s="98"/>
    </row>
    <row r="69" spans="2:15">
      <c r="B69" s="95" t="str">
        <f>Products!B96</f>
        <v>400G FR4</v>
      </c>
      <c r="C69" s="96" t="str">
        <f>Products!C96</f>
        <v>2 km</v>
      </c>
      <c r="D69" s="97" t="str">
        <f>Products!D96</f>
        <v>OSFP, QSFP-DD, QSFP112</v>
      </c>
      <c r="E69" s="98">
        <v>0</v>
      </c>
      <c r="F69" s="98">
        <v>0</v>
      </c>
      <c r="G69" s="98"/>
      <c r="H69" s="98"/>
      <c r="I69" s="98"/>
      <c r="J69" s="98"/>
      <c r="K69" s="98"/>
      <c r="L69" s="98"/>
      <c r="M69" s="98"/>
      <c r="N69" s="98"/>
      <c r="O69" s="98"/>
    </row>
    <row r="70" spans="2:15">
      <c r="B70" s="95" t="str">
        <f>Products!B97</f>
        <v>400G LR8, LR4</v>
      </c>
      <c r="C70" s="96" t="str">
        <f>Products!C97</f>
        <v>10 km</v>
      </c>
      <c r="D70" s="97" t="str">
        <f>Products!D97</f>
        <v>OSFP, QSFP-DD, QSFP112</v>
      </c>
      <c r="E70" s="98">
        <v>0</v>
      </c>
      <c r="F70" s="98">
        <v>0</v>
      </c>
      <c r="G70" s="98"/>
      <c r="H70" s="98"/>
      <c r="I70" s="98"/>
      <c r="J70" s="98"/>
      <c r="K70" s="98"/>
      <c r="L70" s="98"/>
      <c r="M70" s="98"/>
      <c r="N70" s="98"/>
      <c r="O70" s="98"/>
    </row>
    <row r="71" spans="2:15">
      <c r="B71" s="91" t="str">
        <f>Products!B98</f>
        <v>400G ER4</v>
      </c>
      <c r="C71" s="92" t="str">
        <f>Products!C98</f>
        <v>40 km</v>
      </c>
      <c r="D71" s="93" t="str">
        <f>Products!D98</f>
        <v>TBD</v>
      </c>
      <c r="E71" s="94">
        <v>0</v>
      </c>
      <c r="F71" s="94">
        <v>0</v>
      </c>
      <c r="G71" s="94"/>
      <c r="H71" s="94"/>
      <c r="I71" s="94"/>
      <c r="J71" s="94"/>
      <c r="K71" s="94"/>
      <c r="L71" s="94"/>
      <c r="M71" s="94"/>
      <c r="N71" s="94"/>
      <c r="O71" s="94"/>
    </row>
    <row r="72" spans="2:15" s="100" customFormat="1">
      <c r="B72" s="95" t="str">
        <f>Products!B99</f>
        <v>800G SR8</v>
      </c>
      <c r="C72" s="96" t="str">
        <f>Products!C99</f>
        <v>50 m</v>
      </c>
      <c r="D72" s="97" t="str">
        <f>Products!D99</f>
        <v>OSFP, QSFP-DD800</v>
      </c>
      <c r="E72" s="98">
        <v>0</v>
      </c>
      <c r="F72" s="98">
        <v>0</v>
      </c>
      <c r="G72" s="98"/>
      <c r="H72" s="98"/>
      <c r="I72" s="98"/>
      <c r="J72" s="98"/>
      <c r="K72" s="98"/>
      <c r="L72" s="98"/>
      <c r="M72" s="98"/>
      <c r="N72" s="98"/>
      <c r="O72" s="98"/>
    </row>
    <row r="73" spans="2:15" s="100" customFormat="1">
      <c r="B73" s="95" t="str">
        <f>Products!B100</f>
        <v>800G DR8, DR4</v>
      </c>
      <c r="C73" s="96" t="str">
        <f>Products!C100</f>
        <v>500 m</v>
      </c>
      <c r="D73" s="97" t="str">
        <f>Products!D100</f>
        <v>OSFP, QSFP-DD800</v>
      </c>
      <c r="E73" s="98">
        <v>0</v>
      </c>
      <c r="F73" s="98">
        <v>0</v>
      </c>
      <c r="G73" s="98"/>
      <c r="H73" s="98"/>
      <c r="I73" s="98"/>
      <c r="J73" s="98"/>
      <c r="K73" s="98"/>
      <c r="L73" s="98"/>
      <c r="M73" s="98"/>
      <c r="N73" s="98"/>
      <c r="O73" s="98"/>
    </row>
    <row r="74" spans="2:15" s="100" customFormat="1">
      <c r="B74" s="95" t="str">
        <f>Products!B101</f>
        <v>2x(400G FR4), 800G FR4</v>
      </c>
      <c r="C74" s="96" t="str">
        <f>Products!C101</f>
        <v>2 km</v>
      </c>
      <c r="D74" s="97" t="str">
        <f>Products!D101</f>
        <v>OSFP, QSFP-DD800</v>
      </c>
      <c r="E74" s="98">
        <v>0</v>
      </c>
      <c r="F74" s="98">
        <v>0</v>
      </c>
      <c r="G74" s="98"/>
      <c r="H74" s="98"/>
      <c r="I74" s="98"/>
      <c r="J74" s="98"/>
      <c r="K74" s="98"/>
      <c r="L74" s="98"/>
      <c r="M74" s="98"/>
      <c r="N74" s="98"/>
      <c r="O74" s="98"/>
    </row>
    <row r="75" spans="2:15" s="100" customFormat="1">
      <c r="B75" s="95" t="str">
        <f>Products!B102</f>
        <v>800G LR8, LR4</v>
      </c>
      <c r="C75" s="96" t="str">
        <f>Products!C102</f>
        <v>6, 10 km</v>
      </c>
      <c r="D75" s="97" t="str">
        <f>Products!D102</f>
        <v>TBD</v>
      </c>
      <c r="E75" s="98">
        <v>0</v>
      </c>
      <c r="F75" s="98">
        <v>0</v>
      </c>
      <c r="G75" s="98"/>
      <c r="H75" s="98"/>
      <c r="I75" s="98"/>
      <c r="J75" s="98"/>
      <c r="K75" s="98"/>
      <c r="L75" s="98"/>
      <c r="M75" s="98"/>
      <c r="N75" s="98"/>
      <c r="O75" s="98"/>
    </row>
    <row r="76" spans="2:15" s="100" customFormat="1">
      <c r="B76" s="95" t="str">
        <f>Products!B103</f>
        <v>800G ZRlite</v>
      </c>
      <c r="C76" s="96" t="str">
        <f>Products!C103</f>
        <v>10 km, 20 km</v>
      </c>
      <c r="D76" s="97" t="str">
        <f>Products!D103</f>
        <v>TBD</v>
      </c>
      <c r="E76" s="98">
        <v>0</v>
      </c>
      <c r="F76" s="98">
        <v>0</v>
      </c>
      <c r="G76" s="98"/>
      <c r="H76" s="98"/>
      <c r="I76" s="98"/>
      <c r="J76" s="98"/>
      <c r="K76" s="98"/>
      <c r="L76" s="98"/>
      <c r="M76" s="98"/>
      <c r="N76" s="98"/>
      <c r="O76" s="98"/>
    </row>
    <row r="77" spans="2:15" s="100" customFormat="1">
      <c r="B77" s="91" t="str">
        <f>Products!B104</f>
        <v>800G ER4</v>
      </c>
      <c r="C77" s="92" t="str">
        <f>Products!C104</f>
        <v>40 km</v>
      </c>
      <c r="D77" s="93" t="str">
        <f>Products!D104</f>
        <v>TBD</v>
      </c>
      <c r="E77" s="94">
        <v>0</v>
      </c>
      <c r="F77" s="94">
        <v>0</v>
      </c>
      <c r="G77" s="94"/>
      <c r="H77" s="94"/>
      <c r="I77" s="94"/>
      <c r="J77" s="94"/>
      <c r="K77" s="94"/>
      <c r="L77" s="94"/>
      <c r="M77" s="94"/>
      <c r="N77" s="94"/>
      <c r="O77" s="94"/>
    </row>
    <row r="78" spans="2:15" s="100" customFormat="1">
      <c r="B78" s="95" t="str">
        <f>Products!B105</f>
        <v>1.6T SR16</v>
      </c>
      <c r="C78" s="96" t="str">
        <f>Products!C105</f>
        <v>100 m</v>
      </c>
      <c r="D78" s="97" t="str">
        <f>Products!D105</f>
        <v>OSFP-XD and TBD</v>
      </c>
      <c r="E78" s="98">
        <v>0</v>
      </c>
      <c r="F78" s="98">
        <v>0</v>
      </c>
      <c r="G78" s="98"/>
      <c r="H78" s="98"/>
      <c r="I78" s="98"/>
      <c r="J78" s="98"/>
      <c r="K78" s="98"/>
      <c r="L78" s="98"/>
      <c r="M78" s="98"/>
      <c r="N78" s="98"/>
      <c r="O78" s="98"/>
    </row>
    <row r="79" spans="2:15" s="100" customFormat="1">
      <c r="B79" s="95" t="str">
        <f>Products!B106</f>
        <v>1.6T DR8</v>
      </c>
      <c r="C79" s="96" t="str">
        <f>Products!C106</f>
        <v>500 m</v>
      </c>
      <c r="D79" s="97" t="str">
        <f>Products!D106</f>
        <v>OSFP-XD and TBD</v>
      </c>
      <c r="E79" s="98">
        <v>0</v>
      </c>
      <c r="F79" s="98">
        <v>0</v>
      </c>
      <c r="G79" s="98"/>
      <c r="H79" s="98"/>
      <c r="I79" s="98"/>
      <c r="J79" s="98"/>
      <c r="K79" s="98"/>
      <c r="L79" s="98"/>
      <c r="M79" s="98"/>
      <c r="N79" s="98"/>
      <c r="O79" s="98"/>
    </row>
    <row r="80" spans="2:15" s="100" customFormat="1">
      <c r="B80" s="95" t="str">
        <f>Products!B107</f>
        <v>1.6T FR8</v>
      </c>
      <c r="C80" s="96" t="str">
        <f>Products!C107</f>
        <v>2 km</v>
      </c>
      <c r="D80" s="97" t="str">
        <f>Products!D107</f>
        <v>OSFP-XD and TBD</v>
      </c>
      <c r="E80" s="98">
        <v>0</v>
      </c>
      <c r="F80" s="98">
        <v>0</v>
      </c>
      <c r="G80" s="98"/>
      <c r="H80" s="98"/>
      <c r="I80" s="98"/>
      <c r="J80" s="98"/>
      <c r="K80" s="98"/>
      <c r="L80" s="98"/>
      <c r="M80" s="98"/>
      <c r="N80" s="98"/>
      <c r="O80" s="98"/>
    </row>
    <row r="81" spans="2:16" s="100" customFormat="1">
      <c r="B81" s="95" t="str">
        <f>Products!B108</f>
        <v>1.6T LR8</v>
      </c>
      <c r="C81" s="96" t="str">
        <f>Products!C108</f>
        <v>10 km</v>
      </c>
      <c r="D81" s="97" t="str">
        <f>Products!D108</f>
        <v>OSFP-XD and TBD</v>
      </c>
      <c r="E81" s="98">
        <v>0</v>
      </c>
      <c r="F81" s="98">
        <v>0</v>
      </c>
      <c r="G81" s="98"/>
      <c r="H81" s="98"/>
      <c r="I81" s="98"/>
      <c r="J81" s="98"/>
      <c r="K81" s="98"/>
      <c r="L81" s="98"/>
      <c r="M81" s="98"/>
      <c r="N81" s="98"/>
      <c r="O81" s="98"/>
    </row>
    <row r="82" spans="2:16" s="100" customFormat="1">
      <c r="B82" s="91" t="str">
        <f>Products!B109</f>
        <v>1.6T ER8</v>
      </c>
      <c r="C82" s="92" t="str">
        <f>Products!C109</f>
        <v>&gt;10 km</v>
      </c>
      <c r="D82" s="93" t="str">
        <f>Products!D109</f>
        <v>OSFP-XD and TBD</v>
      </c>
      <c r="E82" s="94">
        <v>0</v>
      </c>
      <c r="F82" s="94">
        <v>0</v>
      </c>
      <c r="G82" s="94"/>
      <c r="H82" s="94"/>
      <c r="I82" s="94"/>
      <c r="J82" s="94"/>
      <c r="K82" s="94"/>
      <c r="L82" s="94"/>
      <c r="M82" s="94"/>
      <c r="N82" s="94"/>
      <c r="O82" s="94"/>
    </row>
    <row r="83" spans="2:16" s="100" customFormat="1">
      <c r="B83" s="95" t="str">
        <f>Products!B110</f>
        <v>3.2T SR</v>
      </c>
      <c r="C83" s="96" t="str">
        <f>Products!C110</f>
        <v>100 m</v>
      </c>
      <c r="D83" s="97" t="str">
        <f>Products!D110</f>
        <v>OSFP-XD and TBD</v>
      </c>
      <c r="E83" s="98">
        <v>0</v>
      </c>
      <c r="F83" s="98">
        <v>0</v>
      </c>
      <c r="G83" s="98"/>
      <c r="H83" s="98"/>
      <c r="I83" s="98"/>
      <c r="J83" s="98"/>
      <c r="K83" s="98"/>
      <c r="L83" s="98"/>
      <c r="M83" s="98"/>
      <c r="N83" s="98"/>
      <c r="O83" s="98"/>
    </row>
    <row r="84" spans="2:16" s="100" customFormat="1">
      <c r="B84" s="95" t="str">
        <f>Products!B111</f>
        <v>3.2T DR</v>
      </c>
      <c r="C84" s="96" t="str">
        <f>Products!C111</f>
        <v>500 m</v>
      </c>
      <c r="D84" s="97" t="str">
        <f>Products!D111</f>
        <v>OSFP-XD and TBD</v>
      </c>
      <c r="E84" s="98">
        <v>0</v>
      </c>
      <c r="F84" s="98">
        <v>0</v>
      </c>
      <c r="G84" s="98"/>
      <c r="H84" s="98"/>
      <c r="I84" s="98"/>
      <c r="J84" s="98"/>
      <c r="K84" s="98"/>
      <c r="L84" s="98"/>
      <c r="M84" s="98"/>
      <c r="N84" s="98"/>
      <c r="O84" s="98"/>
    </row>
    <row r="85" spans="2:16" s="100" customFormat="1">
      <c r="B85" s="95" t="str">
        <f>Products!B112</f>
        <v>3.2T FR</v>
      </c>
      <c r="C85" s="96" t="str">
        <f>Products!C112</f>
        <v>2 km</v>
      </c>
      <c r="D85" s="97" t="str">
        <f>Products!D112</f>
        <v>OSFP-XD and TBD</v>
      </c>
      <c r="E85" s="98">
        <v>0</v>
      </c>
      <c r="F85" s="98">
        <v>0</v>
      </c>
      <c r="G85" s="98"/>
      <c r="H85" s="98"/>
      <c r="I85" s="98"/>
      <c r="J85" s="98"/>
      <c r="K85" s="98"/>
      <c r="L85" s="98"/>
      <c r="M85" s="98"/>
      <c r="N85" s="98"/>
      <c r="O85" s="98"/>
    </row>
    <row r="86" spans="2:16" s="100" customFormat="1">
      <c r="B86" s="95" t="str">
        <f>Products!B113</f>
        <v>3.2T LR</v>
      </c>
      <c r="C86" s="96" t="str">
        <f>Products!C113</f>
        <v>10 km</v>
      </c>
      <c r="D86" s="97" t="str">
        <f>Products!D113</f>
        <v>OSFP-XD and TBD</v>
      </c>
      <c r="E86" s="98">
        <v>0</v>
      </c>
      <c r="F86" s="98">
        <v>0</v>
      </c>
      <c r="G86" s="98"/>
      <c r="H86" s="98"/>
      <c r="I86" s="98"/>
      <c r="J86" s="98"/>
      <c r="K86" s="98"/>
      <c r="L86" s="98"/>
      <c r="M86" s="98"/>
      <c r="N86" s="98"/>
      <c r="O86" s="98"/>
    </row>
    <row r="87" spans="2:16" s="100" customFormat="1">
      <c r="B87" s="95" t="str">
        <f>Products!B114</f>
        <v>3.2T ER</v>
      </c>
      <c r="C87" s="96" t="str">
        <f>Products!C114</f>
        <v>&gt;10 km</v>
      </c>
      <c r="D87" s="97" t="str">
        <f>Products!D114</f>
        <v>OSFP-XD and TBD</v>
      </c>
      <c r="E87" s="98">
        <v>0</v>
      </c>
      <c r="F87" s="98">
        <v>0</v>
      </c>
      <c r="G87" s="98"/>
      <c r="H87" s="98"/>
      <c r="I87" s="98"/>
      <c r="J87" s="98"/>
      <c r="K87" s="98"/>
      <c r="L87" s="98"/>
      <c r="M87" s="98"/>
      <c r="N87" s="98"/>
      <c r="O87" s="98"/>
    </row>
    <row r="88" spans="2:16" s="100" customFormat="1">
      <c r="B88" s="91"/>
      <c r="C88" s="92"/>
      <c r="D88" s="93"/>
      <c r="E88" s="94"/>
      <c r="F88" s="94"/>
      <c r="G88" s="94"/>
      <c r="H88" s="94"/>
      <c r="I88" s="94"/>
      <c r="J88" s="94"/>
      <c r="K88" s="94"/>
      <c r="L88" s="94"/>
      <c r="M88" s="94"/>
      <c r="N88" s="94"/>
      <c r="O88" s="94"/>
    </row>
    <row r="89" spans="2:16">
      <c r="B89" s="51" t="s">
        <v>20</v>
      </c>
      <c r="C89" s="52"/>
      <c r="D89" s="53"/>
      <c r="E89" s="101">
        <f t="shared" ref="E89:O89" si="0">SUM(E9:E88)</f>
        <v>21287441.14376694</v>
      </c>
      <c r="F89" s="101">
        <f t="shared" si="0"/>
        <v>20863877.916871279</v>
      </c>
      <c r="G89" s="101">
        <f t="shared" si="0"/>
        <v>0</v>
      </c>
      <c r="H89" s="101">
        <f t="shared" si="0"/>
        <v>0</v>
      </c>
      <c r="I89" s="101">
        <f t="shared" si="0"/>
        <v>0</v>
      </c>
      <c r="J89" s="101">
        <f t="shared" si="0"/>
        <v>0</v>
      </c>
      <c r="K89" s="101">
        <f t="shared" si="0"/>
        <v>0</v>
      </c>
      <c r="L89" s="101">
        <f t="shared" si="0"/>
        <v>0</v>
      </c>
      <c r="M89" s="101">
        <f t="shared" si="0"/>
        <v>0</v>
      </c>
      <c r="N89" s="101">
        <f t="shared" si="0"/>
        <v>0</v>
      </c>
      <c r="O89" s="101">
        <f t="shared" si="0"/>
        <v>0</v>
      </c>
    </row>
    <row r="92" spans="2:16" ht="21">
      <c r="B92" s="14" t="s">
        <v>19</v>
      </c>
      <c r="C92" s="14"/>
      <c r="D92" s="14"/>
    </row>
    <row r="93" spans="2:16">
      <c r="B93" s="85" t="str">
        <f>B6</f>
        <v>Data Rate</v>
      </c>
      <c r="C93" s="85" t="str">
        <f>C6</f>
        <v>Reach</v>
      </c>
      <c r="D93" s="85" t="str">
        <f>D6</f>
        <v>Form Factor</v>
      </c>
      <c r="E93" s="104">
        <v>2016</v>
      </c>
      <c r="F93" s="104">
        <v>2017</v>
      </c>
      <c r="G93" s="104">
        <v>2018</v>
      </c>
      <c r="H93" s="104">
        <v>2019</v>
      </c>
      <c r="I93" s="104">
        <v>2020</v>
      </c>
      <c r="J93" s="104">
        <v>2021</v>
      </c>
      <c r="K93" s="104">
        <v>2022</v>
      </c>
      <c r="L93" s="104">
        <v>2023</v>
      </c>
      <c r="M93" s="104">
        <v>2024</v>
      </c>
      <c r="N93" s="104">
        <v>2025</v>
      </c>
      <c r="O93" s="104">
        <v>2026</v>
      </c>
      <c r="P93" s="712"/>
    </row>
    <row r="94" spans="2:16">
      <c r="B94" s="87" t="str">
        <f t="shared" ref="B94:D113" si="1">B9</f>
        <v>1G</v>
      </c>
      <c r="C94" s="88" t="str">
        <f t="shared" si="1"/>
        <v>500 m</v>
      </c>
      <c r="D94" s="89" t="str">
        <f t="shared" si="1"/>
        <v>SFP</v>
      </c>
      <c r="E94" s="105">
        <f>'Products x speed'!E105</f>
        <v>10.178233731377588</v>
      </c>
      <c r="F94" s="105">
        <f>'Products x speed'!F105</f>
        <v>8.9746992158904888</v>
      </c>
      <c r="G94" s="105"/>
      <c r="H94" s="105"/>
      <c r="I94" s="105"/>
      <c r="J94" s="105"/>
      <c r="K94" s="105"/>
      <c r="L94" s="105"/>
      <c r="M94" s="105"/>
      <c r="N94" s="105"/>
      <c r="O94" s="105"/>
      <c r="P94" s="638"/>
    </row>
    <row r="95" spans="2:16">
      <c r="B95" s="95" t="str">
        <f t="shared" si="1"/>
        <v>1G</v>
      </c>
      <c r="C95" s="96" t="str">
        <f t="shared" si="1"/>
        <v>10 km</v>
      </c>
      <c r="D95" s="97" t="str">
        <f t="shared" si="1"/>
        <v>SFP</v>
      </c>
      <c r="E95" s="107">
        <f>'Products x speed'!E106</f>
        <v>11.313150064475876</v>
      </c>
      <c r="F95" s="107">
        <f>'Products x speed'!F106</f>
        <v>9.7279618337487541</v>
      </c>
      <c r="G95" s="107"/>
      <c r="H95" s="107"/>
      <c r="I95" s="107"/>
      <c r="J95" s="107"/>
      <c r="K95" s="107"/>
      <c r="L95" s="107"/>
      <c r="M95" s="107"/>
      <c r="N95" s="107"/>
      <c r="O95" s="107"/>
      <c r="P95" s="638"/>
    </row>
    <row r="96" spans="2:16">
      <c r="B96" s="95" t="str">
        <f t="shared" si="1"/>
        <v>1G</v>
      </c>
      <c r="C96" s="96" t="str">
        <f t="shared" si="1"/>
        <v>40 km</v>
      </c>
      <c r="D96" s="97" t="str">
        <f t="shared" si="1"/>
        <v>SFP</v>
      </c>
      <c r="E96" s="107">
        <f>'Products x speed'!E107</f>
        <v>14.223250006112197</v>
      </c>
      <c r="F96" s="107">
        <f>'Products x speed'!F107</f>
        <v>11.270556706605298</v>
      </c>
      <c r="G96" s="107"/>
      <c r="H96" s="107"/>
      <c r="I96" s="107"/>
      <c r="J96" s="107"/>
      <c r="K96" s="107"/>
      <c r="L96" s="107"/>
      <c r="M96" s="107"/>
      <c r="N96" s="107"/>
      <c r="O96" s="107"/>
      <c r="P96" s="638"/>
    </row>
    <row r="97" spans="2:16">
      <c r="B97" s="95" t="str">
        <f t="shared" si="1"/>
        <v>1G</v>
      </c>
      <c r="C97" s="96" t="str">
        <f t="shared" si="1"/>
        <v>80 km</v>
      </c>
      <c r="D97" s="97" t="str">
        <f t="shared" si="1"/>
        <v>SFP</v>
      </c>
      <c r="E97" s="107">
        <f>'Products x speed'!E108</f>
        <v>47.263945249069465</v>
      </c>
      <c r="F97" s="107">
        <f>'Products x speed'!F108</f>
        <v>42.349942382451964</v>
      </c>
      <c r="G97" s="107"/>
      <c r="H97" s="107"/>
      <c r="I97" s="107"/>
      <c r="J97" s="107"/>
      <c r="K97" s="107"/>
      <c r="L97" s="107"/>
      <c r="M97" s="107"/>
      <c r="N97" s="107"/>
      <c r="O97" s="107"/>
      <c r="P97" s="638"/>
    </row>
    <row r="98" spans="2:16">
      <c r="B98" s="91" t="str">
        <f t="shared" si="1"/>
        <v>1G &amp; Fast Ethernet</v>
      </c>
      <c r="C98" s="92" t="str">
        <f t="shared" si="1"/>
        <v>Various</v>
      </c>
      <c r="D98" s="93" t="str">
        <f t="shared" si="1"/>
        <v>Legacy/discontinued</v>
      </c>
      <c r="E98" s="106">
        <f>'Products x speed'!E109</f>
        <v>18</v>
      </c>
      <c r="F98" s="106" t="str">
        <f>'Products x speed'!F109</f>
        <v/>
      </c>
      <c r="G98" s="106"/>
      <c r="H98" s="106"/>
      <c r="I98" s="106"/>
      <c r="J98" s="106"/>
      <c r="K98" s="106"/>
      <c r="L98" s="106"/>
      <c r="M98" s="106"/>
      <c r="N98" s="106"/>
      <c r="O98" s="106"/>
      <c r="P98" s="638"/>
    </row>
    <row r="99" spans="2:16">
      <c r="B99" s="95" t="str">
        <f t="shared" si="1"/>
        <v>10G</v>
      </c>
      <c r="C99" s="96" t="str">
        <f t="shared" si="1"/>
        <v>300 m</v>
      </c>
      <c r="D99" s="97" t="str">
        <f t="shared" si="1"/>
        <v>XFP</v>
      </c>
      <c r="E99" s="107">
        <f>'Products x speed'!E110</f>
        <v>65.084287545305614</v>
      </c>
      <c r="F99" s="107">
        <f>'Products x speed'!F110</f>
        <v>58.749084731162213</v>
      </c>
      <c r="G99" s="107"/>
      <c r="H99" s="107"/>
      <c r="I99" s="107"/>
      <c r="J99" s="107"/>
      <c r="K99" s="107"/>
      <c r="L99" s="107"/>
      <c r="M99" s="107"/>
      <c r="N99" s="107"/>
      <c r="O99" s="107"/>
      <c r="P99" s="638"/>
    </row>
    <row r="100" spans="2:16">
      <c r="B100" s="95" t="str">
        <f t="shared" si="1"/>
        <v>10G</v>
      </c>
      <c r="C100" s="96" t="str">
        <f t="shared" si="1"/>
        <v>300 m</v>
      </c>
      <c r="D100" s="97" t="str">
        <f t="shared" si="1"/>
        <v>SFP+</v>
      </c>
      <c r="E100" s="107">
        <f>'Products x speed'!E111</f>
        <v>18.016278339273537</v>
      </c>
      <c r="F100" s="107">
        <f>'Products x speed'!F111</f>
        <v>15.097691372748406</v>
      </c>
      <c r="G100" s="107"/>
      <c r="H100" s="107"/>
      <c r="I100" s="107"/>
      <c r="J100" s="107"/>
      <c r="K100" s="107"/>
      <c r="L100" s="107"/>
      <c r="M100" s="107"/>
      <c r="N100" s="107"/>
      <c r="O100" s="107"/>
      <c r="P100" s="638"/>
    </row>
    <row r="101" spans="2:16">
      <c r="B101" s="95" t="str">
        <f t="shared" si="1"/>
        <v>10G LRM</v>
      </c>
      <c r="C101" s="96" t="str">
        <f t="shared" si="1"/>
        <v>220 m</v>
      </c>
      <c r="D101" s="97" t="str">
        <f t="shared" si="1"/>
        <v>SFP+</v>
      </c>
      <c r="E101" s="107">
        <f>'Products x speed'!E112</f>
        <v>78.390761412913719</v>
      </c>
      <c r="F101" s="107">
        <f>'Products x speed'!F112</f>
        <v>66.716018564745482</v>
      </c>
      <c r="G101" s="107"/>
      <c r="H101" s="107"/>
      <c r="I101" s="107"/>
      <c r="J101" s="107"/>
      <c r="K101" s="107"/>
      <c r="L101" s="107"/>
      <c r="M101" s="107"/>
      <c r="N101" s="107"/>
      <c r="O101" s="107"/>
      <c r="P101" s="638"/>
    </row>
    <row r="102" spans="2:16">
      <c r="B102" s="95" t="str">
        <f t="shared" si="1"/>
        <v>10G</v>
      </c>
      <c r="C102" s="96" t="str">
        <f t="shared" si="1"/>
        <v>10 km</v>
      </c>
      <c r="D102" s="97" t="str">
        <f t="shared" si="1"/>
        <v>XFP</v>
      </c>
      <c r="E102" s="107">
        <f>'Products x speed'!E113</f>
        <v>67.576972221049004</v>
      </c>
      <c r="F102" s="107">
        <f>'Products x speed'!F113</f>
        <v>51.799368807617711</v>
      </c>
      <c r="G102" s="107"/>
      <c r="H102" s="107"/>
      <c r="I102" s="107"/>
      <c r="J102" s="107"/>
      <c r="K102" s="107"/>
      <c r="L102" s="107"/>
      <c r="M102" s="107"/>
      <c r="N102" s="107"/>
      <c r="O102" s="107"/>
      <c r="P102" s="638"/>
    </row>
    <row r="103" spans="2:16">
      <c r="B103" s="95" t="str">
        <f t="shared" si="1"/>
        <v>10G</v>
      </c>
      <c r="C103" s="96" t="str">
        <f t="shared" si="1"/>
        <v>10 km</v>
      </c>
      <c r="D103" s="97" t="str">
        <f t="shared" si="1"/>
        <v>SFP+</v>
      </c>
      <c r="E103" s="108">
        <f>'Products x speed'!E114</f>
        <v>38.465958311427336</v>
      </c>
      <c r="F103" s="108">
        <f>'Products x speed'!F114</f>
        <v>30.5</v>
      </c>
      <c r="G103" s="108"/>
      <c r="H103" s="108"/>
      <c r="I103" s="108"/>
      <c r="J103" s="108"/>
      <c r="K103" s="108"/>
      <c r="L103" s="108"/>
      <c r="M103" s="108"/>
      <c r="N103" s="108"/>
      <c r="O103" s="108"/>
      <c r="P103" s="638"/>
    </row>
    <row r="104" spans="2:16">
      <c r="B104" s="95" t="str">
        <f t="shared" si="1"/>
        <v>10G</v>
      </c>
      <c r="C104" s="96" t="str">
        <f t="shared" si="1"/>
        <v>40 km</v>
      </c>
      <c r="D104" s="97" t="str">
        <f t="shared" si="1"/>
        <v>XFP</v>
      </c>
      <c r="E104" s="107">
        <f>'Products x speed'!E115</f>
        <v>202.96860771881492</v>
      </c>
      <c r="F104" s="107">
        <f>'Products x speed'!F115</f>
        <v>139.47449702400385</v>
      </c>
      <c r="G104" s="107"/>
      <c r="H104" s="107"/>
      <c r="I104" s="107"/>
      <c r="J104" s="107"/>
      <c r="K104" s="107"/>
      <c r="L104" s="107"/>
      <c r="M104" s="107"/>
      <c r="N104" s="107"/>
      <c r="O104" s="107"/>
      <c r="P104" s="638"/>
    </row>
    <row r="105" spans="2:16">
      <c r="B105" s="95" t="str">
        <f t="shared" si="1"/>
        <v>10G</v>
      </c>
      <c r="C105" s="96" t="str">
        <f t="shared" si="1"/>
        <v>40 km</v>
      </c>
      <c r="D105" s="97" t="str">
        <f t="shared" si="1"/>
        <v>SFP+</v>
      </c>
      <c r="E105" s="107">
        <f>'Products x speed'!E116</f>
        <v>191.20778168956542</v>
      </c>
      <c r="F105" s="107">
        <f>'Products x speed'!F116</f>
        <v>155.78241680453388</v>
      </c>
      <c r="G105" s="107"/>
      <c r="H105" s="107"/>
      <c r="I105" s="107"/>
      <c r="J105" s="107"/>
      <c r="K105" s="107"/>
      <c r="L105" s="107"/>
      <c r="M105" s="107"/>
      <c r="N105" s="107"/>
      <c r="O105" s="107"/>
      <c r="P105" s="638"/>
    </row>
    <row r="106" spans="2:16">
      <c r="B106" s="95" t="str">
        <f t="shared" si="1"/>
        <v>10G</v>
      </c>
      <c r="C106" s="96" t="str">
        <f t="shared" si="1"/>
        <v>80 km</v>
      </c>
      <c r="D106" s="97" t="str">
        <f t="shared" si="1"/>
        <v>XFP</v>
      </c>
      <c r="E106" s="107">
        <f>'Products x speed'!E117</f>
        <v>272.0748723385496</v>
      </c>
      <c r="F106" s="107">
        <f>'Products x speed'!F117</f>
        <v>279.05568350167476</v>
      </c>
      <c r="G106" s="107"/>
      <c r="H106" s="107"/>
      <c r="I106" s="107"/>
      <c r="J106" s="107"/>
      <c r="K106" s="107"/>
      <c r="L106" s="107"/>
      <c r="M106" s="107"/>
      <c r="N106" s="107"/>
      <c r="O106" s="107"/>
      <c r="P106" s="638"/>
    </row>
    <row r="107" spans="2:16">
      <c r="B107" s="95" t="str">
        <f t="shared" si="1"/>
        <v>10G</v>
      </c>
      <c r="C107" s="96" t="str">
        <f t="shared" si="1"/>
        <v>80 km</v>
      </c>
      <c r="D107" s="97" t="str">
        <f t="shared" si="1"/>
        <v>SFP+</v>
      </c>
      <c r="E107" s="107">
        <f>'Products x speed'!E118</f>
        <v>362.31733736347383</v>
      </c>
      <c r="F107" s="107">
        <f>'Products x speed'!F118</f>
        <v>296.14130230693672</v>
      </c>
      <c r="G107" s="107"/>
      <c r="H107" s="107"/>
      <c r="I107" s="107"/>
      <c r="J107" s="107"/>
      <c r="K107" s="107"/>
      <c r="L107" s="107"/>
      <c r="M107" s="107"/>
      <c r="N107" s="107"/>
      <c r="O107" s="107"/>
      <c r="P107" s="638"/>
    </row>
    <row r="108" spans="2:16">
      <c r="B108" s="95" t="str">
        <f t="shared" si="1"/>
        <v>10G</v>
      </c>
      <c r="C108" s="96" t="str">
        <f t="shared" si="1"/>
        <v>Various</v>
      </c>
      <c r="D108" s="93" t="str">
        <f t="shared" si="1"/>
        <v>Legacy/discontinued</v>
      </c>
      <c r="E108" s="107">
        <f>'Products x speed'!E119</f>
        <v>99.093186017554928</v>
      </c>
      <c r="F108" s="107">
        <f>'Products x speed'!F119</f>
        <v>94.281145957499305</v>
      </c>
      <c r="G108" s="107"/>
      <c r="H108" s="107"/>
      <c r="I108" s="107"/>
      <c r="J108" s="107"/>
      <c r="K108" s="107"/>
      <c r="L108" s="107"/>
      <c r="M108" s="107"/>
      <c r="N108" s="107"/>
      <c r="O108" s="107"/>
      <c r="P108" s="638"/>
    </row>
    <row r="109" spans="2:16">
      <c r="B109" s="87" t="str">
        <f t="shared" si="1"/>
        <v>25G SR, eSR</v>
      </c>
      <c r="C109" s="88" t="str">
        <f t="shared" si="1"/>
        <v>100 - 300 m</v>
      </c>
      <c r="D109" s="89" t="str">
        <f t="shared" si="1"/>
        <v>SFP28</v>
      </c>
      <c r="E109" s="105">
        <f>'Products x speed'!E120</f>
        <v>187.14315701091519</v>
      </c>
      <c r="F109" s="105">
        <f>'Products x speed'!F120</f>
        <v>141.11071819746516</v>
      </c>
      <c r="G109" s="105"/>
      <c r="H109" s="105"/>
      <c r="I109" s="105"/>
      <c r="J109" s="105"/>
      <c r="K109" s="105"/>
      <c r="L109" s="105"/>
      <c r="M109" s="105"/>
      <c r="N109" s="105"/>
      <c r="O109" s="105"/>
      <c r="P109" s="638"/>
    </row>
    <row r="110" spans="2:16">
      <c r="B110" s="95" t="str">
        <f t="shared" si="1"/>
        <v>25G LR</v>
      </c>
      <c r="C110" s="96" t="str">
        <f t="shared" si="1"/>
        <v>10 km</v>
      </c>
      <c r="D110" s="97" t="str">
        <f t="shared" si="1"/>
        <v>SFP28</v>
      </c>
      <c r="E110" s="107">
        <f>'Products x speed'!E121</f>
        <v>456.24032541776609</v>
      </c>
      <c r="F110" s="107">
        <f>'Products x speed'!F121</f>
        <v>324.10355668962507</v>
      </c>
      <c r="G110" s="107"/>
      <c r="H110" s="107"/>
      <c r="I110" s="107"/>
      <c r="J110" s="107"/>
      <c r="K110" s="107"/>
      <c r="L110" s="107"/>
      <c r="M110" s="107"/>
      <c r="N110" s="107"/>
      <c r="O110" s="107"/>
      <c r="P110" s="638"/>
    </row>
    <row r="111" spans="2:16">
      <c r="B111" s="91" t="str">
        <f t="shared" si="1"/>
        <v>25G ER</v>
      </c>
      <c r="C111" s="92" t="str">
        <f t="shared" si="1"/>
        <v>40 km</v>
      </c>
      <c r="D111" s="93" t="str">
        <f t="shared" si="1"/>
        <v>SFP28</v>
      </c>
      <c r="E111" s="106" t="str">
        <f>'Products x speed'!E122</f>
        <v/>
      </c>
      <c r="F111" s="106" t="str">
        <f>'Products x speed'!F122</f>
        <v/>
      </c>
      <c r="G111" s="106"/>
      <c r="H111" s="106"/>
      <c r="I111" s="106"/>
      <c r="J111" s="106"/>
      <c r="K111" s="106"/>
      <c r="L111" s="106"/>
      <c r="M111" s="106"/>
      <c r="N111" s="106"/>
      <c r="O111" s="106"/>
      <c r="P111" s="638"/>
    </row>
    <row r="112" spans="2:16">
      <c r="B112" s="87" t="str">
        <f t="shared" si="1"/>
        <v>40G SR4</v>
      </c>
      <c r="C112" s="88" t="str">
        <f t="shared" si="1"/>
        <v>100 m</v>
      </c>
      <c r="D112" s="89" t="str">
        <f t="shared" si="1"/>
        <v>QSFP+</v>
      </c>
      <c r="E112" s="105">
        <f>'Products x speed'!E123</f>
        <v>96.595063887564976</v>
      </c>
      <c r="F112" s="105">
        <f>'Products x speed'!F123</f>
        <v>80.379797575925679</v>
      </c>
      <c r="G112" s="105"/>
      <c r="H112" s="105"/>
      <c r="I112" s="105"/>
      <c r="J112" s="105"/>
      <c r="K112" s="105"/>
      <c r="L112" s="105"/>
      <c r="M112" s="105"/>
      <c r="N112" s="105"/>
      <c r="O112" s="105"/>
      <c r="P112" s="638"/>
    </row>
    <row r="113" spans="2:16">
      <c r="B113" s="95" t="str">
        <f t="shared" si="1"/>
        <v>40G MM duplex</v>
      </c>
      <c r="C113" s="96" t="str">
        <f t="shared" si="1"/>
        <v>100 m</v>
      </c>
      <c r="D113" s="97" t="str">
        <f t="shared" si="1"/>
        <v>QSFP+</v>
      </c>
      <c r="E113" s="107">
        <f>'Products x speed'!E124</f>
        <v>250</v>
      </c>
      <c r="F113" s="107">
        <f>'Products x speed'!F124</f>
        <v>240</v>
      </c>
      <c r="G113" s="107"/>
      <c r="H113" s="107"/>
      <c r="I113" s="107"/>
      <c r="J113" s="107"/>
      <c r="K113" s="107"/>
      <c r="L113" s="107"/>
      <c r="M113" s="107"/>
      <c r="N113" s="107"/>
      <c r="O113" s="107"/>
      <c r="P113" s="638"/>
    </row>
    <row r="114" spans="2:16">
      <c r="B114" s="95" t="str">
        <f t="shared" ref="B114:D133" si="2">B29</f>
        <v>40G eSR4</v>
      </c>
      <c r="C114" s="96" t="str">
        <f t="shared" si="2"/>
        <v>300 m</v>
      </c>
      <c r="D114" s="97" t="str">
        <f t="shared" si="2"/>
        <v>QSFP+</v>
      </c>
      <c r="E114" s="107">
        <f>'Products x speed'!E125</f>
        <v>106.66614587912188</v>
      </c>
      <c r="F114" s="107">
        <f>'Products x speed'!F125</f>
        <v>80.99928194026171</v>
      </c>
      <c r="G114" s="107"/>
      <c r="H114" s="107"/>
      <c r="I114" s="107"/>
      <c r="J114" s="107"/>
      <c r="K114" s="107"/>
      <c r="L114" s="107"/>
      <c r="M114" s="107"/>
      <c r="N114" s="107"/>
      <c r="O114" s="107"/>
      <c r="P114" s="638"/>
    </row>
    <row r="115" spans="2:16">
      <c r="B115" s="95" t="str">
        <f t="shared" si="2"/>
        <v>40 G PSM4</v>
      </c>
      <c r="C115" s="96" t="str">
        <f t="shared" si="2"/>
        <v>500 m</v>
      </c>
      <c r="D115" s="97" t="str">
        <f t="shared" si="2"/>
        <v>QSFP+</v>
      </c>
      <c r="E115" s="107">
        <f>'Products x speed'!E126</f>
        <v>253.19068527507093</v>
      </c>
      <c r="F115" s="107">
        <f>'Products x speed'!F126</f>
        <v>262.79055146339874</v>
      </c>
      <c r="G115" s="107"/>
      <c r="H115" s="107"/>
      <c r="I115" s="107"/>
      <c r="J115" s="107"/>
      <c r="K115" s="107"/>
      <c r="L115" s="107"/>
      <c r="M115" s="107"/>
      <c r="N115" s="107"/>
      <c r="O115" s="107"/>
      <c r="P115" s="638"/>
    </row>
    <row r="116" spans="2:16">
      <c r="B116" s="95" t="str">
        <f t="shared" si="2"/>
        <v>40G (FR)</v>
      </c>
      <c r="C116" s="96" t="str">
        <f t="shared" si="2"/>
        <v>2 km</v>
      </c>
      <c r="D116" s="97" t="str">
        <f t="shared" si="2"/>
        <v>CFP</v>
      </c>
      <c r="E116" s="107">
        <f>'Products x speed'!E127</f>
        <v>4569.894941368153</v>
      </c>
      <c r="F116" s="107">
        <f>'Products x speed'!F127</f>
        <v>5251.681208639473</v>
      </c>
      <c r="G116" s="107"/>
      <c r="H116" s="107"/>
      <c r="I116" s="107"/>
      <c r="J116" s="107"/>
      <c r="K116" s="107"/>
      <c r="L116" s="107"/>
      <c r="M116" s="107"/>
      <c r="N116" s="107"/>
      <c r="O116" s="107"/>
      <c r="P116" s="638"/>
    </row>
    <row r="117" spans="2:16">
      <c r="B117" s="95" t="str">
        <f t="shared" si="2"/>
        <v>40G (LR4 subspec)</v>
      </c>
      <c r="C117" s="96" t="str">
        <f t="shared" si="2"/>
        <v>2 km</v>
      </c>
      <c r="D117" s="97" t="str">
        <f t="shared" si="2"/>
        <v>QSFP+</v>
      </c>
      <c r="E117" s="107">
        <f>'Products x speed'!E128</f>
        <v>377.60055209491952</v>
      </c>
      <c r="F117" s="107">
        <f>'Products x speed'!F128</f>
        <v>343.5254726908467</v>
      </c>
      <c r="G117" s="107"/>
      <c r="H117" s="107"/>
      <c r="I117" s="107"/>
      <c r="J117" s="107"/>
      <c r="K117" s="107"/>
      <c r="L117" s="107"/>
      <c r="M117" s="107"/>
      <c r="N117" s="107"/>
      <c r="O117" s="107"/>
      <c r="P117" s="638"/>
    </row>
    <row r="118" spans="2:16">
      <c r="B118" s="95" t="str">
        <f t="shared" si="2"/>
        <v>40G</v>
      </c>
      <c r="C118" s="96" t="str">
        <f t="shared" si="2"/>
        <v>10 km</v>
      </c>
      <c r="D118" s="97" t="str">
        <f t="shared" si="2"/>
        <v>CFP</v>
      </c>
      <c r="E118" s="107">
        <f>'Products x speed'!E129</f>
        <v>1174.9655306999969</v>
      </c>
      <c r="F118" s="107">
        <f>'Products x speed'!F129</f>
        <v>1350.8997571323105</v>
      </c>
      <c r="G118" s="107"/>
      <c r="H118" s="107"/>
      <c r="I118" s="107"/>
      <c r="J118" s="107"/>
      <c r="K118" s="107"/>
      <c r="L118" s="107"/>
      <c r="M118" s="107"/>
      <c r="N118" s="107"/>
      <c r="O118" s="107"/>
      <c r="P118" s="638"/>
    </row>
    <row r="119" spans="2:16">
      <c r="B119" s="95" t="str">
        <f t="shared" si="2"/>
        <v>40G</v>
      </c>
      <c r="C119" s="96" t="str">
        <f t="shared" si="2"/>
        <v>10 km</v>
      </c>
      <c r="D119" s="97" t="str">
        <f t="shared" si="2"/>
        <v>QSFP+</v>
      </c>
      <c r="E119" s="107">
        <f>'Products x speed'!E130</f>
        <v>427.72742888770347</v>
      </c>
      <c r="F119" s="107">
        <f>'Products x speed'!F130</f>
        <v>401.36672508917627</v>
      </c>
      <c r="G119" s="107"/>
      <c r="H119" s="107"/>
      <c r="I119" s="107"/>
      <c r="J119" s="107"/>
      <c r="K119" s="107"/>
      <c r="L119" s="107"/>
      <c r="M119" s="107"/>
      <c r="N119" s="107"/>
      <c r="O119" s="107"/>
      <c r="P119" s="638"/>
    </row>
    <row r="120" spans="2:16">
      <c r="B120" s="91" t="str">
        <f t="shared" si="2"/>
        <v>40G</v>
      </c>
      <c r="C120" s="92" t="str">
        <f t="shared" si="2"/>
        <v>40 km</v>
      </c>
      <c r="D120" s="93" t="str">
        <f t="shared" si="2"/>
        <v>QSFP+</v>
      </c>
      <c r="E120" s="107">
        <f>'Products x speed'!E131</f>
        <v>1673.0572324239708</v>
      </c>
      <c r="F120" s="107">
        <f>'Products x speed'!F131</f>
        <v>1459.2330281290015</v>
      </c>
      <c r="G120" s="107"/>
      <c r="H120" s="107"/>
      <c r="I120" s="107"/>
      <c r="J120" s="107"/>
      <c r="K120" s="107"/>
      <c r="L120" s="107"/>
      <c r="M120" s="107"/>
      <c r="N120" s="107"/>
      <c r="O120" s="107"/>
      <c r="P120" s="638"/>
    </row>
    <row r="121" spans="2:16">
      <c r="B121" s="87" t="str">
        <f t="shared" si="2"/>
        <v xml:space="preserve">50G </v>
      </c>
      <c r="C121" s="88" t="str">
        <f t="shared" si="2"/>
        <v>100 m</v>
      </c>
      <c r="D121" s="89" t="str">
        <f t="shared" si="2"/>
        <v>all</v>
      </c>
      <c r="E121" s="105" t="str">
        <f>'Products x speed'!E132</f>
        <v/>
      </c>
      <c r="F121" s="105" t="str">
        <f>'Products x speed'!F132</f>
        <v/>
      </c>
      <c r="G121" s="105"/>
      <c r="H121" s="105"/>
      <c r="I121" s="105"/>
      <c r="J121" s="105"/>
      <c r="K121" s="105"/>
      <c r="L121" s="105"/>
      <c r="M121" s="105"/>
      <c r="N121" s="105"/>
      <c r="O121" s="105"/>
      <c r="P121" s="638"/>
    </row>
    <row r="122" spans="2:16">
      <c r="B122" s="95" t="str">
        <f t="shared" si="2"/>
        <v xml:space="preserve">50G </v>
      </c>
      <c r="C122" s="96" t="str">
        <f t="shared" si="2"/>
        <v>2 km</v>
      </c>
      <c r="D122" s="97" t="str">
        <f t="shared" si="2"/>
        <v>all</v>
      </c>
      <c r="E122" s="107" t="str">
        <f>'Products x speed'!E133</f>
        <v/>
      </c>
      <c r="F122" s="107" t="str">
        <f>'Products x speed'!F133</f>
        <v/>
      </c>
      <c r="G122" s="107"/>
      <c r="H122" s="107"/>
      <c r="I122" s="107"/>
      <c r="J122" s="107"/>
      <c r="K122" s="107"/>
      <c r="L122" s="107"/>
      <c r="M122" s="107"/>
      <c r="N122" s="107"/>
      <c r="O122" s="107"/>
      <c r="P122" s="638"/>
    </row>
    <row r="123" spans="2:16">
      <c r="B123" s="95" t="str">
        <f t="shared" si="2"/>
        <v xml:space="preserve">50G </v>
      </c>
      <c r="C123" s="96" t="str">
        <f t="shared" si="2"/>
        <v>10 km</v>
      </c>
      <c r="D123" s="97" t="str">
        <f t="shared" si="2"/>
        <v>all</v>
      </c>
      <c r="E123" s="107" t="str">
        <f>'Products x speed'!E134</f>
        <v/>
      </c>
      <c r="F123" s="107" t="str">
        <f>'Products x speed'!F134</f>
        <v/>
      </c>
      <c r="G123" s="107"/>
      <c r="H123" s="107"/>
      <c r="I123" s="107"/>
      <c r="J123" s="107"/>
      <c r="K123" s="107"/>
      <c r="L123" s="107"/>
      <c r="M123" s="107"/>
      <c r="N123" s="107"/>
      <c r="O123" s="107"/>
      <c r="P123" s="638"/>
    </row>
    <row r="124" spans="2:16">
      <c r="B124" s="95" t="str">
        <f t="shared" si="2"/>
        <v xml:space="preserve">50G </v>
      </c>
      <c r="C124" s="96" t="str">
        <f t="shared" si="2"/>
        <v>40 km</v>
      </c>
      <c r="D124" s="97" t="str">
        <f t="shared" si="2"/>
        <v>all</v>
      </c>
      <c r="E124" s="107">
        <f>'Products x speed'!E135</f>
        <v>0</v>
      </c>
      <c r="F124" s="107">
        <f>'Products x speed'!F135</f>
        <v>0</v>
      </c>
      <c r="G124" s="107"/>
      <c r="H124" s="107"/>
      <c r="I124" s="107"/>
      <c r="J124" s="107"/>
      <c r="K124" s="107"/>
      <c r="L124" s="107"/>
      <c r="M124" s="107"/>
      <c r="N124" s="107"/>
      <c r="O124" s="107"/>
      <c r="P124" s="638"/>
    </row>
    <row r="125" spans="2:16">
      <c r="B125" s="95" t="str">
        <f t="shared" si="2"/>
        <v xml:space="preserve">50G </v>
      </c>
      <c r="C125" s="96" t="str">
        <f t="shared" si="2"/>
        <v>80 km</v>
      </c>
      <c r="D125" s="97" t="str">
        <f t="shared" si="2"/>
        <v>all</v>
      </c>
      <c r="E125" s="106">
        <f>'Products x speed'!E136</f>
        <v>0</v>
      </c>
      <c r="F125" s="106">
        <f>'Products x speed'!F136</f>
        <v>0</v>
      </c>
      <c r="G125" s="107"/>
      <c r="H125" s="107"/>
      <c r="I125" s="107"/>
      <c r="J125" s="107"/>
      <c r="K125" s="107"/>
      <c r="L125" s="107"/>
      <c r="M125" s="107"/>
      <c r="N125" s="107"/>
      <c r="O125" s="107"/>
      <c r="P125" s="638"/>
    </row>
    <row r="126" spans="2:16">
      <c r="B126" s="87" t="str">
        <f t="shared" si="2"/>
        <v>100G SR4</v>
      </c>
      <c r="C126" s="88" t="str">
        <f t="shared" si="2"/>
        <v>100 m</v>
      </c>
      <c r="D126" s="89" t="str">
        <f t="shared" si="2"/>
        <v>CFP</v>
      </c>
      <c r="E126" s="105">
        <f>'Products x speed'!E137</f>
        <v>1422.7039686825053</v>
      </c>
      <c r="F126" s="105">
        <f>'Products x speed'!F137</f>
        <v>1273.3986691740201</v>
      </c>
      <c r="G126" s="105"/>
      <c r="H126" s="105"/>
      <c r="I126" s="105"/>
      <c r="J126" s="105"/>
      <c r="K126" s="105"/>
      <c r="L126" s="105"/>
      <c r="M126" s="105"/>
      <c r="N126" s="105"/>
      <c r="O126" s="105"/>
      <c r="P126" s="638"/>
    </row>
    <row r="127" spans="2:16">
      <c r="B127" s="95" t="str">
        <f t="shared" si="2"/>
        <v>100G SR4</v>
      </c>
      <c r="C127" s="96" t="str">
        <f t="shared" si="2"/>
        <v>100 m</v>
      </c>
      <c r="D127" s="97" t="str">
        <f t="shared" si="2"/>
        <v>CFP2/4</v>
      </c>
      <c r="E127" s="107">
        <f>'Products x speed'!E138</f>
        <v>1204.7629951912068</v>
      </c>
      <c r="F127" s="107">
        <f>'Products x speed'!F138</f>
        <v>1092.608197443808</v>
      </c>
      <c r="G127" s="107"/>
      <c r="H127" s="107"/>
      <c r="I127" s="107"/>
      <c r="J127" s="107"/>
      <c r="K127" s="107"/>
      <c r="L127" s="107"/>
      <c r="M127" s="107"/>
      <c r="N127" s="107"/>
      <c r="O127" s="107"/>
      <c r="P127" s="638"/>
    </row>
    <row r="128" spans="2:16">
      <c r="B128" s="95" t="str">
        <f t="shared" si="2"/>
        <v>100G SR4</v>
      </c>
      <c r="C128" s="96" t="str">
        <f t="shared" si="2"/>
        <v>100 m</v>
      </c>
      <c r="D128" s="97" t="str">
        <f t="shared" si="2"/>
        <v>QSFP28</v>
      </c>
      <c r="E128" s="107">
        <f>'Products x speed'!E139</f>
        <v>258.09426618771823</v>
      </c>
      <c r="F128" s="107">
        <f>'Products x speed'!F139</f>
        <v>182.02277386466108</v>
      </c>
      <c r="G128" s="107"/>
      <c r="H128" s="107"/>
      <c r="I128" s="107"/>
      <c r="J128" s="107"/>
      <c r="K128" s="107"/>
      <c r="L128" s="107"/>
      <c r="M128" s="107"/>
      <c r="N128" s="107"/>
      <c r="O128" s="107"/>
      <c r="P128" s="638"/>
    </row>
    <row r="129" spans="2:16">
      <c r="B129" s="95" t="str">
        <f t="shared" si="2"/>
        <v>100G SR2</v>
      </c>
      <c r="C129" s="96" t="str">
        <f t="shared" si="2"/>
        <v>100 m</v>
      </c>
      <c r="D129" s="97" t="str">
        <f t="shared" si="2"/>
        <v>All</v>
      </c>
      <c r="E129" s="107" t="str">
        <f>'Products x speed'!E140</f>
        <v/>
      </c>
      <c r="F129" s="107" t="str">
        <f>'Products x speed'!F140</f>
        <v/>
      </c>
      <c r="G129" s="107"/>
      <c r="H129" s="107"/>
      <c r="I129" s="107"/>
      <c r="J129" s="107"/>
      <c r="K129" s="107"/>
      <c r="L129" s="107"/>
      <c r="M129" s="107"/>
      <c r="N129" s="107"/>
      <c r="O129" s="107"/>
      <c r="P129" s="638"/>
    </row>
    <row r="130" spans="2:16">
      <c r="B130" s="95" t="str">
        <f t="shared" si="2"/>
        <v>100G MM Duplex</v>
      </c>
      <c r="C130" s="96" t="str">
        <f t="shared" si="2"/>
        <v>100 - 300 m</v>
      </c>
      <c r="D130" s="97" t="str">
        <f t="shared" si="2"/>
        <v>QSFP28</v>
      </c>
      <c r="E130" s="107" t="str">
        <f>'Products x speed'!E141</f>
        <v/>
      </c>
      <c r="F130" s="107" t="str">
        <f>'Products x speed'!F141</f>
        <v/>
      </c>
      <c r="G130" s="107"/>
      <c r="H130" s="107"/>
      <c r="I130" s="107"/>
      <c r="J130" s="107"/>
      <c r="K130" s="107"/>
      <c r="L130" s="107"/>
      <c r="M130" s="107"/>
      <c r="N130" s="107"/>
      <c r="O130" s="107"/>
      <c r="P130" s="638"/>
    </row>
    <row r="131" spans="2:16">
      <c r="B131" s="95" t="str">
        <f t="shared" si="2"/>
        <v>100G eSR4</v>
      </c>
      <c r="C131" s="96" t="str">
        <f t="shared" si="2"/>
        <v>300 m</v>
      </c>
      <c r="D131" s="97" t="str">
        <f t="shared" si="2"/>
        <v>QSFP28</v>
      </c>
      <c r="E131" s="107" t="str">
        <f>'Products x speed'!E142</f>
        <v/>
      </c>
      <c r="F131" s="107" t="str">
        <f>'Products x speed'!F142</f>
        <v/>
      </c>
      <c r="G131" s="107"/>
      <c r="H131" s="107"/>
      <c r="I131" s="107"/>
      <c r="J131" s="107"/>
      <c r="K131" s="107"/>
      <c r="L131" s="107"/>
      <c r="M131" s="107"/>
      <c r="N131" s="107"/>
      <c r="O131" s="107"/>
      <c r="P131" s="638"/>
    </row>
    <row r="132" spans="2:16">
      <c r="B132" s="95" t="str">
        <f t="shared" si="2"/>
        <v>100G PSM4</v>
      </c>
      <c r="C132" s="96" t="str">
        <f t="shared" si="2"/>
        <v>500 m</v>
      </c>
      <c r="D132" s="97" t="str">
        <f t="shared" si="2"/>
        <v>QSFP28</v>
      </c>
      <c r="E132" s="107">
        <f>'Products x speed'!E143</f>
        <v>337.41687156790022</v>
      </c>
      <c r="F132" s="107">
        <f>'Products x speed'!F143</f>
        <v>222.65569307558187</v>
      </c>
      <c r="G132" s="107"/>
      <c r="H132" s="107"/>
      <c r="I132" s="107"/>
      <c r="J132" s="107"/>
      <c r="K132" s="107"/>
      <c r="L132" s="107"/>
      <c r="M132" s="107"/>
      <c r="N132" s="107"/>
      <c r="O132" s="107"/>
      <c r="P132" s="638"/>
    </row>
    <row r="133" spans="2:16">
      <c r="B133" s="95" t="str">
        <f t="shared" si="2"/>
        <v>100G DR</v>
      </c>
      <c r="C133" s="96" t="str">
        <f t="shared" si="2"/>
        <v>500m</v>
      </c>
      <c r="D133" s="97" t="str">
        <f t="shared" si="2"/>
        <v>QSFP28</v>
      </c>
      <c r="E133" s="107" t="str">
        <f>'Products x speed'!E144</f>
        <v/>
      </c>
      <c r="F133" s="107" t="str">
        <f>'Products x speed'!F144</f>
        <v/>
      </c>
      <c r="G133" s="107"/>
      <c r="H133" s="107"/>
      <c r="I133" s="107"/>
      <c r="J133" s="107"/>
      <c r="K133" s="107"/>
      <c r="L133" s="107"/>
      <c r="M133" s="107"/>
      <c r="N133" s="107"/>
      <c r="O133" s="107"/>
      <c r="P133" s="638"/>
    </row>
    <row r="134" spans="2:16">
      <c r="B134" s="95" t="str">
        <f t="shared" ref="B134:D147" si="3">B49</f>
        <v>100G CWDM4-subspec</v>
      </c>
      <c r="C134" s="96" t="str">
        <f t="shared" si="3"/>
        <v>500 m</v>
      </c>
      <c r="D134" s="97" t="str">
        <f t="shared" si="3"/>
        <v>QSFP28</v>
      </c>
      <c r="E134" s="107">
        <f>'Products x speed'!E145</f>
        <v>625</v>
      </c>
      <c r="F134" s="107">
        <f>'Products x speed'!F145</f>
        <v>450</v>
      </c>
      <c r="G134" s="107"/>
      <c r="H134" s="107"/>
      <c r="I134" s="107"/>
      <c r="J134" s="107"/>
      <c r="K134" s="107"/>
      <c r="L134" s="107"/>
      <c r="M134" s="107"/>
      <c r="N134" s="107"/>
      <c r="O134" s="107"/>
      <c r="P134" s="638"/>
    </row>
    <row r="135" spans="2:16">
      <c r="B135" s="95" t="str">
        <f t="shared" si="3"/>
        <v>100G CWDM4</v>
      </c>
      <c r="C135" s="96" t="str">
        <f t="shared" si="3"/>
        <v>2 km</v>
      </c>
      <c r="D135" s="97" t="str">
        <f t="shared" si="3"/>
        <v>QSFP28</v>
      </c>
      <c r="E135" s="107">
        <f>'Products x speed'!E146</f>
        <v>825</v>
      </c>
      <c r="F135" s="107">
        <f>'Products x speed'!F146</f>
        <v>650</v>
      </c>
      <c r="G135" s="107"/>
      <c r="H135" s="107"/>
      <c r="I135" s="107"/>
      <c r="J135" s="107"/>
      <c r="K135" s="107"/>
      <c r="L135" s="107"/>
      <c r="M135" s="107"/>
      <c r="N135" s="107"/>
      <c r="O135" s="107"/>
      <c r="P135" s="638"/>
    </row>
    <row r="136" spans="2:16">
      <c r="B136" s="95" t="str">
        <f t="shared" si="3"/>
        <v>100G FR, DR+</v>
      </c>
      <c r="C136" s="96" t="str">
        <f t="shared" si="3"/>
        <v>2 km</v>
      </c>
      <c r="D136" s="97" t="str">
        <f t="shared" si="3"/>
        <v>QSFP28</v>
      </c>
      <c r="E136" s="107" t="str">
        <f>'Products x speed'!E147</f>
        <v/>
      </c>
      <c r="F136" s="107" t="str">
        <f>'Products x speed'!F147</f>
        <v/>
      </c>
      <c r="G136" s="107"/>
      <c r="H136" s="107"/>
      <c r="I136" s="107"/>
      <c r="J136" s="107"/>
      <c r="K136" s="107"/>
      <c r="L136" s="107"/>
      <c r="M136" s="107"/>
      <c r="N136" s="107"/>
      <c r="O136" s="107"/>
      <c r="P136" s="638"/>
    </row>
    <row r="137" spans="2:16">
      <c r="B137" s="95" t="str">
        <f t="shared" si="3"/>
        <v>100G LR4</v>
      </c>
      <c r="C137" s="96" t="str">
        <f t="shared" si="3"/>
        <v>10 km</v>
      </c>
      <c r="D137" s="97" t="str">
        <f t="shared" si="3"/>
        <v>CFP</v>
      </c>
      <c r="E137" s="107">
        <f>'Products x speed'!E148</f>
        <v>3527.8709620331333</v>
      </c>
      <c r="F137" s="107">
        <f>'Products x speed'!F148</f>
        <v>2768.0701132780364</v>
      </c>
      <c r="G137" s="107"/>
      <c r="H137" s="107"/>
      <c r="I137" s="107"/>
      <c r="J137" s="107"/>
      <c r="K137" s="107"/>
      <c r="L137" s="107"/>
      <c r="M137" s="107"/>
      <c r="N137" s="107"/>
      <c r="O137" s="107"/>
      <c r="P137" s="638"/>
    </row>
    <row r="138" spans="2:16">
      <c r="B138" s="95" t="str">
        <f t="shared" si="3"/>
        <v>100G LR4</v>
      </c>
      <c r="C138" s="96" t="str">
        <f t="shared" si="3"/>
        <v>10 km</v>
      </c>
      <c r="D138" s="97" t="str">
        <f t="shared" si="3"/>
        <v>CFP2/4</v>
      </c>
      <c r="E138" s="107">
        <f>'Products x speed'!E149</f>
        <v>2882.5268681316725</v>
      </c>
      <c r="F138" s="107">
        <f>'Products x speed'!F149</f>
        <v>2140.3307221126156</v>
      </c>
      <c r="G138" s="107"/>
      <c r="H138" s="107"/>
      <c r="I138" s="107"/>
      <c r="J138" s="107"/>
      <c r="K138" s="107"/>
      <c r="L138" s="107"/>
      <c r="M138" s="107"/>
      <c r="N138" s="107"/>
      <c r="O138" s="107"/>
      <c r="P138" s="638"/>
    </row>
    <row r="139" spans="2:16">
      <c r="B139" s="95" t="str">
        <f t="shared" si="3"/>
        <v>100G LR4 and LR1</v>
      </c>
      <c r="C139" s="96" t="str">
        <f t="shared" si="3"/>
        <v>10 km</v>
      </c>
      <c r="D139" s="97" t="str">
        <f t="shared" si="3"/>
        <v>QSFP28</v>
      </c>
      <c r="E139" s="107">
        <f>'Products x speed'!E150</f>
        <v>1938.1501024552811</v>
      </c>
      <c r="F139" s="107">
        <f>'Products x speed'!F150</f>
        <v>1200</v>
      </c>
      <c r="G139" s="107"/>
      <c r="H139" s="107"/>
      <c r="I139" s="107"/>
      <c r="J139" s="107"/>
      <c r="K139" s="107"/>
      <c r="L139" s="107"/>
      <c r="M139" s="107"/>
      <c r="N139" s="107"/>
      <c r="O139" s="107"/>
      <c r="P139" s="638"/>
    </row>
    <row r="140" spans="2:16">
      <c r="B140" s="95" t="str">
        <f t="shared" si="3"/>
        <v>100G 4WDM10</v>
      </c>
      <c r="C140" s="96" t="str">
        <f t="shared" si="3"/>
        <v>10 km</v>
      </c>
      <c r="D140" s="97" t="str">
        <f t="shared" si="3"/>
        <v>QSFP28</v>
      </c>
      <c r="E140" s="107" t="str">
        <f>'Products x speed'!E151</f>
        <v/>
      </c>
      <c r="F140" s="107">
        <f>'Products x speed'!F151</f>
        <v>500</v>
      </c>
      <c r="G140" s="107"/>
      <c r="H140" s="107"/>
      <c r="I140" s="107"/>
      <c r="J140" s="107"/>
      <c r="K140" s="107"/>
      <c r="L140" s="107"/>
      <c r="M140" s="107"/>
      <c r="N140" s="107"/>
      <c r="O140" s="107"/>
      <c r="P140" s="638"/>
    </row>
    <row r="141" spans="2:16">
      <c r="B141" s="95" t="str">
        <f t="shared" si="3"/>
        <v>100G 4WDM20</v>
      </c>
      <c r="C141" s="96" t="str">
        <f t="shared" si="3"/>
        <v>20 km</v>
      </c>
      <c r="D141" s="97" t="str">
        <f t="shared" si="3"/>
        <v>QSFP28</v>
      </c>
      <c r="E141" s="107" t="str">
        <f>'Products x speed'!E152</f>
        <v/>
      </c>
      <c r="F141" s="107" t="str">
        <f>'Products x speed'!F152</f>
        <v/>
      </c>
      <c r="G141" s="107"/>
      <c r="H141" s="107"/>
      <c r="I141" s="107"/>
      <c r="J141" s="107"/>
      <c r="K141" s="107"/>
      <c r="L141" s="107"/>
      <c r="M141" s="107"/>
      <c r="N141" s="107"/>
      <c r="O141" s="107"/>
      <c r="P141" s="638"/>
    </row>
    <row r="142" spans="2:16">
      <c r="B142" s="95" t="str">
        <f t="shared" si="3"/>
        <v>100G ER4-Lite</v>
      </c>
      <c r="C142" s="96" t="str">
        <f t="shared" si="3"/>
        <v>30 km</v>
      </c>
      <c r="D142" s="97" t="str">
        <f t="shared" si="3"/>
        <v>QSFP28</v>
      </c>
      <c r="E142" s="107" t="str">
        <f>'Products x speed'!E153</f>
        <v/>
      </c>
      <c r="F142" s="107">
        <f>'Products x speed'!F153</f>
        <v>3487.2423945044161</v>
      </c>
      <c r="G142" s="107"/>
      <c r="H142" s="107"/>
      <c r="I142" s="107"/>
      <c r="J142" s="107"/>
      <c r="K142" s="107"/>
      <c r="L142" s="107"/>
      <c r="M142" s="107"/>
      <c r="N142" s="107"/>
      <c r="O142" s="107"/>
      <c r="P142" s="638"/>
    </row>
    <row r="143" spans="2:16">
      <c r="B143" s="95" t="str">
        <f t="shared" si="3"/>
        <v>100G ER4</v>
      </c>
      <c r="C143" s="96" t="str">
        <f t="shared" si="3"/>
        <v>40 km</v>
      </c>
      <c r="D143" s="97" t="str">
        <f t="shared" si="3"/>
        <v>QSFP28</v>
      </c>
      <c r="E143" s="107">
        <f>'Products x speed'!E154</f>
        <v>8992.3604525403425</v>
      </c>
      <c r="F143" s="107">
        <f>'Products x speed'!F154</f>
        <v>6675.4855675304152</v>
      </c>
      <c r="G143" s="107"/>
      <c r="H143" s="107"/>
      <c r="I143" s="107"/>
      <c r="J143" s="107"/>
      <c r="K143" s="107"/>
      <c r="L143" s="107"/>
      <c r="M143" s="107"/>
      <c r="N143" s="107"/>
      <c r="O143" s="107"/>
      <c r="P143" s="638"/>
    </row>
    <row r="144" spans="2:16">
      <c r="B144" s="91" t="str">
        <f t="shared" si="3"/>
        <v>100G ZR4</v>
      </c>
      <c r="C144" s="92" t="str">
        <f t="shared" si="3"/>
        <v>80 km</v>
      </c>
      <c r="D144" s="93" t="str">
        <f t="shared" si="3"/>
        <v>QSFP28</v>
      </c>
      <c r="E144" s="106" t="str">
        <f>'Products x speed'!E155</f>
        <v/>
      </c>
      <c r="F144" s="106" t="str">
        <f>'Products x speed'!F155</f>
        <v/>
      </c>
      <c r="G144" s="106"/>
      <c r="H144" s="106"/>
      <c r="I144" s="106"/>
      <c r="J144" s="106"/>
      <c r="K144" s="106"/>
      <c r="L144" s="106"/>
      <c r="M144" s="106"/>
      <c r="N144" s="106"/>
      <c r="O144" s="106"/>
      <c r="P144" s="638"/>
    </row>
    <row r="145" spans="2:16">
      <c r="B145" s="87" t="str">
        <f t="shared" si="3"/>
        <v>200G SR4</v>
      </c>
      <c r="C145" s="88" t="str">
        <f t="shared" si="3"/>
        <v>100 m</v>
      </c>
      <c r="D145" s="89" t="str">
        <f t="shared" si="3"/>
        <v>QSFP56</v>
      </c>
      <c r="E145" s="105">
        <f>'Products x speed'!E156</f>
        <v>0</v>
      </c>
      <c r="F145" s="105">
        <f>'Products x speed'!F156</f>
        <v>0</v>
      </c>
      <c r="G145" s="105"/>
      <c r="H145" s="105"/>
      <c r="I145" s="105"/>
      <c r="J145" s="105"/>
      <c r="K145" s="105"/>
      <c r="L145" s="105"/>
      <c r="M145" s="105"/>
      <c r="N145" s="105"/>
      <c r="O145" s="105"/>
      <c r="P145" s="638"/>
    </row>
    <row r="146" spans="2:16">
      <c r="B146" s="95" t="str">
        <f t="shared" si="3"/>
        <v>200G DR</v>
      </c>
      <c r="C146" s="96" t="str">
        <f t="shared" si="3"/>
        <v>500 m</v>
      </c>
      <c r="D146" s="97" t="str">
        <f t="shared" si="3"/>
        <v>TBD</v>
      </c>
      <c r="E146" s="107">
        <f>'Products x speed'!E157</f>
        <v>0</v>
      </c>
      <c r="F146" s="107">
        <f>'Products x speed'!F157</f>
        <v>0</v>
      </c>
      <c r="G146" s="107"/>
      <c r="H146" s="107"/>
      <c r="I146" s="107"/>
      <c r="J146" s="107"/>
      <c r="K146" s="107"/>
      <c r="L146" s="107"/>
      <c r="M146" s="107"/>
      <c r="N146" s="107"/>
      <c r="O146" s="107"/>
      <c r="P146" s="638"/>
    </row>
    <row r="147" spans="2:16">
      <c r="B147" s="95" t="str">
        <f t="shared" si="3"/>
        <v>200G FR4</v>
      </c>
      <c r="C147" s="96" t="str">
        <f t="shared" si="3"/>
        <v>3 km</v>
      </c>
      <c r="D147" s="97" t="str">
        <f t="shared" si="3"/>
        <v>QSFP56</v>
      </c>
      <c r="E147" s="107">
        <f>'Products x speed'!E158</f>
        <v>0</v>
      </c>
      <c r="F147" s="107">
        <f>'Products x speed'!F158</f>
        <v>0</v>
      </c>
      <c r="G147" s="107"/>
      <c r="H147" s="107"/>
      <c r="I147" s="107"/>
      <c r="J147" s="107"/>
      <c r="K147" s="107"/>
      <c r="L147" s="107"/>
      <c r="M147" s="107"/>
      <c r="N147" s="107"/>
      <c r="O147" s="107"/>
      <c r="P147" s="638"/>
    </row>
    <row r="148" spans="2:16">
      <c r="B148" s="95" t="str">
        <f t="shared" ref="B148:D148" si="4">B63</f>
        <v>200G LR</v>
      </c>
      <c r="C148" s="96" t="str">
        <f t="shared" si="4"/>
        <v>10 km</v>
      </c>
      <c r="D148" s="97" t="str">
        <f t="shared" si="4"/>
        <v>TBD</v>
      </c>
      <c r="E148" s="107">
        <f>'Products x speed'!E159</f>
        <v>0</v>
      </c>
      <c r="F148" s="107">
        <f>'Products x speed'!F159</f>
        <v>0</v>
      </c>
      <c r="G148" s="107"/>
      <c r="H148" s="107"/>
      <c r="I148" s="107"/>
      <c r="J148" s="107"/>
      <c r="K148" s="107"/>
      <c r="L148" s="107"/>
      <c r="M148" s="107"/>
      <c r="N148" s="107"/>
      <c r="O148" s="107"/>
      <c r="P148" s="638"/>
    </row>
    <row r="149" spans="2:16">
      <c r="B149" s="95" t="str">
        <f t="shared" ref="B149:D149" si="5">B64</f>
        <v>200G ER4</v>
      </c>
      <c r="C149" s="96" t="str">
        <f t="shared" si="5"/>
        <v>40 km</v>
      </c>
      <c r="D149" s="97" t="str">
        <f t="shared" si="5"/>
        <v>TBD</v>
      </c>
      <c r="E149" s="107">
        <f>'Products x speed'!E160</f>
        <v>0</v>
      </c>
      <c r="F149" s="107">
        <f>'Products x speed'!F160</f>
        <v>0</v>
      </c>
      <c r="G149" s="107"/>
      <c r="H149" s="107"/>
      <c r="I149" s="107"/>
      <c r="J149" s="107"/>
      <c r="K149" s="107"/>
      <c r="L149" s="107"/>
      <c r="M149" s="107"/>
      <c r="N149" s="107"/>
      <c r="O149" s="107"/>
      <c r="P149" s="638"/>
    </row>
    <row r="150" spans="2:16">
      <c r="B150" s="87" t="str">
        <f t="shared" ref="B150:D159" si="6">B65</f>
        <v>2x200 (400G-SR8)</v>
      </c>
      <c r="C150" s="88" t="str">
        <f t="shared" si="6"/>
        <v>100 m</v>
      </c>
      <c r="D150" s="89" t="str">
        <f t="shared" si="6"/>
        <v>OSFP, QSFP-DD</v>
      </c>
      <c r="E150" s="105">
        <f>'Products x speed'!E161</f>
        <v>0</v>
      </c>
      <c r="F150" s="105">
        <f>'Products x speed'!F161</f>
        <v>0</v>
      </c>
      <c r="G150" s="105"/>
      <c r="H150" s="105"/>
      <c r="I150" s="105"/>
      <c r="J150" s="105"/>
      <c r="K150" s="105"/>
      <c r="L150" s="105"/>
      <c r="M150" s="105"/>
      <c r="N150" s="105"/>
      <c r="O150" s="105"/>
      <c r="P150" s="638"/>
    </row>
    <row r="151" spans="2:16">
      <c r="B151" s="95" t="str">
        <f t="shared" si="6"/>
        <v>400G SR4</v>
      </c>
      <c r="C151" s="96" t="str">
        <f t="shared" si="6"/>
        <v>100 m</v>
      </c>
      <c r="D151" s="97" t="str">
        <f t="shared" si="6"/>
        <v>OSFP112, QSFP112</v>
      </c>
      <c r="E151" s="107">
        <f>'Products x speed'!E162</f>
        <v>0</v>
      </c>
      <c r="F151" s="107">
        <f>'Products x speed'!F162</f>
        <v>0</v>
      </c>
      <c r="G151" s="107"/>
      <c r="H151" s="107"/>
      <c r="I151" s="107"/>
      <c r="J151" s="107"/>
      <c r="K151" s="107"/>
      <c r="L151" s="107"/>
      <c r="M151" s="107"/>
      <c r="N151" s="107"/>
      <c r="O151" s="107"/>
      <c r="P151" s="638"/>
    </row>
    <row r="152" spans="2:16">
      <c r="B152" s="95" t="str">
        <f t="shared" si="6"/>
        <v>400G DR4</v>
      </c>
      <c r="C152" s="96" t="str">
        <f t="shared" si="6"/>
        <v>500 m</v>
      </c>
      <c r="D152" s="97" t="str">
        <f t="shared" si="6"/>
        <v>OSFP, QSFP-DD, QSFP112</v>
      </c>
      <c r="E152" s="107">
        <f>'Products x speed'!E163</f>
        <v>0</v>
      </c>
      <c r="F152" s="107">
        <f>'Products x speed'!F163</f>
        <v>0</v>
      </c>
      <c r="G152" s="107"/>
      <c r="H152" s="107"/>
      <c r="I152" s="107"/>
      <c r="J152" s="107"/>
      <c r="K152" s="107"/>
      <c r="L152" s="107"/>
      <c r="M152" s="107"/>
      <c r="N152" s="107"/>
      <c r="O152" s="107"/>
      <c r="P152" s="638"/>
    </row>
    <row r="153" spans="2:16">
      <c r="B153" s="95" t="str">
        <f t="shared" si="6"/>
        <v>2x(200G FR4)</v>
      </c>
      <c r="C153" s="96" t="str">
        <f t="shared" si="6"/>
        <v>2 km</v>
      </c>
      <c r="D153" s="97" t="str">
        <f t="shared" si="6"/>
        <v>OSFP</v>
      </c>
      <c r="E153" s="107">
        <f>'Products x speed'!E164</f>
        <v>0</v>
      </c>
      <c r="F153" s="107">
        <f>'Products x speed'!F164</f>
        <v>0</v>
      </c>
      <c r="G153" s="107"/>
      <c r="H153" s="107"/>
      <c r="I153" s="107"/>
      <c r="J153" s="107"/>
      <c r="K153" s="107"/>
      <c r="L153" s="107"/>
      <c r="M153" s="107"/>
      <c r="N153" s="107"/>
      <c r="O153" s="107"/>
      <c r="P153" s="638"/>
    </row>
    <row r="154" spans="2:16">
      <c r="B154" s="95" t="str">
        <f t="shared" si="6"/>
        <v>400G FR4</v>
      </c>
      <c r="C154" s="96" t="str">
        <f t="shared" si="6"/>
        <v>2 km</v>
      </c>
      <c r="D154" s="97" t="str">
        <f t="shared" si="6"/>
        <v>OSFP, QSFP-DD, QSFP112</v>
      </c>
      <c r="E154" s="107">
        <f>'Products x speed'!E165</f>
        <v>0</v>
      </c>
      <c r="F154" s="107">
        <f>'Products x speed'!F165</f>
        <v>11614.285714285714</v>
      </c>
      <c r="G154" s="107"/>
      <c r="H154" s="107"/>
      <c r="I154" s="107"/>
      <c r="J154" s="107"/>
      <c r="K154" s="107"/>
      <c r="L154" s="107"/>
      <c r="M154" s="107"/>
      <c r="N154" s="107"/>
      <c r="O154" s="107"/>
      <c r="P154" s="638"/>
    </row>
    <row r="155" spans="2:16">
      <c r="B155" s="95" t="str">
        <f t="shared" si="6"/>
        <v>400G LR8, LR4</v>
      </c>
      <c r="C155" s="96" t="str">
        <f t="shared" si="6"/>
        <v>10 km</v>
      </c>
      <c r="D155" s="97" t="str">
        <f t="shared" si="6"/>
        <v>OSFP, QSFP-DD, QSFP112</v>
      </c>
      <c r="E155" s="107">
        <f>'Products x speed'!E166</f>
        <v>0</v>
      </c>
      <c r="F155" s="107">
        <f>'Products x speed'!F166</f>
        <v>15451.219512195123</v>
      </c>
      <c r="G155" s="107"/>
      <c r="H155" s="107"/>
      <c r="I155" s="107"/>
      <c r="J155" s="107"/>
      <c r="K155" s="107"/>
      <c r="L155" s="107"/>
      <c r="M155" s="107"/>
      <c r="N155" s="107"/>
      <c r="O155" s="107"/>
      <c r="P155" s="638"/>
    </row>
    <row r="156" spans="2:16">
      <c r="B156" s="91" t="str">
        <f t="shared" si="6"/>
        <v>400G ER4</v>
      </c>
      <c r="C156" s="92" t="str">
        <f t="shared" si="6"/>
        <v>40 km</v>
      </c>
      <c r="D156" s="93" t="str">
        <f t="shared" si="6"/>
        <v>TBD</v>
      </c>
      <c r="E156" s="106">
        <f>'Products x speed'!E167</f>
        <v>0</v>
      </c>
      <c r="F156" s="106" t="str">
        <f>'Products x speed'!F167</f>
        <v/>
      </c>
      <c r="G156" s="106"/>
      <c r="H156" s="106"/>
      <c r="I156" s="106"/>
      <c r="J156" s="106"/>
      <c r="K156" s="106"/>
      <c r="L156" s="106"/>
      <c r="M156" s="106"/>
      <c r="N156" s="106"/>
      <c r="O156" s="106"/>
      <c r="P156" s="638"/>
    </row>
    <row r="157" spans="2:16" s="100" customFormat="1">
      <c r="B157" s="95" t="str">
        <f t="shared" si="6"/>
        <v>800G SR8</v>
      </c>
      <c r="C157" s="96" t="str">
        <f t="shared" si="6"/>
        <v>50 m</v>
      </c>
      <c r="D157" s="97" t="str">
        <f t="shared" si="6"/>
        <v>OSFP, QSFP-DD800</v>
      </c>
      <c r="E157" s="107">
        <f>'Products x speed'!E168</f>
        <v>0</v>
      </c>
      <c r="F157" s="107">
        <f>'Products x speed'!F168</f>
        <v>0</v>
      </c>
      <c r="G157" s="107"/>
      <c r="H157" s="107"/>
      <c r="I157" s="107"/>
      <c r="J157" s="107"/>
      <c r="K157" s="107"/>
      <c r="L157" s="107"/>
      <c r="M157" s="107"/>
      <c r="N157" s="107"/>
      <c r="O157" s="107"/>
      <c r="P157" s="638"/>
    </row>
    <row r="158" spans="2:16" s="100" customFormat="1">
      <c r="B158" s="95" t="str">
        <f t="shared" si="6"/>
        <v>800G DR8, DR4</v>
      </c>
      <c r="C158" s="96" t="str">
        <f t="shared" si="6"/>
        <v>500 m</v>
      </c>
      <c r="D158" s="96" t="str">
        <f t="shared" si="6"/>
        <v>OSFP, QSFP-DD800</v>
      </c>
      <c r="E158" s="107">
        <f>'Products x speed'!E169</f>
        <v>0</v>
      </c>
      <c r="F158" s="107">
        <f>'Products x speed'!F169</f>
        <v>0</v>
      </c>
      <c r="G158" s="107"/>
      <c r="H158" s="107"/>
      <c r="I158" s="107"/>
      <c r="J158" s="107"/>
      <c r="K158" s="107"/>
      <c r="L158" s="107"/>
      <c r="M158" s="107"/>
      <c r="N158" s="107"/>
      <c r="O158" s="107"/>
      <c r="P158" s="638"/>
    </row>
    <row r="159" spans="2:16" s="100" customFormat="1">
      <c r="B159" s="95" t="str">
        <f t="shared" si="6"/>
        <v>2x(400G FR4), 800G FR4</v>
      </c>
      <c r="C159" s="96" t="str">
        <f t="shared" si="6"/>
        <v>2 km</v>
      </c>
      <c r="D159" s="96" t="str">
        <f t="shared" si="6"/>
        <v>OSFP, QSFP-DD800</v>
      </c>
      <c r="E159" s="107">
        <f>'Products x speed'!E170</f>
        <v>0</v>
      </c>
      <c r="F159" s="107">
        <f>'Products x speed'!F170</f>
        <v>0</v>
      </c>
      <c r="G159" s="107"/>
      <c r="H159" s="107"/>
      <c r="I159" s="107"/>
      <c r="J159" s="107"/>
      <c r="K159" s="107"/>
      <c r="L159" s="107"/>
      <c r="M159" s="107"/>
      <c r="N159" s="107"/>
      <c r="O159" s="107"/>
      <c r="P159" s="638"/>
    </row>
    <row r="160" spans="2:16" s="100" customFormat="1">
      <c r="B160" s="95" t="str">
        <f t="shared" ref="B160:D172" si="7">B75</f>
        <v>800G LR8, LR4</v>
      </c>
      <c r="C160" s="96" t="str">
        <f t="shared" si="7"/>
        <v>6, 10 km</v>
      </c>
      <c r="D160" s="96" t="str">
        <f t="shared" si="7"/>
        <v>TBD</v>
      </c>
      <c r="E160" s="107">
        <f>'Products x speed'!E171</f>
        <v>0</v>
      </c>
      <c r="F160" s="107">
        <f>'Products x speed'!F171</f>
        <v>0</v>
      </c>
      <c r="G160" s="107"/>
      <c r="H160" s="107"/>
      <c r="I160" s="107"/>
      <c r="J160" s="107"/>
      <c r="K160" s="107"/>
      <c r="L160" s="107"/>
      <c r="M160" s="107"/>
      <c r="N160" s="107"/>
      <c r="O160" s="107"/>
      <c r="P160" s="638"/>
    </row>
    <row r="161" spans="2:16" s="100" customFormat="1">
      <c r="B161" s="95" t="str">
        <f t="shared" si="7"/>
        <v>800G ZRlite</v>
      </c>
      <c r="C161" s="96" t="str">
        <f t="shared" si="7"/>
        <v>10 km, 20 km</v>
      </c>
      <c r="D161" s="96" t="str">
        <f t="shared" si="7"/>
        <v>TBD</v>
      </c>
      <c r="E161" s="107">
        <f>'Products x speed'!E172</f>
        <v>0</v>
      </c>
      <c r="F161" s="107">
        <f>'Products x speed'!F172</f>
        <v>0</v>
      </c>
      <c r="G161" s="107"/>
      <c r="H161" s="107"/>
      <c r="I161" s="107"/>
      <c r="J161" s="107"/>
      <c r="K161" s="107"/>
      <c r="L161" s="107"/>
      <c r="M161" s="107"/>
      <c r="N161" s="107"/>
      <c r="O161" s="107"/>
      <c r="P161" s="638"/>
    </row>
    <row r="162" spans="2:16" s="100" customFormat="1">
      <c r="B162" s="91" t="str">
        <f t="shared" si="7"/>
        <v>800G ER4</v>
      </c>
      <c r="C162" s="92" t="str">
        <f t="shared" si="7"/>
        <v>40 km</v>
      </c>
      <c r="D162" s="92" t="str">
        <f t="shared" si="7"/>
        <v>TBD</v>
      </c>
      <c r="E162" s="106">
        <f>'Products x speed'!E173</f>
        <v>0</v>
      </c>
      <c r="F162" s="106">
        <f>'Products x speed'!F173</f>
        <v>0</v>
      </c>
      <c r="G162" s="106"/>
      <c r="H162" s="106"/>
      <c r="I162" s="106"/>
      <c r="J162" s="106"/>
      <c r="K162" s="106"/>
      <c r="L162" s="106"/>
      <c r="M162" s="106"/>
      <c r="N162" s="106"/>
      <c r="O162" s="106"/>
      <c r="P162" s="638"/>
    </row>
    <row r="163" spans="2:16" s="100" customFormat="1">
      <c r="B163" s="95" t="str">
        <f t="shared" si="7"/>
        <v>1.6T SR16</v>
      </c>
      <c r="C163" s="96" t="str">
        <f t="shared" si="7"/>
        <v>100 m</v>
      </c>
      <c r="D163" s="96" t="str">
        <f t="shared" si="7"/>
        <v>OSFP-XD and TBD</v>
      </c>
      <c r="E163" s="107">
        <f>'Products x speed'!E174</f>
        <v>0</v>
      </c>
      <c r="F163" s="107">
        <f>'Products x speed'!F174</f>
        <v>0</v>
      </c>
      <c r="G163" s="107"/>
      <c r="H163" s="107"/>
      <c r="I163" s="107"/>
      <c r="J163" s="107"/>
      <c r="K163" s="107"/>
      <c r="L163" s="107"/>
      <c r="M163" s="107"/>
      <c r="N163" s="107"/>
      <c r="O163" s="107"/>
      <c r="P163" s="638"/>
    </row>
    <row r="164" spans="2:16" s="100" customFormat="1">
      <c r="B164" s="95" t="str">
        <f t="shared" si="7"/>
        <v>1.6T DR8</v>
      </c>
      <c r="C164" s="96" t="str">
        <f t="shared" si="7"/>
        <v>500 m</v>
      </c>
      <c r="D164" s="96" t="str">
        <f t="shared" si="7"/>
        <v>OSFP-XD and TBD</v>
      </c>
      <c r="E164" s="107">
        <f>'Products x speed'!E175</f>
        <v>0</v>
      </c>
      <c r="F164" s="107">
        <f>'Products x speed'!F175</f>
        <v>0</v>
      </c>
      <c r="G164" s="107"/>
      <c r="H164" s="107"/>
      <c r="I164" s="107"/>
      <c r="J164" s="107"/>
      <c r="K164" s="107"/>
      <c r="L164" s="107"/>
      <c r="M164" s="107"/>
      <c r="N164" s="107"/>
      <c r="O164" s="107"/>
      <c r="P164" s="638"/>
    </row>
    <row r="165" spans="2:16" s="100" customFormat="1">
      <c r="B165" s="95" t="str">
        <f t="shared" si="7"/>
        <v>1.6T FR8</v>
      </c>
      <c r="C165" s="96" t="str">
        <f t="shared" si="7"/>
        <v>2 km</v>
      </c>
      <c r="D165" s="96" t="str">
        <f t="shared" si="7"/>
        <v>OSFP-XD and TBD</v>
      </c>
      <c r="E165" s="107">
        <f>'Products x speed'!E176</f>
        <v>0</v>
      </c>
      <c r="F165" s="107">
        <f>'Products x speed'!F176</f>
        <v>0</v>
      </c>
      <c r="G165" s="107"/>
      <c r="H165" s="107"/>
      <c r="I165" s="107"/>
      <c r="J165" s="107"/>
      <c r="K165" s="107"/>
      <c r="L165" s="107"/>
      <c r="M165" s="107"/>
      <c r="N165" s="107"/>
      <c r="O165" s="107"/>
      <c r="P165" s="638"/>
    </row>
    <row r="166" spans="2:16" s="100" customFormat="1">
      <c r="B166" s="95" t="str">
        <f t="shared" si="7"/>
        <v>1.6T LR8</v>
      </c>
      <c r="C166" s="96" t="str">
        <f t="shared" si="7"/>
        <v>10 km</v>
      </c>
      <c r="D166" s="96" t="str">
        <f t="shared" si="7"/>
        <v>OSFP-XD and TBD</v>
      </c>
      <c r="E166" s="107">
        <f>'Products x speed'!E177</f>
        <v>0</v>
      </c>
      <c r="F166" s="107">
        <f>'Products x speed'!F177</f>
        <v>0</v>
      </c>
      <c r="G166" s="107"/>
      <c r="H166" s="107"/>
      <c r="I166" s="107"/>
      <c r="J166" s="107"/>
      <c r="K166" s="107"/>
      <c r="L166" s="107"/>
      <c r="M166" s="107"/>
      <c r="N166" s="107"/>
      <c r="O166" s="107"/>
      <c r="P166" s="638"/>
    </row>
    <row r="167" spans="2:16" s="100" customFormat="1">
      <c r="B167" s="91" t="str">
        <f t="shared" si="7"/>
        <v>1.6T ER8</v>
      </c>
      <c r="C167" s="92" t="str">
        <f t="shared" si="7"/>
        <v>&gt;10 km</v>
      </c>
      <c r="D167" s="92" t="str">
        <f t="shared" si="7"/>
        <v>OSFP-XD and TBD</v>
      </c>
      <c r="E167" s="106">
        <f>'Products x speed'!E178</f>
        <v>0</v>
      </c>
      <c r="F167" s="106">
        <f>'Products x speed'!F178</f>
        <v>0</v>
      </c>
      <c r="G167" s="106"/>
      <c r="H167" s="106"/>
      <c r="I167" s="106"/>
      <c r="J167" s="106"/>
      <c r="K167" s="106"/>
      <c r="L167" s="106"/>
      <c r="M167" s="106"/>
      <c r="N167" s="106"/>
      <c r="O167" s="106"/>
      <c r="P167" s="638"/>
    </row>
    <row r="168" spans="2:16" s="100" customFormat="1">
      <c r="B168" s="95" t="str">
        <f t="shared" si="7"/>
        <v>3.2T SR</v>
      </c>
      <c r="C168" s="96" t="str">
        <f t="shared" si="7"/>
        <v>100 m</v>
      </c>
      <c r="D168" s="96" t="str">
        <f t="shared" si="7"/>
        <v>OSFP-XD and TBD</v>
      </c>
      <c r="E168" s="107">
        <f>'Products x speed'!E179</f>
        <v>0</v>
      </c>
      <c r="F168" s="107">
        <f>'Products x speed'!F179</f>
        <v>0</v>
      </c>
      <c r="G168" s="107"/>
      <c r="H168" s="107"/>
      <c r="I168" s="107"/>
      <c r="J168" s="107"/>
      <c r="K168" s="107"/>
      <c r="L168" s="107"/>
      <c r="M168" s="107"/>
      <c r="N168" s="107"/>
      <c r="O168" s="107"/>
      <c r="P168" s="638"/>
    </row>
    <row r="169" spans="2:16" s="100" customFormat="1">
      <c r="B169" s="95" t="str">
        <f t="shared" si="7"/>
        <v>3.2T DR</v>
      </c>
      <c r="C169" s="96" t="str">
        <f t="shared" si="7"/>
        <v>500 m</v>
      </c>
      <c r="D169" s="96" t="str">
        <f t="shared" si="7"/>
        <v>OSFP-XD and TBD</v>
      </c>
      <c r="E169" s="107">
        <f>'Products x speed'!E180</f>
        <v>0</v>
      </c>
      <c r="F169" s="107">
        <f>'Products x speed'!F180</f>
        <v>0</v>
      </c>
      <c r="G169" s="107"/>
      <c r="H169" s="107"/>
      <c r="I169" s="107"/>
      <c r="J169" s="107"/>
      <c r="K169" s="107"/>
      <c r="L169" s="107"/>
      <c r="M169" s="107"/>
      <c r="N169" s="107"/>
      <c r="O169" s="107"/>
      <c r="P169" s="638"/>
    </row>
    <row r="170" spans="2:16" s="100" customFormat="1">
      <c r="B170" s="95" t="str">
        <f t="shared" si="7"/>
        <v>3.2T FR</v>
      </c>
      <c r="C170" s="96" t="str">
        <f t="shared" si="7"/>
        <v>2 km</v>
      </c>
      <c r="D170" s="96" t="str">
        <f t="shared" si="7"/>
        <v>OSFP-XD and TBD</v>
      </c>
      <c r="E170" s="107">
        <f>'Products x speed'!E181</f>
        <v>0</v>
      </c>
      <c r="F170" s="107">
        <f>'Products x speed'!F181</f>
        <v>0</v>
      </c>
      <c r="G170" s="107"/>
      <c r="H170" s="107"/>
      <c r="I170" s="107"/>
      <c r="J170" s="107"/>
      <c r="K170" s="107"/>
      <c r="L170" s="107"/>
      <c r="M170" s="107"/>
      <c r="N170" s="107"/>
      <c r="O170" s="107"/>
      <c r="P170" s="638"/>
    </row>
    <row r="171" spans="2:16" s="100" customFormat="1">
      <c r="B171" s="95" t="str">
        <f t="shared" si="7"/>
        <v>3.2T LR</v>
      </c>
      <c r="C171" s="96" t="str">
        <f t="shared" si="7"/>
        <v>10 km</v>
      </c>
      <c r="D171" s="96" t="str">
        <f t="shared" si="7"/>
        <v>OSFP-XD and TBD</v>
      </c>
      <c r="E171" s="107">
        <f>'Products x speed'!E182</f>
        <v>0</v>
      </c>
      <c r="F171" s="107">
        <f>'Products x speed'!F182</f>
        <v>0</v>
      </c>
      <c r="G171" s="107"/>
      <c r="H171" s="107"/>
      <c r="I171" s="107"/>
      <c r="J171" s="107"/>
      <c r="K171" s="107"/>
      <c r="L171" s="107"/>
      <c r="M171" s="107"/>
      <c r="N171" s="107"/>
      <c r="O171" s="107"/>
      <c r="P171" s="638"/>
    </row>
    <row r="172" spans="2:16" s="100" customFormat="1">
      <c r="B172" s="95" t="str">
        <f t="shared" si="7"/>
        <v>3.2T ER</v>
      </c>
      <c r="C172" s="96" t="str">
        <f t="shared" si="7"/>
        <v>&gt;10 km</v>
      </c>
      <c r="D172" s="96" t="str">
        <f t="shared" si="7"/>
        <v>OSFP-XD and TBD</v>
      </c>
      <c r="E172" s="107">
        <f>'Products x speed'!E183</f>
        <v>0</v>
      </c>
      <c r="F172" s="107">
        <f>'Products x speed'!F183</f>
        <v>0</v>
      </c>
      <c r="G172" s="107"/>
      <c r="H172" s="107"/>
      <c r="I172" s="107"/>
      <c r="J172" s="107"/>
      <c r="K172" s="107"/>
      <c r="L172" s="107"/>
      <c r="M172" s="107"/>
      <c r="N172" s="107"/>
      <c r="O172" s="107"/>
      <c r="P172" s="638"/>
    </row>
    <row r="173" spans="2:16" s="100" customFormat="1">
      <c r="B173" s="91"/>
      <c r="C173" s="92"/>
      <c r="D173" s="92"/>
      <c r="E173" s="107">
        <f>'Products x speed'!E184</f>
        <v>0</v>
      </c>
      <c r="F173" s="107">
        <f>'Products x speed'!F184</f>
        <v>0</v>
      </c>
      <c r="G173" s="107"/>
      <c r="H173" s="107"/>
      <c r="I173" s="107"/>
      <c r="J173" s="107"/>
      <c r="K173" s="107"/>
      <c r="L173" s="107"/>
      <c r="M173" s="107"/>
      <c r="N173" s="107"/>
      <c r="O173" s="107"/>
      <c r="P173" s="638"/>
    </row>
    <row r="174" spans="2:16">
      <c r="B174" s="44" t="s">
        <v>20</v>
      </c>
      <c r="C174" s="45"/>
      <c r="D174" s="45"/>
      <c r="E174" s="110">
        <f t="shared" ref="E174:O174" si="8">IF(E89=0,,E259*10^6/E89)</f>
        <v>28.127948480290783</v>
      </c>
      <c r="F174" s="110">
        <f t="shared" si="8"/>
        <v>27.960426281351427</v>
      </c>
      <c r="G174" s="110">
        <f t="shared" si="8"/>
        <v>0</v>
      </c>
      <c r="H174" s="110">
        <f t="shared" si="8"/>
        <v>0</v>
      </c>
      <c r="I174" s="110">
        <f t="shared" si="8"/>
        <v>0</v>
      </c>
      <c r="J174" s="110">
        <f t="shared" si="8"/>
        <v>0</v>
      </c>
      <c r="K174" s="110">
        <f t="shared" si="8"/>
        <v>0</v>
      </c>
      <c r="L174" s="110">
        <f t="shared" si="8"/>
        <v>0</v>
      </c>
      <c r="M174" s="110">
        <f t="shared" si="8"/>
        <v>0</v>
      </c>
      <c r="N174" s="110">
        <f t="shared" si="8"/>
        <v>0</v>
      </c>
      <c r="O174" s="110">
        <f t="shared" si="8"/>
        <v>0</v>
      </c>
      <c r="P174" s="638"/>
    </row>
    <row r="177" spans="2:15" ht="21">
      <c r="B177" s="15" t="s">
        <v>29</v>
      </c>
      <c r="C177" s="14"/>
      <c r="D177" s="14"/>
    </row>
    <row r="178" spans="2:15">
      <c r="B178" s="361" t="str">
        <f>B6</f>
        <v>Data Rate</v>
      </c>
      <c r="C178" s="362" t="str">
        <f>C6</f>
        <v>Reach</v>
      </c>
      <c r="D178" s="362" t="str">
        <f>D6</f>
        <v>Form Factor</v>
      </c>
      <c r="E178" s="267">
        <v>2016</v>
      </c>
      <c r="F178" s="267">
        <v>2017</v>
      </c>
      <c r="G178" s="267">
        <v>2018</v>
      </c>
      <c r="H178" s="267">
        <v>2019</v>
      </c>
      <c r="I178" s="267">
        <v>2020</v>
      </c>
      <c r="J178" s="267">
        <v>2021</v>
      </c>
      <c r="K178" s="267">
        <v>2022</v>
      </c>
      <c r="L178" s="267">
        <v>2023</v>
      </c>
      <c r="M178" s="267">
        <v>2024</v>
      </c>
      <c r="N178" s="267">
        <v>2025</v>
      </c>
      <c r="O178" s="267">
        <v>2026</v>
      </c>
    </row>
    <row r="179" spans="2:15">
      <c r="B179" s="87" t="str">
        <f t="shared" ref="B179:D198" si="9">B9</f>
        <v>1G</v>
      </c>
      <c r="C179" s="88" t="str">
        <f t="shared" si="9"/>
        <v>500 m</v>
      </c>
      <c r="D179" s="89" t="str">
        <f t="shared" si="9"/>
        <v>SFP</v>
      </c>
      <c r="E179" s="112">
        <f t="shared" ref="E179:F179" si="10">IF(E9=0,,E9*E94/10^6)</f>
        <v>45.763121065</v>
      </c>
      <c r="F179" s="112">
        <f t="shared" si="10"/>
        <v>38.398107000000003</v>
      </c>
      <c r="G179" s="112"/>
      <c r="H179" s="112"/>
      <c r="I179" s="112"/>
      <c r="J179" s="112"/>
      <c r="K179" s="112"/>
      <c r="L179" s="112"/>
      <c r="M179" s="112"/>
      <c r="N179" s="112"/>
      <c r="O179" s="112"/>
    </row>
    <row r="180" spans="2:15">
      <c r="B180" s="95" t="str">
        <f t="shared" si="9"/>
        <v>1G</v>
      </c>
      <c r="C180" s="96" t="str">
        <f t="shared" si="9"/>
        <v>10 km</v>
      </c>
      <c r="D180" s="97" t="str">
        <f t="shared" si="9"/>
        <v>SFP</v>
      </c>
      <c r="E180" s="114">
        <f t="shared" ref="E180:F180" si="11">IF(E10=0,,E10*E95/10^6)</f>
        <v>68.368952488320005</v>
      </c>
      <c r="F180" s="114">
        <f t="shared" si="11"/>
        <v>44.911555344168413</v>
      </c>
      <c r="G180" s="114"/>
      <c r="H180" s="114"/>
      <c r="I180" s="114"/>
      <c r="J180" s="114"/>
      <c r="K180" s="114"/>
      <c r="L180" s="114"/>
      <c r="M180" s="114"/>
      <c r="N180" s="114"/>
      <c r="O180" s="114"/>
    </row>
    <row r="181" spans="2:15">
      <c r="B181" s="95" t="str">
        <f t="shared" si="9"/>
        <v>1G</v>
      </c>
      <c r="C181" s="96" t="str">
        <f t="shared" si="9"/>
        <v>40 km</v>
      </c>
      <c r="D181" s="97" t="str">
        <f t="shared" si="9"/>
        <v>SFP</v>
      </c>
      <c r="E181" s="114">
        <f t="shared" ref="E181:F181" si="12">IF(E11=0,,E11*E96/10^6)</f>
        <v>4.0007415413598748</v>
      </c>
      <c r="F181" s="114">
        <f t="shared" si="12"/>
        <v>2.6908476678133564</v>
      </c>
      <c r="G181" s="114"/>
      <c r="H181" s="114"/>
      <c r="I181" s="114"/>
      <c r="J181" s="114"/>
      <c r="K181" s="114"/>
      <c r="L181" s="114"/>
      <c r="M181" s="114"/>
      <c r="N181" s="114"/>
      <c r="O181" s="114"/>
    </row>
    <row r="182" spans="2:15">
      <c r="B182" s="95" t="str">
        <f t="shared" si="9"/>
        <v>1G</v>
      </c>
      <c r="C182" s="96" t="str">
        <f t="shared" si="9"/>
        <v>80 km</v>
      </c>
      <c r="D182" s="97" t="str">
        <f t="shared" si="9"/>
        <v>SFP</v>
      </c>
      <c r="E182" s="114">
        <f t="shared" ref="E182:F183" si="13">IF(E12=0,,E12*E97/10^6)</f>
        <v>0</v>
      </c>
      <c r="F182" s="114">
        <f t="shared" si="13"/>
        <v>0</v>
      </c>
      <c r="G182" s="114"/>
      <c r="H182" s="114"/>
      <c r="I182" s="114"/>
      <c r="J182" s="114"/>
      <c r="K182" s="114"/>
      <c r="L182" s="114"/>
      <c r="M182" s="114"/>
      <c r="N182" s="114"/>
      <c r="O182" s="114"/>
    </row>
    <row r="183" spans="2:15">
      <c r="B183" s="91" t="str">
        <f t="shared" si="9"/>
        <v>1G &amp; Fast Ethernet</v>
      </c>
      <c r="C183" s="92" t="str">
        <f t="shared" si="9"/>
        <v>Various</v>
      </c>
      <c r="D183" s="93" t="str">
        <f t="shared" si="9"/>
        <v>Legacy/discontinued</v>
      </c>
      <c r="E183" s="696">
        <f t="shared" si="13"/>
        <v>1.8</v>
      </c>
      <c r="F183" s="113"/>
      <c r="G183" s="113"/>
      <c r="H183" s="113"/>
      <c r="I183" s="113"/>
      <c r="J183" s="113"/>
      <c r="K183" s="113"/>
      <c r="L183" s="113"/>
      <c r="M183" s="113"/>
      <c r="N183" s="113"/>
      <c r="O183" s="113"/>
    </row>
    <row r="184" spans="2:15">
      <c r="B184" s="95" t="str">
        <f t="shared" si="9"/>
        <v>10G</v>
      </c>
      <c r="C184" s="96" t="str">
        <f t="shared" si="9"/>
        <v>300 m</v>
      </c>
      <c r="D184" s="97" t="str">
        <f t="shared" si="9"/>
        <v>XFP</v>
      </c>
      <c r="E184" s="114">
        <f t="shared" ref="E184:F184" si="14">IF(E14=0,,E14*E99/10^6)</f>
        <v>7.6676450000000003</v>
      </c>
      <c r="F184" s="114">
        <f t="shared" si="14"/>
        <v>4.9103659999999998</v>
      </c>
      <c r="G184" s="114"/>
      <c r="H184" s="114"/>
      <c r="I184" s="114"/>
      <c r="J184" s="114"/>
      <c r="K184" s="114"/>
      <c r="L184" s="114"/>
      <c r="M184" s="114"/>
      <c r="N184" s="114"/>
      <c r="O184" s="114"/>
    </row>
    <row r="185" spans="2:15">
      <c r="B185" s="95" t="str">
        <f t="shared" si="9"/>
        <v>10G</v>
      </c>
      <c r="C185" s="96" t="str">
        <f t="shared" si="9"/>
        <v>300 m</v>
      </c>
      <c r="D185" s="97" t="str">
        <f t="shared" si="9"/>
        <v>SFP+</v>
      </c>
      <c r="E185" s="114">
        <f t="shared" ref="E185:F185" si="15">IF(E15=0,,E15*E100/10^6)</f>
        <v>105.0129979257368</v>
      </c>
      <c r="F185" s="114">
        <f t="shared" si="15"/>
        <v>101.65250201262458</v>
      </c>
      <c r="G185" s="114"/>
      <c r="H185" s="114"/>
      <c r="I185" s="114"/>
      <c r="J185" s="114"/>
      <c r="K185" s="114"/>
      <c r="L185" s="114"/>
      <c r="M185" s="114"/>
      <c r="N185" s="114"/>
      <c r="O185" s="114"/>
    </row>
    <row r="186" spans="2:15">
      <c r="B186" s="95" t="str">
        <f t="shared" si="9"/>
        <v>10G LRM</v>
      </c>
      <c r="C186" s="96" t="str">
        <f t="shared" si="9"/>
        <v>220 m</v>
      </c>
      <c r="D186" s="97" t="str">
        <f t="shared" si="9"/>
        <v>SFP+</v>
      </c>
      <c r="E186" s="114">
        <f t="shared" ref="E186:F186" si="16">IF(E16=0,,E16*E101/10^6)</f>
        <v>9.5352954367439988</v>
      </c>
      <c r="F186" s="114">
        <f t="shared" si="16"/>
        <v>7.2161380000000008</v>
      </c>
      <c r="G186" s="114"/>
      <c r="H186" s="114"/>
      <c r="I186" s="114"/>
      <c r="J186" s="114"/>
      <c r="K186" s="114"/>
      <c r="L186" s="114"/>
      <c r="M186" s="114"/>
      <c r="N186" s="114"/>
      <c r="O186" s="114"/>
    </row>
    <row r="187" spans="2:15">
      <c r="B187" s="95" t="str">
        <f t="shared" si="9"/>
        <v>10G</v>
      </c>
      <c r="C187" s="96" t="str">
        <f t="shared" si="9"/>
        <v>10 km</v>
      </c>
      <c r="D187" s="97" t="str">
        <f t="shared" si="9"/>
        <v>XFP</v>
      </c>
      <c r="E187" s="114">
        <f t="shared" ref="E187:F187" si="17">IF(E17=0,,E17*E102/10^6)</f>
        <v>2.4788111911319652</v>
      </c>
      <c r="F187" s="114">
        <f t="shared" si="17"/>
        <v>1.0137861666814094</v>
      </c>
      <c r="G187" s="114"/>
      <c r="H187" s="114"/>
      <c r="I187" s="114"/>
      <c r="J187" s="114"/>
      <c r="K187" s="114"/>
      <c r="L187" s="114"/>
      <c r="M187" s="114"/>
      <c r="N187" s="114"/>
      <c r="O187" s="114"/>
    </row>
    <row r="188" spans="2:15">
      <c r="B188" s="95" t="str">
        <f t="shared" si="9"/>
        <v>10G</v>
      </c>
      <c r="C188" s="96" t="str">
        <f t="shared" si="9"/>
        <v>10 km</v>
      </c>
      <c r="D188" s="97" t="str">
        <f t="shared" si="9"/>
        <v>SFP+</v>
      </c>
      <c r="E188" s="114">
        <f t="shared" ref="E188:F188" si="18">IF(E18=0,,E18*E103/10^6)</f>
        <v>130.49040453370736</v>
      </c>
      <c r="F188" s="114">
        <f t="shared" si="18"/>
        <v>110.71376568456579</v>
      </c>
      <c r="G188" s="114"/>
      <c r="H188" s="114"/>
      <c r="I188" s="114"/>
      <c r="J188" s="114"/>
      <c r="K188" s="114"/>
      <c r="L188" s="114"/>
      <c r="M188" s="114"/>
      <c r="N188" s="114"/>
      <c r="O188" s="114"/>
    </row>
    <row r="189" spans="2:15">
      <c r="B189" s="95" t="str">
        <f t="shared" si="9"/>
        <v>10G</v>
      </c>
      <c r="C189" s="96" t="str">
        <f t="shared" si="9"/>
        <v>40 km</v>
      </c>
      <c r="D189" s="97" t="str">
        <f t="shared" si="9"/>
        <v>XFP</v>
      </c>
      <c r="E189" s="114">
        <f t="shared" ref="E189:F189" si="19">IF(E19=0,,E19*E104/10^6)</f>
        <v>0</v>
      </c>
      <c r="F189" s="114">
        <f t="shared" si="19"/>
        <v>0</v>
      </c>
      <c r="G189" s="114"/>
      <c r="H189" s="114"/>
      <c r="I189" s="114"/>
      <c r="J189" s="114"/>
      <c r="K189" s="114"/>
      <c r="L189" s="114"/>
      <c r="M189" s="114"/>
      <c r="N189" s="114"/>
      <c r="O189" s="114"/>
    </row>
    <row r="190" spans="2:15">
      <c r="B190" s="95" t="str">
        <f t="shared" si="9"/>
        <v>10G</v>
      </c>
      <c r="C190" s="96" t="str">
        <f t="shared" si="9"/>
        <v>40 km</v>
      </c>
      <c r="D190" s="97" t="str">
        <f t="shared" si="9"/>
        <v>SFP+</v>
      </c>
      <c r="E190" s="114">
        <f t="shared" ref="E190:F190" si="20">IF(E20=0,,E20*E105/10^6)</f>
        <v>9.8628511139439148</v>
      </c>
      <c r="F190" s="114">
        <f t="shared" si="20"/>
        <v>10.060373953390915</v>
      </c>
      <c r="G190" s="114"/>
      <c r="H190" s="114"/>
      <c r="I190" s="114"/>
      <c r="J190" s="114"/>
      <c r="K190" s="114"/>
      <c r="L190" s="114"/>
      <c r="M190" s="114"/>
      <c r="N190" s="114"/>
      <c r="O190" s="114"/>
    </row>
    <row r="191" spans="2:15">
      <c r="B191" s="95" t="str">
        <f t="shared" si="9"/>
        <v>10G</v>
      </c>
      <c r="C191" s="96" t="str">
        <f t="shared" si="9"/>
        <v>80 km</v>
      </c>
      <c r="D191" s="97" t="str">
        <f t="shared" si="9"/>
        <v>XFP</v>
      </c>
      <c r="E191" s="114">
        <f t="shared" ref="E191:F191" si="21">IF(E21=0,,E21*E106/10^6)</f>
        <v>0</v>
      </c>
      <c r="F191" s="114">
        <f t="shared" si="21"/>
        <v>0</v>
      </c>
      <c r="G191" s="114"/>
      <c r="H191" s="114"/>
      <c r="I191" s="114"/>
      <c r="J191" s="114"/>
      <c r="K191" s="114"/>
      <c r="L191" s="114"/>
      <c r="M191" s="114"/>
      <c r="N191" s="114"/>
      <c r="O191" s="114"/>
    </row>
    <row r="192" spans="2:15">
      <c r="B192" s="95" t="str">
        <f t="shared" si="9"/>
        <v>10G</v>
      </c>
      <c r="C192" s="96" t="str">
        <f t="shared" si="9"/>
        <v>80 km</v>
      </c>
      <c r="D192" s="97" t="str">
        <f t="shared" si="9"/>
        <v>SFP+</v>
      </c>
      <c r="E192" s="114">
        <f t="shared" ref="E192:F193" si="22">IF(E22=0,,E22*E107/10^6)</f>
        <v>0</v>
      </c>
      <c r="F192" s="114">
        <f t="shared" si="22"/>
        <v>0</v>
      </c>
      <c r="G192" s="114"/>
      <c r="H192" s="114"/>
      <c r="I192" s="114"/>
      <c r="J192" s="114"/>
      <c r="K192" s="114"/>
      <c r="L192" s="114"/>
      <c r="M192" s="114"/>
      <c r="N192" s="114"/>
      <c r="O192" s="114"/>
    </row>
    <row r="193" spans="2:15">
      <c r="B193" s="95" t="str">
        <f t="shared" si="9"/>
        <v>10G</v>
      </c>
      <c r="C193" s="96" t="str">
        <f t="shared" si="9"/>
        <v>Various</v>
      </c>
      <c r="D193" s="97" t="str">
        <f t="shared" si="9"/>
        <v>Legacy/discontinued</v>
      </c>
      <c r="E193" s="696">
        <f t="shared" si="22"/>
        <v>3.2231545150000001</v>
      </c>
      <c r="F193" s="113">
        <f t="shared" si="22"/>
        <v>1.1468830000000003</v>
      </c>
      <c r="G193" s="114"/>
      <c r="H193" s="114"/>
      <c r="I193" s="114"/>
      <c r="J193" s="114"/>
      <c r="K193" s="114"/>
      <c r="L193" s="114"/>
      <c r="M193" s="114"/>
      <c r="N193" s="114"/>
      <c r="O193" s="114"/>
    </row>
    <row r="194" spans="2:15">
      <c r="B194" s="87" t="str">
        <f t="shared" si="9"/>
        <v>25G SR, eSR</v>
      </c>
      <c r="C194" s="88" t="str">
        <f t="shared" si="9"/>
        <v>100 - 300 m</v>
      </c>
      <c r="D194" s="89" t="str">
        <f t="shared" si="9"/>
        <v>SFP28</v>
      </c>
      <c r="E194" s="112">
        <f t="shared" ref="E194:F194" si="23">IF(E24=0,,E24*E109/10^6)</f>
        <v>1.3373250000000001</v>
      </c>
      <c r="F194" s="112">
        <f t="shared" si="23"/>
        <v>13.527578999999998</v>
      </c>
      <c r="G194" s="112"/>
      <c r="H194" s="112"/>
      <c r="I194" s="112"/>
      <c r="J194" s="112"/>
      <c r="K194" s="112"/>
      <c r="L194" s="112"/>
      <c r="M194" s="112"/>
      <c r="N194" s="112"/>
      <c r="O194" s="112"/>
    </row>
    <row r="195" spans="2:15">
      <c r="B195" s="95" t="str">
        <f t="shared" si="9"/>
        <v>25G LR</v>
      </c>
      <c r="C195" s="96" t="str">
        <f t="shared" si="9"/>
        <v>10 km</v>
      </c>
      <c r="D195" s="97" t="str">
        <f t="shared" si="9"/>
        <v>SFP28</v>
      </c>
      <c r="E195" s="114">
        <f t="shared" ref="E195:F195" si="24">IF(E25=0,,E25*E110/10^6)</f>
        <v>1.4524867000000001</v>
      </c>
      <c r="F195" s="114">
        <f t="shared" si="24"/>
        <v>3.961647414839963</v>
      </c>
      <c r="G195" s="114"/>
      <c r="H195" s="114"/>
      <c r="I195" s="114"/>
      <c r="J195" s="114"/>
      <c r="K195" s="114"/>
      <c r="L195" s="114"/>
      <c r="M195" s="114"/>
      <c r="N195" s="114"/>
      <c r="O195" s="114"/>
    </row>
    <row r="196" spans="2:15">
      <c r="B196" s="91" t="str">
        <f t="shared" si="9"/>
        <v>25G ER</v>
      </c>
      <c r="C196" s="92" t="str">
        <f t="shared" si="9"/>
        <v>40 km</v>
      </c>
      <c r="D196" s="93" t="str">
        <f t="shared" si="9"/>
        <v>SFP28</v>
      </c>
      <c r="E196" s="113">
        <f t="shared" ref="E196:F196" si="25">IF(E26=0,,E26*E111/10^6)</f>
        <v>0</v>
      </c>
      <c r="F196" s="113">
        <f t="shared" si="25"/>
        <v>0</v>
      </c>
      <c r="G196" s="113"/>
      <c r="H196" s="113"/>
      <c r="I196" s="113"/>
      <c r="J196" s="113"/>
      <c r="K196" s="113"/>
      <c r="L196" s="113"/>
      <c r="M196" s="113"/>
      <c r="N196" s="113"/>
      <c r="O196" s="113"/>
    </row>
    <row r="197" spans="2:15">
      <c r="B197" s="95" t="str">
        <f t="shared" si="9"/>
        <v>40G SR4</v>
      </c>
      <c r="C197" s="96" t="str">
        <f t="shared" si="9"/>
        <v>100 m</v>
      </c>
      <c r="D197" s="97" t="str">
        <f t="shared" si="9"/>
        <v>QSFP+</v>
      </c>
      <c r="E197" s="112">
        <f t="shared" ref="E197:F197" si="26">IF(E27=0,,E27*E112/10^6)</f>
        <v>6.1814562208888901</v>
      </c>
      <c r="F197" s="112">
        <f t="shared" si="26"/>
        <v>6.3806447873340728</v>
      </c>
      <c r="G197" s="112"/>
      <c r="H197" s="112"/>
      <c r="I197" s="112"/>
      <c r="J197" s="112"/>
      <c r="K197" s="112"/>
      <c r="L197" s="112"/>
      <c r="M197" s="112"/>
      <c r="N197" s="112"/>
      <c r="O197" s="112"/>
    </row>
    <row r="198" spans="2:15">
      <c r="B198" s="95" t="str">
        <f t="shared" si="9"/>
        <v>40G MM duplex</v>
      </c>
      <c r="C198" s="96" t="str">
        <f t="shared" si="9"/>
        <v>100 m</v>
      </c>
      <c r="D198" s="97" t="str">
        <f t="shared" si="9"/>
        <v>QSFP+</v>
      </c>
      <c r="E198" s="114">
        <f t="shared" ref="E198:F198" si="27">IF(E28=0,,E28*E113/10^6)</f>
        <v>153.5735</v>
      </c>
      <c r="F198" s="114">
        <f t="shared" si="27"/>
        <v>180.12456</v>
      </c>
      <c r="G198" s="114"/>
      <c r="H198" s="114"/>
      <c r="I198" s="114"/>
      <c r="J198" s="114"/>
      <c r="K198" s="114"/>
      <c r="L198" s="114"/>
      <c r="M198" s="114"/>
      <c r="N198" s="114"/>
      <c r="O198" s="114"/>
    </row>
    <row r="199" spans="2:15">
      <c r="B199" s="95" t="str">
        <f t="shared" ref="B199:D218" si="28">B29</f>
        <v>40G eSR4</v>
      </c>
      <c r="C199" s="96" t="str">
        <f t="shared" si="28"/>
        <v>300 m</v>
      </c>
      <c r="D199" s="97" t="str">
        <f t="shared" si="28"/>
        <v>QSFP+</v>
      </c>
      <c r="E199" s="114">
        <f t="shared" ref="E199:F199" si="29">IF(E29=0,,E29*E114/10^6)</f>
        <v>2.9361883310000008</v>
      </c>
      <c r="F199" s="114">
        <f t="shared" si="29"/>
        <v>3.7789000000000006</v>
      </c>
      <c r="G199" s="114"/>
      <c r="H199" s="114"/>
      <c r="I199" s="114"/>
      <c r="J199" s="114"/>
      <c r="K199" s="114"/>
      <c r="L199" s="114"/>
      <c r="M199" s="114"/>
      <c r="N199" s="114"/>
      <c r="O199" s="114"/>
    </row>
    <row r="200" spans="2:15">
      <c r="B200" s="95" t="str">
        <f t="shared" si="28"/>
        <v>40 G PSM4</v>
      </c>
      <c r="C200" s="96" t="str">
        <f t="shared" si="28"/>
        <v>500 m</v>
      </c>
      <c r="D200" s="97" t="str">
        <f t="shared" si="28"/>
        <v>QSFP+</v>
      </c>
      <c r="E200" s="114">
        <f t="shared" ref="E200:F200" si="30">IF(E30=0,,E30*E115/10^6)</f>
        <v>0</v>
      </c>
      <c r="F200" s="114">
        <f t="shared" si="30"/>
        <v>0</v>
      </c>
      <c r="G200" s="114"/>
      <c r="H200" s="114"/>
      <c r="I200" s="114"/>
      <c r="J200" s="114"/>
      <c r="K200" s="114"/>
      <c r="L200" s="114"/>
      <c r="M200" s="114"/>
      <c r="N200" s="114"/>
      <c r="O200" s="114"/>
    </row>
    <row r="201" spans="2:15">
      <c r="B201" s="95" t="str">
        <f t="shared" si="28"/>
        <v>40G (FR)</v>
      </c>
      <c r="C201" s="96" t="str">
        <f t="shared" si="28"/>
        <v>2 km</v>
      </c>
      <c r="D201" s="97" t="str">
        <f t="shared" si="28"/>
        <v>CFP</v>
      </c>
      <c r="E201" s="114">
        <f t="shared" ref="E201:F201" si="31">IF(E31=0,,E31*E116/10^6)</f>
        <v>0</v>
      </c>
      <c r="F201" s="114">
        <f t="shared" si="31"/>
        <v>0</v>
      </c>
      <c r="G201" s="114"/>
      <c r="H201" s="114"/>
      <c r="I201" s="114"/>
      <c r="J201" s="114"/>
      <c r="K201" s="114"/>
      <c r="L201" s="114"/>
      <c r="M201" s="114"/>
      <c r="N201" s="114"/>
      <c r="O201" s="114"/>
    </row>
    <row r="202" spans="2:15">
      <c r="B202" s="95" t="str">
        <f t="shared" si="28"/>
        <v>40G (LR4 subspec)</v>
      </c>
      <c r="C202" s="96" t="str">
        <f t="shared" si="28"/>
        <v>2 km</v>
      </c>
      <c r="D202" s="97" t="str">
        <f t="shared" si="28"/>
        <v>QSFP+</v>
      </c>
      <c r="E202" s="114">
        <f t="shared" ref="E202:F202" si="32">IF(E32=0,,E32*E117/10^6)</f>
        <v>0</v>
      </c>
      <c r="F202" s="114">
        <f t="shared" si="32"/>
        <v>0</v>
      </c>
      <c r="G202" s="114"/>
      <c r="H202" s="114"/>
      <c r="I202" s="114"/>
      <c r="J202" s="114"/>
      <c r="K202" s="114"/>
      <c r="L202" s="114"/>
      <c r="M202" s="114"/>
      <c r="N202" s="114"/>
      <c r="O202" s="114"/>
    </row>
    <row r="203" spans="2:15">
      <c r="B203" s="95" t="str">
        <f t="shared" si="28"/>
        <v>40G</v>
      </c>
      <c r="C203" s="96" t="str">
        <f t="shared" si="28"/>
        <v>10 km</v>
      </c>
      <c r="D203" s="97" t="str">
        <f t="shared" si="28"/>
        <v>CFP</v>
      </c>
      <c r="E203" s="114">
        <f t="shared" ref="E203:F203" si="33">IF(E33=0,,E33*E118/10^6)</f>
        <v>0</v>
      </c>
      <c r="F203" s="114">
        <f t="shared" si="33"/>
        <v>0</v>
      </c>
      <c r="G203" s="114"/>
      <c r="H203" s="114"/>
      <c r="I203" s="114"/>
      <c r="J203" s="114"/>
      <c r="K203" s="114"/>
      <c r="L203" s="114"/>
      <c r="M203" s="114"/>
      <c r="N203" s="114"/>
      <c r="O203" s="114"/>
    </row>
    <row r="204" spans="2:15">
      <c r="B204" s="95" t="str">
        <f t="shared" si="28"/>
        <v>40G</v>
      </c>
      <c r="C204" s="96" t="str">
        <f t="shared" si="28"/>
        <v>10 km</v>
      </c>
      <c r="D204" s="97" t="str">
        <f t="shared" si="28"/>
        <v>QSFP+</v>
      </c>
      <c r="E204" s="114">
        <f t="shared" ref="E204:F204" si="34">IF(E34=0,,E34*E119/10^6)</f>
        <v>27.993134856470409</v>
      </c>
      <c r="F204" s="114">
        <f t="shared" si="34"/>
        <v>34.064636145078524</v>
      </c>
      <c r="G204" s="114"/>
      <c r="H204" s="114"/>
      <c r="I204" s="114"/>
      <c r="J204" s="114"/>
      <c r="K204" s="114"/>
      <c r="L204" s="114"/>
      <c r="M204" s="114"/>
      <c r="N204" s="114"/>
      <c r="O204" s="114"/>
    </row>
    <row r="205" spans="2:15">
      <c r="B205" s="95" t="str">
        <f t="shared" si="28"/>
        <v>40G</v>
      </c>
      <c r="C205" s="96" t="str">
        <f t="shared" si="28"/>
        <v>40 km</v>
      </c>
      <c r="D205" s="97" t="str">
        <f t="shared" si="28"/>
        <v>QSFP+</v>
      </c>
      <c r="E205" s="114">
        <f t="shared" ref="E205:F205" si="35">IF(E35=0,,E35*E120/10^6)</f>
        <v>3.6845739429673117</v>
      </c>
      <c r="F205" s="114">
        <f t="shared" si="35"/>
        <v>4.1218079805743022</v>
      </c>
      <c r="G205" s="114"/>
      <c r="H205" s="114"/>
      <c r="I205" s="114"/>
      <c r="J205" s="114"/>
      <c r="K205" s="114"/>
      <c r="L205" s="114"/>
      <c r="M205" s="114"/>
      <c r="N205" s="114"/>
      <c r="O205" s="114"/>
    </row>
    <row r="206" spans="2:15" s="100" customFormat="1">
      <c r="B206" s="87" t="str">
        <f t="shared" si="28"/>
        <v xml:space="preserve">50G </v>
      </c>
      <c r="C206" s="88" t="str">
        <f t="shared" si="28"/>
        <v>100 m</v>
      </c>
      <c r="D206" s="89" t="str">
        <f t="shared" si="28"/>
        <v>all</v>
      </c>
      <c r="E206" s="112">
        <f t="shared" ref="E206:F206" si="36">IF(E36=0,,E36*E121/10^6)</f>
        <v>0</v>
      </c>
      <c r="F206" s="112">
        <f t="shared" si="36"/>
        <v>0</v>
      </c>
      <c r="G206" s="112"/>
      <c r="H206" s="112"/>
      <c r="I206" s="112"/>
      <c r="J206" s="112"/>
      <c r="K206" s="112"/>
      <c r="L206" s="112"/>
      <c r="M206" s="112"/>
      <c r="N206" s="112"/>
      <c r="O206" s="112"/>
    </row>
    <row r="207" spans="2:15" s="100" customFormat="1">
      <c r="B207" s="95" t="str">
        <f t="shared" si="28"/>
        <v xml:space="preserve">50G </v>
      </c>
      <c r="C207" s="96" t="str">
        <f t="shared" si="28"/>
        <v>2 km</v>
      </c>
      <c r="D207" s="97" t="str">
        <f t="shared" si="28"/>
        <v>all</v>
      </c>
      <c r="E207" s="114">
        <f t="shared" ref="E207:F207" si="37">IF(E37=0,,E37*E122/10^6)</f>
        <v>0</v>
      </c>
      <c r="F207" s="114">
        <f t="shared" si="37"/>
        <v>0</v>
      </c>
      <c r="G207" s="114"/>
      <c r="H207" s="114"/>
      <c r="I207" s="114"/>
      <c r="J207" s="114"/>
      <c r="K207" s="114"/>
      <c r="L207" s="114"/>
      <c r="M207" s="114"/>
      <c r="N207" s="114"/>
      <c r="O207" s="114"/>
    </row>
    <row r="208" spans="2:15" s="100" customFormat="1">
      <c r="B208" s="95" t="str">
        <f t="shared" si="28"/>
        <v xml:space="preserve">50G </v>
      </c>
      <c r="C208" s="96" t="str">
        <f t="shared" si="28"/>
        <v>10 km</v>
      </c>
      <c r="D208" s="97" t="str">
        <f t="shared" si="28"/>
        <v>all</v>
      </c>
      <c r="E208" s="114">
        <f t="shared" ref="E208:F208" si="38">IF(E38=0,,E38*E123/10^6)</f>
        <v>0</v>
      </c>
      <c r="F208" s="114">
        <f t="shared" si="38"/>
        <v>0</v>
      </c>
      <c r="G208" s="114"/>
      <c r="H208" s="114"/>
      <c r="I208" s="114"/>
      <c r="J208" s="114"/>
      <c r="K208" s="114"/>
      <c r="L208" s="114"/>
      <c r="M208" s="114"/>
      <c r="N208" s="114"/>
      <c r="O208" s="114"/>
    </row>
    <row r="209" spans="2:15" s="100" customFormat="1">
      <c r="B209" s="95" t="str">
        <f t="shared" si="28"/>
        <v xml:space="preserve">50G </v>
      </c>
      <c r="C209" s="96" t="str">
        <f t="shared" si="28"/>
        <v>40 km</v>
      </c>
      <c r="D209" s="97" t="str">
        <f t="shared" si="28"/>
        <v>all</v>
      </c>
      <c r="E209" s="114">
        <f t="shared" ref="E209:F209" si="39">IF(E39=0,,E39*E124/10^6)</f>
        <v>0</v>
      </c>
      <c r="F209" s="114">
        <f t="shared" si="39"/>
        <v>0</v>
      </c>
      <c r="G209" s="114"/>
      <c r="H209" s="114"/>
      <c r="I209" s="114"/>
      <c r="J209" s="114"/>
      <c r="K209" s="114"/>
      <c r="L209" s="114"/>
      <c r="M209" s="114"/>
      <c r="N209" s="114"/>
      <c r="O209" s="114"/>
    </row>
    <row r="210" spans="2:15" s="100" customFormat="1">
      <c r="B210" s="95" t="str">
        <f t="shared" si="28"/>
        <v xml:space="preserve">50G </v>
      </c>
      <c r="C210" s="96" t="str">
        <f t="shared" si="28"/>
        <v>80 km</v>
      </c>
      <c r="D210" s="97" t="str">
        <f t="shared" si="28"/>
        <v>all</v>
      </c>
      <c r="E210" s="113">
        <f t="shared" ref="E210:F210" si="40">IF(E40=0,,E40*E125/10^6)</f>
        <v>0</v>
      </c>
      <c r="F210" s="113">
        <f t="shared" si="40"/>
        <v>0</v>
      </c>
      <c r="G210" s="113"/>
      <c r="H210" s="113"/>
      <c r="I210" s="113"/>
      <c r="J210" s="113"/>
      <c r="K210" s="113"/>
      <c r="L210" s="113"/>
      <c r="M210" s="113"/>
      <c r="N210" s="113"/>
      <c r="O210" s="113"/>
    </row>
    <row r="211" spans="2:15">
      <c r="B211" s="87" t="str">
        <f t="shared" si="28"/>
        <v>100G SR4</v>
      </c>
      <c r="C211" s="88" t="str">
        <f t="shared" si="28"/>
        <v>100 m</v>
      </c>
      <c r="D211" s="89" t="str">
        <f t="shared" si="28"/>
        <v>CFP</v>
      </c>
      <c r="E211" s="112">
        <f t="shared" ref="E211:F211" si="41">IF(E41=0,,E41*E126/10^6)</f>
        <v>0</v>
      </c>
      <c r="F211" s="112">
        <f t="shared" si="41"/>
        <v>0</v>
      </c>
      <c r="G211" s="112"/>
      <c r="H211" s="112"/>
      <c r="I211" s="112"/>
      <c r="J211" s="112"/>
      <c r="K211" s="112"/>
      <c r="L211" s="112"/>
      <c r="M211" s="112"/>
      <c r="N211" s="112"/>
      <c r="O211" s="112"/>
    </row>
    <row r="212" spans="2:15">
      <c r="B212" s="95" t="str">
        <f t="shared" si="28"/>
        <v>100G SR4</v>
      </c>
      <c r="C212" s="96" t="str">
        <f t="shared" si="28"/>
        <v>100 m</v>
      </c>
      <c r="D212" s="97" t="str">
        <f t="shared" si="28"/>
        <v>CFP2/4</v>
      </c>
      <c r="E212" s="114">
        <f t="shared" ref="E212:F212" si="42">IF(E42=0,,E42*E127/10^6)</f>
        <v>0</v>
      </c>
      <c r="F212" s="114">
        <f t="shared" si="42"/>
        <v>0</v>
      </c>
      <c r="G212" s="114"/>
      <c r="H212" s="114"/>
      <c r="I212" s="114"/>
      <c r="J212" s="114"/>
      <c r="K212" s="114"/>
      <c r="L212" s="114"/>
      <c r="M212" s="114"/>
      <c r="N212" s="114"/>
      <c r="O212" s="114"/>
    </row>
    <row r="213" spans="2:15">
      <c r="B213" s="95" t="str">
        <f t="shared" si="28"/>
        <v>100G SR4</v>
      </c>
      <c r="C213" s="96" t="str">
        <f t="shared" si="28"/>
        <v>100 m</v>
      </c>
      <c r="D213" s="97" t="str">
        <f t="shared" si="28"/>
        <v>QSFP28</v>
      </c>
      <c r="E213" s="114">
        <f t="shared" ref="E213:F213" si="43">IF(E43=0,,E43*E128/10^6)</f>
        <v>0</v>
      </c>
      <c r="F213" s="114">
        <f t="shared" si="43"/>
        <v>0</v>
      </c>
      <c r="G213" s="114"/>
      <c r="H213" s="114"/>
      <c r="I213" s="114"/>
      <c r="J213" s="114"/>
      <c r="K213" s="114"/>
      <c r="L213" s="114"/>
      <c r="M213" s="114"/>
      <c r="N213" s="114"/>
      <c r="O213" s="114"/>
    </row>
    <row r="214" spans="2:15">
      <c r="B214" s="95" t="str">
        <f t="shared" si="28"/>
        <v>100G SR2</v>
      </c>
      <c r="C214" s="96" t="str">
        <f t="shared" si="28"/>
        <v>100 m</v>
      </c>
      <c r="D214" s="97" t="str">
        <f t="shared" si="28"/>
        <v>All</v>
      </c>
      <c r="E214" s="114">
        <f t="shared" ref="E214:F214" si="44">IF(E44=0,,E44*E129/10^6)</f>
        <v>0</v>
      </c>
      <c r="F214" s="114">
        <f t="shared" si="44"/>
        <v>0</v>
      </c>
      <c r="G214" s="114"/>
      <c r="H214" s="114"/>
      <c r="I214" s="114"/>
      <c r="J214" s="114"/>
      <c r="K214" s="114"/>
      <c r="L214" s="114"/>
      <c r="M214" s="114"/>
      <c r="N214" s="114"/>
      <c r="O214" s="114"/>
    </row>
    <row r="215" spans="2:15">
      <c r="B215" s="95" t="str">
        <f t="shared" si="28"/>
        <v>100G MM Duplex</v>
      </c>
      <c r="C215" s="96" t="str">
        <f t="shared" si="28"/>
        <v>100 - 300 m</v>
      </c>
      <c r="D215" s="97" t="str">
        <f t="shared" si="28"/>
        <v>QSFP28</v>
      </c>
      <c r="E215" s="114">
        <f t="shared" ref="E215:F215" si="45">IF(E45=0,,E45*E130/10^6)</f>
        <v>0</v>
      </c>
      <c r="F215" s="114">
        <f t="shared" si="45"/>
        <v>0</v>
      </c>
      <c r="G215" s="114"/>
      <c r="H215" s="114"/>
      <c r="I215" s="114"/>
      <c r="J215" s="114"/>
      <c r="K215" s="114"/>
      <c r="L215" s="114"/>
      <c r="M215" s="114"/>
      <c r="N215" s="114"/>
      <c r="O215" s="114"/>
    </row>
    <row r="216" spans="2:15">
      <c r="B216" s="95" t="str">
        <f t="shared" si="28"/>
        <v>100G eSR4</v>
      </c>
      <c r="C216" s="96" t="str">
        <f t="shared" si="28"/>
        <v>300 m</v>
      </c>
      <c r="D216" s="97" t="str">
        <f t="shared" si="28"/>
        <v>QSFP28</v>
      </c>
      <c r="E216" s="114">
        <f t="shared" ref="E216:F216" si="46">IF(E46=0,,E46*E131/10^6)</f>
        <v>0</v>
      </c>
      <c r="F216" s="114">
        <f t="shared" si="46"/>
        <v>0</v>
      </c>
      <c r="G216" s="114"/>
      <c r="H216" s="114"/>
      <c r="I216" s="114"/>
      <c r="J216" s="114"/>
      <c r="K216" s="114"/>
      <c r="L216" s="114"/>
      <c r="M216" s="114"/>
      <c r="N216" s="114"/>
      <c r="O216" s="114"/>
    </row>
    <row r="217" spans="2:15">
      <c r="B217" s="95" t="str">
        <f t="shared" si="28"/>
        <v>100G PSM4</v>
      </c>
      <c r="C217" s="96" t="str">
        <f t="shared" si="28"/>
        <v>500 m</v>
      </c>
      <c r="D217" s="97" t="str">
        <f t="shared" si="28"/>
        <v>QSFP28</v>
      </c>
      <c r="E217" s="114">
        <f t="shared" ref="E217:F217" si="47">IF(E47=0,,E47*E132/10^6)</f>
        <v>0</v>
      </c>
      <c r="F217" s="114">
        <f t="shared" si="47"/>
        <v>0</v>
      </c>
      <c r="G217" s="114"/>
      <c r="H217" s="114"/>
      <c r="I217" s="114"/>
      <c r="J217" s="114"/>
      <c r="K217" s="114"/>
      <c r="L217" s="114"/>
      <c r="M217" s="114"/>
      <c r="N217" s="114"/>
      <c r="O217" s="114"/>
    </row>
    <row r="218" spans="2:15">
      <c r="B218" s="95" t="str">
        <f t="shared" si="28"/>
        <v>100G DR</v>
      </c>
      <c r="C218" s="96" t="str">
        <f t="shared" si="28"/>
        <v>500m</v>
      </c>
      <c r="D218" s="97" t="str">
        <f t="shared" si="28"/>
        <v>QSFP28</v>
      </c>
      <c r="E218" s="114">
        <f t="shared" ref="E218:F218" si="48">IF(E48=0,,E48*E133/10^6)</f>
        <v>0</v>
      </c>
      <c r="F218" s="114">
        <f t="shared" si="48"/>
        <v>0</v>
      </c>
      <c r="G218" s="114"/>
      <c r="H218" s="114"/>
      <c r="I218" s="114"/>
      <c r="J218" s="114"/>
      <c r="K218" s="114"/>
      <c r="L218" s="114"/>
      <c r="M218" s="114"/>
      <c r="N218" s="114"/>
      <c r="O218" s="114"/>
    </row>
    <row r="219" spans="2:15">
      <c r="B219" s="95" t="str">
        <f t="shared" ref="B219:D232" si="49">B49</f>
        <v>100G CWDM4-subspec</v>
      </c>
      <c r="C219" s="96" t="str">
        <f t="shared" si="49"/>
        <v>500 m</v>
      </c>
      <c r="D219" s="97" t="str">
        <f t="shared" si="49"/>
        <v>QSFP28</v>
      </c>
      <c r="E219" s="114">
        <f t="shared" ref="E219:F219" si="50">IF(E49=0,,E49*E134/10^6)</f>
        <v>0</v>
      </c>
      <c r="F219" s="114">
        <f t="shared" si="50"/>
        <v>0</v>
      </c>
      <c r="G219" s="114"/>
      <c r="H219" s="114"/>
      <c r="I219" s="114"/>
      <c r="J219" s="114"/>
      <c r="K219" s="114"/>
      <c r="L219" s="114"/>
      <c r="M219" s="114"/>
      <c r="N219" s="114"/>
      <c r="O219" s="114"/>
    </row>
    <row r="220" spans="2:15">
      <c r="B220" s="95" t="str">
        <f t="shared" si="49"/>
        <v>100G CWDM4</v>
      </c>
      <c r="C220" s="96" t="str">
        <f t="shared" si="49"/>
        <v>2 km</v>
      </c>
      <c r="D220" s="97" t="str">
        <f t="shared" si="49"/>
        <v>QSFP28</v>
      </c>
      <c r="E220" s="114">
        <f t="shared" ref="E220:F220" si="51">IF(E50=0,,E50*E135/10^6)</f>
        <v>0</v>
      </c>
      <c r="F220" s="114">
        <f t="shared" si="51"/>
        <v>0</v>
      </c>
      <c r="G220" s="114"/>
      <c r="H220" s="114"/>
      <c r="I220" s="114"/>
      <c r="J220" s="114"/>
      <c r="K220" s="114"/>
      <c r="L220" s="114"/>
      <c r="M220" s="114"/>
      <c r="N220" s="114"/>
      <c r="O220" s="114"/>
    </row>
    <row r="221" spans="2:15">
      <c r="B221" s="95" t="str">
        <f t="shared" si="49"/>
        <v>100G FR, DR+</v>
      </c>
      <c r="C221" s="96" t="str">
        <f t="shared" si="49"/>
        <v>2 km</v>
      </c>
      <c r="D221" s="97" t="str">
        <f t="shared" si="49"/>
        <v>QSFP28</v>
      </c>
      <c r="E221" s="114">
        <f t="shared" ref="E221:F221" si="52">IF(E51=0,,E51*E136/10^6)</f>
        <v>0</v>
      </c>
      <c r="F221" s="114">
        <f t="shared" si="52"/>
        <v>0</v>
      </c>
      <c r="G221" s="114"/>
      <c r="H221" s="114"/>
      <c r="I221" s="114"/>
      <c r="J221" s="114"/>
      <c r="K221" s="114"/>
      <c r="L221" s="114"/>
      <c r="M221" s="114"/>
      <c r="N221" s="114"/>
      <c r="O221" s="114"/>
    </row>
    <row r="222" spans="2:15">
      <c r="B222" s="95" t="str">
        <f t="shared" si="49"/>
        <v>100G LR4</v>
      </c>
      <c r="C222" s="96" t="str">
        <f t="shared" si="49"/>
        <v>10 km</v>
      </c>
      <c r="D222" s="97" t="str">
        <f t="shared" si="49"/>
        <v>CFP</v>
      </c>
      <c r="E222" s="114">
        <f t="shared" ref="E222:F222" si="53">IF(E52=0,,E52*E137/10^6)</f>
        <v>0</v>
      </c>
      <c r="F222" s="114">
        <f t="shared" si="53"/>
        <v>0</v>
      </c>
      <c r="G222" s="114"/>
      <c r="H222" s="114"/>
      <c r="I222" s="114"/>
      <c r="J222" s="114"/>
      <c r="K222" s="114"/>
      <c r="L222" s="114"/>
      <c r="M222" s="114"/>
      <c r="N222" s="114"/>
      <c r="O222" s="114"/>
    </row>
    <row r="223" spans="2:15">
      <c r="B223" s="95" t="str">
        <f t="shared" si="49"/>
        <v>100G LR4</v>
      </c>
      <c r="C223" s="96" t="str">
        <f t="shared" si="49"/>
        <v>10 km</v>
      </c>
      <c r="D223" s="97" t="str">
        <f t="shared" si="49"/>
        <v>CFP2/4</v>
      </c>
      <c r="E223" s="114">
        <f t="shared" ref="E223:F223" si="54">IF(E53=0,,E53*E138/10^6)</f>
        <v>0</v>
      </c>
      <c r="F223" s="114">
        <f t="shared" si="54"/>
        <v>0</v>
      </c>
      <c r="G223" s="114"/>
      <c r="H223" s="114"/>
      <c r="I223" s="114"/>
      <c r="J223" s="114"/>
      <c r="K223" s="114"/>
      <c r="L223" s="114"/>
      <c r="M223" s="114"/>
      <c r="N223" s="114"/>
      <c r="O223" s="114"/>
    </row>
    <row r="224" spans="2:15">
      <c r="B224" s="95" t="str">
        <f t="shared" si="49"/>
        <v>100G LR4 and LR1</v>
      </c>
      <c r="C224" s="96" t="str">
        <f t="shared" si="49"/>
        <v>10 km</v>
      </c>
      <c r="D224" s="97" t="str">
        <f t="shared" si="49"/>
        <v>QSFP28</v>
      </c>
      <c r="E224" s="114">
        <f t="shared" ref="E224:F224" si="55">IF(E54=0,,E54*E139/10^6)</f>
        <v>0</v>
      </c>
      <c r="F224" s="114">
        <f t="shared" si="55"/>
        <v>0</v>
      </c>
      <c r="G224" s="114"/>
      <c r="H224" s="114"/>
      <c r="I224" s="114"/>
      <c r="J224" s="114"/>
      <c r="K224" s="114"/>
      <c r="L224" s="114"/>
      <c r="M224" s="114"/>
      <c r="N224" s="114"/>
      <c r="O224" s="114"/>
    </row>
    <row r="225" spans="2:15">
      <c r="B225" s="95" t="str">
        <f t="shared" si="49"/>
        <v>100G 4WDM10</v>
      </c>
      <c r="C225" s="96" t="str">
        <f t="shared" si="49"/>
        <v>10 km</v>
      </c>
      <c r="D225" s="97" t="str">
        <f t="shared" si="49"/>
        <v>QSFP28</v>
      </c>
      <c r="E225" s="114">
        <f t="shared" ref="E225:F225" si="56">IF(E55=0,,E55*E140/10^6)</f>
        <v>0</v>
      </c>
      <c r="F225" s="114">
        <f t="shared" si="56"/>
        <v>2.2499999999999996</v>
      </c>
      <c r="G225" s="114"/>
      <c r="H225" s="114"/>
      <c r="I225" s="114"/>
      <c r="J225" s="114"/>
      <c r="K225" s="114"/>
      <c r="L225" s="114"/>
      <c r="M225" s="114"/>
      <c r="N225" s="114"/>
      <c r="O225" s="114"/>
    </row>
    <row r="226" spans="2:15" ht="12.75" customHeight="1">
      <c r="B226" s="95" t="str">
        <f t="shared" si="49"/>
        <v>100G 4WDM20</v>
      </c>
      <c r="C226" s="96" t="str">
        <f t="shared" si="49"/>
        <v>20 km</v>
      </c>
      <c r="D226" s="97" t="str">
        <f t="shared" si="49"/>
        <v>QSFP28</v>
      </c>
      <c r="E226" s="114">
        <f t="shared" ref="E226:F226" si="57">IF(E56=0,,E56*E141/10^6)</f>
        <v>0</v>
      </c>
      <c r="F226" s="114">
        <f t="shared" si="57"/>
        <v>0</v>
      </c>
      <c r="G226" s="114"/>
      <c r="H226" s="114"/>
      <c r="I226" s="114"/>
      <c r="J226" s="114"/>
      <c r="K226" s="114"/>
      <c r="L226" s="114"/>
      <c r="M226" s="114"/>
      <c r="N226" s="114"/>
      <c r="O226" s="114"/>
    </row>
    <row r="227" spans="2:15" ht="12.75" customHeight="1">
      <c r="B227" s="95" t="str">
        <f t="shared" si="49"/>
        <v>100G ER4-Lite</v>
      </c>
      <c r="C227" s="96" t="str">
        <f t="shared" si="49"/>
        <v>30 km</v>
      </c>
      <c r="D227" s="97" t="str">
        <f t="shared" si="49"/>
        <v>QSFP28</v>
      </c>
      <c r="E227" s="114">
        <f t="shared" ref="E227:F227" si="58">IF(E57=0,,E57*E142/10^6)</f>
        <v>0</v>
      </c>
      <c r="F227" s="114">
        <f t="shared" si="58"/>
        <v>1.394896957801766</v>
      </c>
      <c r="G227" s="114"/>
      <c r="H227" s="114"/>
      <c r="I227" s="114"/>
      <c r="J227" s="114"/>
      <c r="K227" s="114"/>
      <c r="L227" s="114"/>
      <c r="M227" s="114"/>
      <c r="N227" s="114"/>
      <c r="O227" s="114"/>
    </row>
    <row r="228" spans="2:15" ht="12.75" customHeight="1">
      <c r="B228" s="95" t="str">
        <f t="shared" si="49"/>
        <v>100G ER4</v>
      </c>
      <c r="C228" s="96" t="str">
        <f t="shared" si="49"/>
        <v>40 km</v>
      </c>
      <c r="D228" s="97" t="str">
        <f t="shared" si="49"/>
        <v>QSFP28</v>
      </c>
      <c r="E228" s="114">
        <f t="shared" ref="E228:F228" si="59">IF(E58=0,,E58*E143/10^6)</f>
        <v>13.409407906828156</v>
      </c>
      <c r="F228" s="114">
        <f t="shared" si="59"/>
        <v>11.043923322922318</v>
      </c>
      <c r="G228" s="114"/>
      <c r="H228" s="114"/>
      <c r="I228" s="114"/>
      <c r="J228" s="114"/>
      <c r="K228" s="114"/>
      <c r="L228" s="114"/>
      <c r="M228" s="114"/>
      <c r="N228" s="114"/>
      <c r="O228" s="114"/>
    </row>
    <row r="229" spans="2:15">
      <c r="B229" s="91" t="str">
        <f t="shared" si="49"/>
        <v>100G ZR4</v>
      </c>
      <c r="C229" s="92" t="str">
        <f t="shared" si="49"/>
        <v>80 km</v>
      </c>
      <c r="D229" s="93" t="str">
        <f t="shared" si="49"/>
        <v>QSFP28</v>
      </c>
      <c r="E229" s="113">
        <f t="shared" ref="E229:F229" si="60">IF(E59=0,,E59*E144/10^6)</f>
        <v>0</v>
      </c>
      <c r="F229" s="113">
        <f t="shared" si="60"/>
        <v>0</v>
      </c>
      <c r="G229" s="113"/>
      <c r="H229" s="113"/>
      <c r="I229" s="113"/>
      <c r="J229" s="113"/>
      <c r="K229" s="113"/>
      <c r="L229" s="113"/>
      <c r="M229" s="113"/>
      <c r="N229" s="113"/>
      <c r="O229" s="113"/>
    </row>
    <row r="230" spans="2:15">
      <c r="B230" s="87" t="str">
        <f t="shared" si="49"/>
        <v>200G SR4</v>
      </c>
      <c r="C230" s="88" t="str">
        <f t="shared" si="49"/>
        <v>100 m</v>
      </c>
      <c r="D230" s="89" t="str">
        <f t="shared" si="49"/>
        <v>QSFP56</v>
      </c>
      <c r="E230" s="112">
        <f t="shared" ref="E230:F230" si="61">IF(E60=0,,E60*E145/10^6)</f>
        <v>0</v>
      </c>
      <c r="F230" s="112">
        <f t="shared" si="61"/>
        <v>0</v>
      </c>
      <c r="G230" s="112"/>
      <c r="H230" s="112"/>
      <c r="I230" s="112"/>
      <c r="J230" s="112"/>
      <c r="K230" s="112"/>
      <c r="L230" s="112"/>
      <c r="M230" s="112"/>
      <c r="N230" s="112"/>
      <c r="O230" s="112"/>
    </row>
    <row r="231" spans="2:15">
      <c r="B231" s="95" t="str">
        <f t="shared" si="49"/>
        <v>200G DR</v>
      </c>
      <c r="C231" s="96" t="str">
        <f t="shared" si="49"/>
        <v>500 m</v>
      </c>
      <c r="D231" s="97" t="str">
        <f t="shared" si="49"/>
        <v>TBD</v>
      </c>
      <c r="E231" s="114">
        <f t="shared" ref="E231:F232" si="62">IF(E61=0,,E61*E146/10^6)</f>
        <v>0</v>
      </c>
      <c r="F231" s="114">
        <f t="shared" si="62"/>
        <v>0</v>
      </c>
      <c r="G231" s="114"/>
      <c r="H231" s="114"/>
      <c r="I231" s="114"/>
      <c r="J231" s="114"/>
      <c r="K231" s="114"/>
      <c r="L231" s="114"/>
      <c r="M231" s="114"/>
      <c r="N231" s="114"/>
      <c r="O231" s="114"/>
    </row>
    <row r="232" spans="2:15">
      <c r="B232" s="95" t="str">
        <f t="shared" si="49"/>
        <v>200G FR4</v>
      </c>
      <c r="C232" s="96" t="str">
        <f t="shared" si="49"/>
        <v>3 km</v>
      </c>
      <c r="D232" s="97" t="str">
        <f t="shared" si="49"/>
        <v>QSFP56</v>
      </c>
      <c r="E232" s="114">
        <f t="shared" si="62"/>
        <v>0</v>
      </c>
      <c r="F232" s="114">
        <f t="shared" si="62"/>
        <v>0</v>
      </c>
      <c r="G232" s="114"/>
      <c r="H232" s="114"/>
      <c r="I232" s="114"/>
      <c r="J232" s="114"/>
      <c r="K232" s="114"/>
      <c r="L232" s="114"/>
      <c r="M232" s="114"/>
      <c r="N232" s="114"/>
      <c r="O232" s="114"/>
    </row>
    <row r="233" spans="2:15">
      <c r="B233" s="95" t="str">
        <f t="shared" ref="B233:D233" si="63">B63</f>
        <v>200G LR</v>
      </c>
      <c r="C233" s="96" t="str">
        <f t="shared" si="63"/>
        <v>10 km</v>
      </c>
      <c r="D233" s="97" t="str">
        <f t="shared" si="63"/>
        <v>TBD</v>
      </c>
      <c r="E233" s="114">
        <f t="shared" ref="E233:F233" si="64">IF(E63=0,,E63*E148/10^6)</f>
        <v>0</v>
      </c>
      <c r="F233" s="114">
        <f t="shared" si="64"/>
        <v>0</v>
      </c>
      <c r="G233" s="114"/>
      <c r="H233" s="114"/>
      <c r="I233" s="114"/>
      <c r="J233" s="114"/>
      <c r="K233" s="114"/>
      <c r="L233" s="114"/>
      <c r="M233" s="114"/>
      <c r="N233" s="114"/>
      <c r="O233" s="114"/>
    </row>
    <row r="234" spans="2:15">
      <c r="B234" s="95" t="str">
        <f t="shared" ref="B234:D234" si="65">B64</f>
        <v>200G ER4</v>
      </c>
      <c r="C234" s="96" t="str">
        <f t="shared" si="65"/>
        <v>40 km</v>
      </c>
      <c r="D234" s="97" t="str">
        <f t="shared" si="65"/>
        <v>TBD</v>
      </c>
      <c r="E234" s="114">
        <f t="shared" ref="E234:F234" si="66">IF(E64=0,,E64*E149/10^6)</f>
        <v>0</v>
      </c>
      <c r="F234" s="114">
        <f t="shared" si="66"/>
        <v>0</v>
      </c>
      <c r="G234" s="114"/>
      <c r="H234" s="114"/>
      <c r="I234" s="114"/>
      <c r="J234" s="114"/>
      <c r="K234" s="114"/>
      <c r="L234" s="114"/>
      <c r="M234" s="114"/>
      <c r="N234" s="114"/>
      <c r="O234" s="114"/>
    </row>
    <row r="235" spans="2:15">
      <c r="B235" s="87" t="str">
        <f t="shared" ref="B235:D244" si="67">B65</f>
        <v>2x200 (400G-SR8)</v>
      </c>
      <c r="C235" s="88" t="str">
        <f t="shared" si="67"/>
        <v>100 m</v>
      </c>
      <c r="D235" s="89" t="str">
        <f t="shared" si="67"/>
        <v>OSFP, QSFP-DD</v>
      </c>
      <c r="E235" s="112">
        <f t="shared" ref="E235:F235" si="68">IF(E65=0,,E65*E150/10^6)</f>
        <v>0</v>
      </c>
      <c r="F235" s="112">
        <f t="shared" si="68"/>
        <v>0</v>
      </c>
      <c r="G235" s="112"/>
      <c r="H235" s="112"/>
      <c r="I235" s="112"/>
      <c r="J235" s="112"/>
      <c r="K235" s="112"/>
      <c r="L235" s="112"/>
      <c r="M235" s="112"/>
      <c r="N235" s="112"/>
      <c r="O235" s="112"/>
    </row>
    <row r="236" spans="2:15">
      <c r="B236" s="95" t="str">
        <f t="shared" si="67"/>
        <v>400G SR4</v>
      </c>
      <c r="C236" s="96" t="str">
        <f t="shared" si="67"/>
        <v>100 m</v>
      </c>
      <c r="D236" s="97" t="str">
        <f t="shared" si="67"/>
        <v>OSFP112, QSFP112</v>
      </c>
      <c r="E236" s="114">
        <f t="shared" ref="E236:F236" si="69">IF(E66=0,,E66*E151/10^6)</f>
        <v>0</v>
      </c>
      <c r="F236" s="114">
        <f t="shared" si="69"/>
        <v>0</v>
      </c>
      <c r="G236" s="114"/>
      <c r="H236" s="114"/>
      <c r="I236" s="114"/>
      <c r="J236" s="114"/>
      <c r="K236" s="114"/>
      <c r="L236" s="114"/>
      <c r="M236" s="114"/>
      <c r="N236" s="114"/>
      <c r="O236" s="114"/>
    </row>
    <row r="237" spans="2:15">
      <c r="B237" s="95" t="str">
        <f t="shared" si="67"/>
        <v>400G DR4</v>
      </c>
      <c r="C237" s="96" t="str">
        <f t="shared" si="67"/>
        <v>500 m</v>
      </c>
      <c r="D237" s="97" t="str">
        <f t="shared" si="67"/>
        <v>OSFP, QSFP-DD, QSFP112</v>
      </c>
      <c r="E237" s="114">
        <f t="shared" ref="E237:F237" si="70">IF(E67=0,,E67*E152/10^6)</f>
        <v>0</v>
      </c>
      <c r="F237" s="114">
        <f t="shared" si="70"/>
        <v>0</v>
      </c>
      <c r="G237" s="114"/>
      <c r="H237" s="114"/>
      <c r="I237" s="114"/>
      <c r="J237" s="114"/>
      <c r="K237" s="114"/>
      <c r="L237" s="114"/>
      <c r="M237" s="114"/>
      <c r="N237" s="114"/>
      <c r="O237" s="114"/>
    </row>
    <row r="238" spans="2:15">
      <c r="B238" s="95" t="str">
        <f t="shared" si="67"/>
        <v>2x(200G FR4)</v>
      </c>
      <c r="C238" s="96" t="str">
        <f t="shared" si="67"/>
        <v>2 km</v>
      </c>
      <c r="D238" s="97" t="str">
        <f t="shared" si="67"/>
        <v>OSFP</v>
      </c>
      <c r="E238" s="114">
        <f t="shared" ref="E238:F238" si="71">IF(E68=0,,E68*E153/10^6)</f>
        <v>0</v>
      </c>
      <c r="F238" s="114">
        <f t="shared" si="71"/>
        <v>0</v>
      </c>
      <c r="G238" s="114"/>
      <c r="H238" s="114"/>
      <c r="I238" s="114"/>
      <c r="J238" s="114"/>
      <c r="K238" s="114"/>
      <c r="L238" s="114"/>
      <c r="M238" s="114"/>
      <c r="N238" s="114"/>
      <c r="O238" s="114"/>
    </row>
    <row r="239" spans="2:15">
      <c r="B239" s="95" t="str">
        <f t="shared" si="67"/>
        <v>400G FR4</v>
      </c>
      <c r="C239" s="96" t="str">
        <f t="shared" si="67"/>
        <v>2 km</v>
      </c>
      <c r="D239" s="97" t="str">
        <f t="shared" si="67"/>
        <v>OSFP, QSFP-DD, QSFP112</v>
      </c>
      <c r="E239" s="114">
        <f t="shared" ref="E239:F239" si="72">IF(E69=0,,E69*E154/10^6)</f>
        <v>0</v>
      </c>
      <c r="F239" s="114">
        <f t="shared" si="72"/>
        <v>0</v>
      </c>
      <c r="G239" s="114"/>
      <c r="H239" s="114"/>
      <c r="I239" s="114"/>
      <c r="J239" s="114"/>
      <c r="K239" s="114"/>
      <c r="L239" s="114"/>
      <c r="M239" s="114"/>
      <c r="N239" s="114"/>
      <c r="O239" s="114"/>
    </row>
    <row r="240" spans="2:15">
      <c r="B240" s="91" t="str">
        <f t="shared" si="67"/>
        <v>400G LR8, LR4</v>
      </c>
      <c r="C240" s="92" t="str">
        <f t="shared" si="67"/>
        <v>10 km</v>
      </c>
      <c r="D240" s="93" t="str">
        <f t="shared" si="67"/>
        <v>OSFP, QSFP-DD, QSFP112</v>
      </c>
      <c r="E240" s="113">
        <f t="shared" ref="E240:F241" si="73">IF(E70=0,,E70*E155/10^6)</f>
        <v>0</v>
      </c>
      <c r="F240" s="113">
        <f t="shared" si="73"/>
        <v>0</v>
      </c>
      <c r="G240" s="113"/>
      <c r="H240" s="113"/>
      <c r="I240" s="113"/>
      <c r="J240" s="113"/>
      <c r="K240" s="113"/>
      <c r="L240" s="113"/>
      <c r="M240" s="113"/>
      <c r="N240" s="113"/>
      <c r="O240" s="113"/>
    </row>
    <row r="241" spans="2:15">
      <c r="B241" s="91" t="str">
        <f t="shared" si="67"/>
        <v>400G ER4</v>
      </c>
      <c r="C241" s="92" t="str">
        <f t="shared" si="67"/>
        <v>40 km</v>
      </c>
      <c r="D241" s="93" t="str">
        <f t="shared" si="67"/>
        <v>TBD</v>
      </c>
      <c r="E241" s="113">
        <f t="shared" si="73"/>
        <v>0</v>
      </c>
      <c r="F241" s="113">
        <f t="shared" si="73"/>
        <v>0</v>
      </c>
      <c r="G241" s="113"/>
      <c r="H241" s="113"/>
      <c r="I241" s="113"/>
      <c r="J241" s="113"/>
      <c r="K241" s="113"/>
      <c r="L241" s="113"/>
      <c r="M241" s="113"/>
      <c r="N241" s="113"/>
      <c r="O241" s="113"/>
    </row>
    <row r="242" spans="2:15" s="100" customFormat="1">
      <c r="B242" s="95" t="str">
        <f t="shared" si="67"/>
        <v>800G SR8</v>
      </c>
      <c r="C242" s="96" t="str">
        <f t="shared" si="67"/>
        <v>50 m</v>
      </c>
      <c r="D242" s="97" t="str">
        <f t="shared" si="67"/>
        <v>OSFP, QSFP-DD800</v>
      </c>
      <c r="E242" s="114">
        <f t="shared" ref="E242:F242" si="74">IF(E72=0,,E72*E157/10^6)</f>
        <v>0</v>
      </c>
      <c r="F242" s="114">
        <f t="shared" si="74"/>
        <v>0</v>
      </c>
      <c r="G242" s="114"/>
      <c r="H242" s="114"/>
      <c r="I242" s="114"/>
      <c r="J242" s="114"/>
      <c r="K242" s="114"/>
      <c r="L242" s="114"/>
      <c r="M242" s="114"/>
      <c r="N242" s="114"/>
      <c r="O242" s="114"/>
    </row>
    <row r="243" spans="2:15" s="100" customFormat="1">
      <c r="B243" s="95" t="str">
        <f t="shared" si="67"/>
        <v>800G DR8, DR4</v>
      </c>
      <c r="C243" s="96" t="str">
        <f t="shared" si="67"/>
        <v>500 m</v>
      </c>
      <c r="D243" s="97" t="str">
        <f t="shared" si="67"/>
        <v>OSFP, QSFP-DD800</v>
      </c>
      <c r="E243" s="114">
        <f t="shared" ref="E243:F243" si="75">IF(E73=0,,E73*E158/10^6)</f>
        <v>0</v>
      </c>
      <c r="F243" s="114">
        <f t="shared" si="75"/>
        <v>0</v>
      </c>
      <c r="G243" s="114"/>
      <c r="H243" s="114"/>
      <c r="I243" s="114"/>
      <c r="J243" s="114"/>
      <c r="K243" s="114"/>
      <c r="L243" s="114"/>
      <c r="M243" s="114"/>
      <c r="N243" s="114"/>
      <c r="O243" s="114"/>
    </row>
    <row r="244" spans="2:15" s="100" customFormat="1">
      <c r="B244" s="95" t="str">
        <f t="shared" si="67"/>
        <v>2x(400G FR4), 800G FR4</v>
      </c>
      <c r="C244" s="96" t="str">
        <f t="shared" si="67"/>
        <v>2 km</v>
      </c>
      <c r="D244" s="97" t="str">
        <f t="shared" si="67"/>
        <v>OSFP, QSFP-DD800</v>
      </c>
      <c r="E244" s="114">
        <f t="shared" ref="E244:F244" si="76">IF(E74=0,,E74*E159/10^6)</f>
        <v>0</v>
      </c>
      <c r="F244" s="114">
        <f t="shared" si="76"/>
        <v>0</v>
      </c>
      <c r="G244" s="114"/>
      <c r="H244" s="114"/>
      <c r="I244" s="114"/>
      <c r="J244" s="114"/>
      <c r="K244" s="114"/>
      <c r="L244" s="114"/>
      <c r="M244" s="114"/>
      <c r="N244" s="114"/>
      <c r="O244" s="114"/>
    </row>
    <row r="245" spans="2:15" s="100" customFormat="1">
      <c r="B245" s="95" t="str">
        <f t="shared" ref="B245:D257" si="77">B75</f>
        <v>800G LR8, LR4</v>
      </c>
      <c r="C245" s="96" t="str">
        <f t="shared" si="77"/>
        <v>6, 10 km</v>
      </c>
      <c r="D245" s="97" t="str">
        <f t="shared" si="77"/>
        <v>TBD</v>
      </c>
      <c r="E245" s="114">
        <f t="shared" ref="E245:F245" si="78">IF(E75=0,,E75*E160/10^6)</f>
        <v>0</v>
      </c>
      <c r="F245" s="114">
        <f t="shared" si="78"/>
        <v>0</v>
      </c>
      <c r="G245" s="114"/>
      <c r="H245" s="114"/>
      <c r="I245" s="114"/>
      <c r="J245" s="114"/>
      <c r="K245" s="114"/>
      <c r="L245" s="114"/>
      <c r="M245" s="114"/>
      <c r="N245" s="114"/>
      <c r="O245" s="114"/>
    </row>
    <row r="246" spans="2:15" s="100" customFormat="1">
      <c r="B246" s="95" t="str">
        <f t="shared" si="77"/>
        <v>800G ZRlite</v>
      </c>
      <c r="C246" s="96" t="str">
        <f t="shared" si="77"/>
        <v>10 km, 20 km</v>
      </c>
      <c r="D246" s="97" t="str">
        <f t="shared" si="77"/>
        <v>TBD</v>
      </c>
      <c r="E246" s="114">
        <f t="shared" ref="E246:F246" si="79">IF(E76=0,,E76*E161/10^6)</f>
        <v>0</v>
      </c>
      <c r="F246" s="114">
        <f t="shared" si="79"/>
        <v>0</v>
      </c>
      <c r="G246" s="114"/>
      <c r="H246" s="114"/>
      <c r="I246" s="114"/>
      <c r="J246" s="114"/>
      <c r="K246" s="114"/>
      <c r="L246" s="114"/>
      <c r="M246" s="114"/>
      <c r="N246" s="114"/>
      <c r="O246" s="114"/>
    </row>
    <row r="247" spans="2:15" s="100" customFormat="1">
      <c r="B247" s="91" t="str">
        <f t="shared" si="77"/>
        <v>800G ER4</v>
      </c>
      <c r="C247" s="92" t="str">
        <f t="shared" si="77"/>
        <v>40 km</v>
      </c>
      <c r="D247" s="93" t="str">
        <f t="shared" si="77"/>
        <v>TBD</v>
      </c>
      <c r="E247" s="113">
        <f t="shared" ref="E247:F247" si="80">IF(E77=0,,E77*E162/10^6)</f>
        <v>0</v>
      </c>
      <c r="F247" s="113">
        <f t="shared" si="80"/>
        <v>0</v>
      </c>
      <c r="G247" s="113"/>
      <c r="H247" s="113"/>
      <c r="I247" s="113"/>
      <c r="J247" s="113"/>
      <c r="K247" s="113"/>
      <c r="L247" s="113"/>
      <c r="M247" s="113"/>
      <c r="N247" s="113"/>
      <c r="O247" s="113"/>
    </row>
    <row r="248" spans="2:15" s="100" customFormat="1">
      <c r="B248" s="95" t="str">
        <f t="shared" si="77"/>
        <v>1.6T SR16</v>
      </c>
      <c r="C248" s="96" t="str">
        <f t="shared" si="77"/>
        <v>100 m</v>
      </c>
      <c r="D248" s="97" t="str">
        <f t="shared" si="77"/>
        <v>OSFP-XD and TBD</v>
      </c>
      <c r="E248" s="114">
        <f t="shared" ref="E248:F248" si="81">IF(E78=0,,E78*E163/10^6)</f>
        <v>0</v>
      </c>
      <c r="F248" s="114">
        <f t="shared" si="81"/>
        <v>0</v>
      </c>
      <c r="G248" s="114"/>
      <c r="H248" s="114"/>
      <c r="I248" s="114"/>
      <c r="J248" s="114"/>
      <c r="K248" s="114"/>
      <c r="L248" s="114"/>
      <c r="M248" s="114"/>
      <c r="N248" s="114"/>
      <c r="O248" s="114"/>
    </row>
    <row r="249" spans="2:15" s="100" customFormat="1">
      <c r="B249" s="95" t="str">
        <f t="shared" si="77"/>
        <v>1.6T DR8</v>
      </c>
      <c r="C249" s="96" t="str">
        <f t="shared" si="77"/>
        <v>500 m</v>
      </c>
      <c r="D249" s="97" t="str">
        <f t="shared" si="77"/>
        <v>OSFP-XD and TBD</v>
      </c>
      <c r="E249" s="114">
        <f t="shared" ref="E249:F249" si="82">IF(E79=0,,E79*E164/10^6)</f>
        <v>0</v>
      </c>
      <c r="F249" s="114">
        <f t="shared" si="82"/>
        <v>0</v>
      </c>
      <c r="G249" s="114"/>
      <c r="H249" s="114"/>
      <c r="I249" s="114"/>
      <c r="J249" s="114"/>
      <c r="K249" s="114"/>
      <c r="L249" s="114"/>
      <c r="M249" s="114"/>
      <c r="N249" s="114"/>
      <c r="O249" s="114"/>
    </row>
    <row r="250" spans="2:15" s="100" customFormat="1">
      <c r="B250" s="95" t="str">
        <f t="shared" si="77"/>
        <v>1.6T FR8</v>
      </c>
      <c r="C250" s="96" t="str">
        <f t="shared" si="77"/>
        <v>2 km</v>
      </c>
      <c r="D250" s="97" t="str">
        <f t="shared" si="77"/>
        <v>OSFP-XD and TBD</v>
      </c>
      <c r="E250" s="114">
        <f t="shared" ref="E250:F250" si="83">IF(E80=0,,E80*E165/10^6)</f>
        <v>0</v>
      </c>
      <c r="F250" s="114">
        <f t="shared" si="83"/>
        <v>0</v>
      </c>
      <c r="G250" s="114"/>
      <c r="H250" s="114"/>
      <c r="I250" s="114"/>
      <c r="J250" s="114"/>
      <c r="K250" s="114"/>
      <c r="L250" s="114"/>
      <c r="M250" s="114"/>
      <c r="N250" s="114"/>
      <c r="O250" s="114"/>
    </row>
    <row r="251" spans="2:15" s="100" customFormat="1">
      <c r="B251" s="95" t="str">
        <f t="shared" si="77"/>
        <v>1.6T LR8</v>
      </c>
      <c r="C251" s="96" t="str">
        <f t="shared" si="77"/>
        <v>10 km</v>
      </c>
      <c r="D251" s="97" t="str">
        <f t="shared" si="77"/>
        <v>OSFP-XD and TBD</v>
      </c>
      <c r="E251" s="114">
        <f t="shared" ref="E251:F251" si="84">IF(E81=0,,E81*E166/10^6)</f>
        <v>0</v>
      </c>
      <c r="F251" s="114">
        <f t="shared" si="84"/>
        <v>0</v>
      </c>
      <c r="G251" s="114"/>
      <c r="H251" s="114"/>
      <c r="I251" s="114"/>
      <c r="J251" s="114"/>
      <c r="K251" s="114"/>
      <c r="L251" s="114"/>
      <c r="M251" s="114"/>
      <c r="N251" s="114"/>
      <c r="O251" s="114"/>
    </row>
    <row r="252" spans="2:15" s="100" customFormat="1">
      <c r="B252" s="91" t="str">
        <f t="shared" si="77"/>
        <v>1.6T ER8</v>
      </c>
      <c r="C252" s="92" t="str">
        <f t="shared" si="77"/>
        <v>&gt;10 km</v>
      </c>
      <c r="D252" s="93" t="str">
        <f t="shared" si="77"/>
        <v>OSFP-XD and TBD</v>
      </c>
      <c r="E252" s="113">
        <f t="shared" ref="E252:F252" si="85">IF(E82=0,,E82*E167/10^6)</f>
        <v>0</v>
      </c>
      <c r="F252" s="113">
        <f t="shared" si="85"/>
        <v>0</v>
      </c>
      <c r="G252" s="113"/>
      <c r="H252" s="113"/>
      <c r="I252" s="113"/>
      <c r="J252" s="113"/>
      <c r="K252" s="113"/>
      <c r="L252" s="113"/>
      <c r="M252" s="113"/>
      <c r="N252" s="113"/>
      <c r="O252" s="113"/>
    </row>
    <row r="253" spans="2:15" s="100" customFormat="1">
      <c r="B253" s="95" t="str">
        <f t="shared" si="77"/>
        <v>3.2T SR</v>
      </c>
      <c r="C253" s="96" t="str">
        <f t="shared" si="77"/>
        <v>100 m</v>
      </c>
      <c r="D253" s="97" t="str">
        <f t="shared" si="77"/>
        <v>OSFP-XD and TBD</v>
      </c>
      <c r="E253" s="114">
        <f t="shared" ref="E253:F253" si="86">IF(E83=0,,E83*E168/10^6)</f>
        <v>0</v>
      </c>
      <c r="F253" s="114">
        <f t="shared" si="86"/>
        <v>0</v>
      </c>
      <c r="G253" s="114"/>
      <c r="H253" s="114"/>
      <c r="I253" s="114"/>
      <c r="J253" s="114"/>
      <c r="K253" s="114"/>
      <c r="L253" s="114"/>
      <c r="M253" s="114"/>
      <c r="N253" s="114"/>
      <c r="O253" s="114"/>
    </row>
    <row r="254" spans="2:15" s="100" customFormat="1">
      <c r="B254" s="95" t="str">
        <f t="shared" si="77"/>
        <v>3.2T DR</v>
      </c>
      <c r="C254" s="96" t="str">
        <f t="shared" si="77"/>
        <v>500 m</v>
      </c>
      <c r="D254" s="97" t="str">
        <f t="shared" si="77"/>
        <v>OSFP-XD and TBD</v>
      </c>
      <c r="E254" s="114">
        <f t="shared" ref="E254:F254" si="87">IF(E84=0,,E84*E169/10^6)</f>
        <v>0</v>
      </c>
      <c r="F254" s="114">
        <f t="shared" si="87"/>
        <v>0</v>
      </c>
      <c r="G254" s="114"/>
      <c r="H254" s="114"/>
      <c r="I254" s="114"/>
      <c r="J254" s="114"/>
      <c r="K254" s="114"/>
      <c r="L254" s="114"/>
      <c r="M254" s="114"/>
      <c r="N254" s="114"/>
      <c r="O254" s="114"/>
    </row>
    <row r="255" spans="2:15" s="100" customFormat="1">
      <c r="B255" s="95" t="str">
        <f t="shared" si="77"/>
        <v>3.2T FR</v>
      </c>
      <c r="C255" s="96" t="str">
        <f t="shared" si="77"/>
        <v>2 km</v>
      </c>
      <c r="D255" s="97" t="str">
        <f t="shared" si="77"/>
        <v>OSFP-XD and TBD</v>
      </c>
      <c r="E255" s="114">
        <f t="shared" ref="E255:F255" si="88">IF(E85=0,,E85*E170/10^6)</f>
        <v>0</v>
      </c>
      <c r="F255" s="114">
        <f t="shared" si="88"/>
        <v>0</v>
      </c>
      <c r="G255" s="114"/>
      <c r="H255" s="114"/>
      <c r="I255" s="114"/>
      <c r="J255" s="114"/>
      <c r="K255" s="114"/>
      <c r="L255" s="114"/>
      <c r="M255" s="114"/>
      <c r="N255" s="114"/>
      <c r="O255" s="114"/>
    </row>
    <row r="256" spans="2:15" s="100" customFormat="1">
      <c r="B256" s="95" t="str">
        <f t="shared" si="77"/>
        <v>3.2T LR</v>
      </c>
      <c r="C256" s="96" t="str">
        <f t="shared" si="77"/>
        <v>10 km</v>
      </c>
      <c r="D256" s="97" t="str">
        <f t="shared" si="77"/>
        <v>OSFP-XD and TBD</v>
      </c>
      <c r="E256" s="114">
        <f t="shared" ref="E256:F256" si="89">IF(E86=0,,E86*E171/10^6)</f>
        <v>0</v>
      </c>
      <c r="F256" s="114">
        <f t="shared" si="89"/>
        <v>0</v>
      </c>
      <c r="G256" s="114"/>
      <c r="H256" s="114"/>
      <c r="I256" s="114"/>
      <c r="J256" s="114"/>
      <c r="K256" s="114"/>
      <c r="L256" s="114"/>
      <c r="M256" s="114"/>
      <c r="N256" s="114"/>
      <c r="O256" s="114"/>
    </row>
    <row r="257" spans="2:15" s="100" customFormat="1">
      <c r="B257" s="95" t="str">
        <f t="shared" si="77"/>
        <v>3.2T ER</v>
      </c>
      <c r="C257" s="96" t="str">
        <f t="shared" si="77"/>
        <v>&gt;10 km</v>
      </c>
      <c r="D257" s="97" t="str">
        <f t="shared" si="77"/>
        <v>OSFP-XD and TBD</v>
      </c>
      <c r="E257" s="114">
        <f t="shared" ref="E257:F257" si="90">IF(E87=0,,E87*E172/10^6)</f>
        <v>0</v>
      </c>
      <c r="F257" s="114">
        <f t="shared" si="90"/>
        <v>0</v>
      </c>
      <c r="G257" s="114"/>
      <c r="H257" s="114"/>
      <c r="I257" s="114"/>
      <c r="J257" s="114"/>
      <c r="K257" s="114"/>
      <c r="L257" s="114"/>
      <c r="M257" s="114"/>
      <c r="N257" s="114"/>
      <c r="O257" s="114"/>
    </row>
    <row r="258" spans="2:15" s="100" customFormat="1">
      <c r="B258" s="95"/>
      <c r="C258" s="96"/>
      <c r="D258" s="97"/>
      <c r="E258" s="114"/>
      <c r="F258" s="114"/>
      <c r="G258" s="114"/>
      <c r="H258" s="114"/>
      <c r="I258" s="114"/>
      <c r="J258" s="114"/>
      <c r="K258" s="114"/>
      <c r="L258" s="114"/>
      <c r="M258" s="114"/>
      <c r="N258" s="114"/>
      <c r="O258" s="114"/>
    </row>
    <row r="259" spans="2:15">
      <c r="B259" s="51" t="s">
        <v>20</v>
      </c>
      <c r="C259" s="52"/>
      <c r="D259" s="53"/>
      <c r="E259" s="106">
        <f t="shared" ref="E259:F259" si="91">SUM(E179:E258)</f>
        <v>598.77204776909878</v>
      </c>
      <c r="F259" s="106">
        <f t="shared" si="91"/>
        <v>583.36292043779542</v>
      </c>
      <c r="G259" s="106"/>
      <c r="H259" s="106"/>
      <c r="I259" s="106"/>
      <c r="J259" s="106"/>
      <c r="K259" s="106"/>
      <c r="L259" s="106"/>
      <c r="M259" s="106"/>
      <c r="N259" s="106"/>
      <c r="O259" s="106"/>
    </row>
    <row r="260" spans="2:15">
      <c r="D260" s="102"/>
      <c r="E260" s="103"/>
      <c r="F260" s="103"/>
      <c r="G260" s="103"/>
      <c r="H260" s="103"/>
      <c r="I260" s="103"/>
      <c r="J260" s="103"/>
      <c r="K260" s="103"/>
      <c r="L260" s="103"/>
      <c r="M260" s="103"/>
      <c r="N260" s="103"/>
      <c r="O260" s="103"/>
    </row>
  </sheetData>
  <conditionalFormatting sqref="E260:M260">
    <cfRule type="cellIs" dxfId="3" priority="9" operator="lessThan">
      <formula>0</formula>
    </cfRule>
    <cfRule type="cellIs" dxfId="2" priority="10" operator="greaterThan">
      <formula>0</formula>
    </cfRule>
  </conditionalFormatting>
  <conditionalFormatting sqref="N260:O260">
    <cfRule type="cellIs" dxfId="1" priority="1" operator="lessThan">
      <formula>0</formula>
    </cfRule>
    <cfRule type="cellIs" dxfId="0" priority="2" operator="greaterThan">
      <formula>0</formula>
    </cfRule>
  </conditionalFormatting>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U259"/>
  <sheetViews>
    <sheetView showGridLines="0" zoomScale="70" zoomScaleNormal="70" zoomScalePageLayoutView="70" workbookViewId="0"/>
  </sheetViews>
  <sheetFormatPr defaultColWidth="8.77734375" defaultRowHeight="13.8"/>
  <cols>
    <col min="1" max="1" width="4.44140625" style="82" customWidth="1"/>
    <col min="2" max="2" width="20.6640625" style="82" customWidth="1"/>
    <col min="3" max="3" width="12.44140625" style="82" customWidth="1"/>
    <col min="4" max="4" width="17.21875" style="82" customWidth="1"/>
    <col min="5" max="6" width="13.44140625" style="82" bestFit="1" customWidth="1"/>
    <col min="7" max="15" width="12" style="82" customWidth="1"/>
    <col min="16" max="16" width="27.77734375" style="100" customWidth="1"/>
    <col min="17" max="17" width="22.21875" style="82" customWidth="1"/>
    <col min="18" max="18" width="10.77734375" style="82" bestFit="1" customWidth="1"/>
    <col min="19" max="23" width="8.77734375" style="82"/>
    <col min="24" max="31" width="10.44140625" style="82" customWidth="1"/>
    <col min="32" max="16384" width="8.77734375" style="82"/>
  </cols>
  <sheetData>
    <row r="2" spans="1:21" ht="23.4">
      <c r="B2" s="6" t="str">
        <f>Introduction!$B$2</f>
        <v>LightCounting Ethernet Transceivers Forecast</v>
      </c>
      <c r="C2" s="62"/>
      <c r="D2" s="62"/>
      <c r="T2" s="12"/>
      <c r="U2" s="12"/>
    </row>
    <row r="3" spans="1:21" ht="15.6">
      <c r="B3" s="43" t="str">
        <f>Introduction!$B$3</f>
        <v>September 2021 - Sample template for illustrative purposes only</v>
      </c>
    </row>
    <row r="4" spans="1:21" ht="18">
      <c r="B4" s="6" t="s">
        <v>143</v>
      </c>
      <c r="C4" s="62"/>
      <c r="D4" s="62"/>
      <c r="E4" s="84"/>
      <c r="F4" s="84"/>
      <c r="G4" s="84"/>
      <c r="H4" s="84"/>
      <c r="I4" s="84"/>
      <c r="J4" s="84"/>
      <c r="K4" s="84"/>
      <c r="L4" s="84"/>
      <c r="M4" s="84"/>
      <c r="N4" s="84"/>
      <c r="O4" s="84"/>
    </row>
    <row r="5" spans="1:21" ht="14.4">
      <c r="B5" s="83"/>
    </row>
    <row r="6" spans="1:21">
      <c r="B6" s="252" t="s">
        <v>32</v>
      </c>
      <c r="C6" s="253" t="s">
        <v>31</v>
      </c>
      <c r="D6" s="254" t="s">
        <v>33</v>
      </c>
      <c r="E6" s="161">
        <v>2016</v>
      </c>
      <c r="F6" s="161">
        <v>2017</v>
      </c>
      <c r="G6" s="161">
        <v>2018</v>
      </c>
      <c r="H6" s="161">
        <v>2019</v>
      </c>
      <c r="I6" s="161">
        <v>2020</v>
      </c>
      <c r="J6" s="161">
        <v>2021</v>
      </c>
      <c r="K6" s="161">
        <v>2022</v>
      </c>
      <c r="L6" s="161">
        <v>2023</v>
      </c>
      <c r="M6" s="161">
        <v>2024</v>
      </c>
      <c r="N6" s="161">
        <v>2025</v>
      </c>
      <c r="O6" s="161">
        <v>2026</v>
      </c>
    </row>
    <row r="7" spans="1:21" ht="21">
      <c r="B7" s="14" t="s">
        <v>18</v>
      </c>
      <c r="E7" s="260" t="s">
        <v>17</v>
      </c>
    </row>
    <row r="8" spans="1:21">
      <c r="B8" s="361" t="s">
        <v>32</v>
      </c>
      <c r="C8" s="362" t="s">
        <v>31</v>
      </c>
      <c r="D8" s="362" t="s">
        <v>33</v>
      </c>
      <c r="E8" s="267">
        <v>2016</v>
      </c>
      <c r="F8" s="267">
        <v>2017</v>
      </c>
      <c r="G8" s="267">
        <v>2018</v>
      </c>
      <c r="H8" s="267">
        <v>2019</v>
      </c>
      <c r="I8" s="267">
        <v>2020</v>
      </c>
      <c r="J8" s="267">
        <v>2021</v>
      </c>
      <c r="K8" s="267">
        <v>2022</v>
      </c>
      <c r="L8" s="267">
        <v>2023</v>
      </c>
      <c r="M8" s="267">
        <v>2024</v>
      </c>
      <c r="N8" s="267">
        <v>2025</v>
      </c>
      <c r="O8" s="267">
        <v>2026</v>
      </c>
    </row>
    <row r="9" spans="1:21">
      <c r="A9" s="50" t="str">
        <f t="shared" ref="A9:A40" si="0">A179</f>
        <v>MMF</v>
      </c>
      <c r="B9" s="87" t="str">
        <f>Products!B36</f>
        <v>1G</v>
      </c>
      <c r="C9" s="88" t="str">
        <f>Products!C36</f>
        <v>500 m</v>
      </c>
      <c r="D9" s="89" t="str">
        <f>Products!D36</f>
        <v>SFP</v>
      </c>
      <c r="E9" s="90">
        <v>0</v>
      </c>
      <c r="F9" s="90">
        <v>0</v>
      </c>
      <c r="G9" s="90"/>
      <c r="H9" s="90"/>
      <c r="I9" s="90"/>
      <c r="J9" s="90"/>
      <c r="K9" s="90"/>
      <c r="L9" s="90"/>
      <c r="M9" s="90"/>
      <c r="N9" s="90"/>
      <c r="O9" s="90"/>
    </row>
    <row r="10" spans="1:21">
      <c r="A10" s="211" t="str">
        <f t="shared" si="0"/>
        <v>SMF</v>
      </c>
      <c r="B10" s="95" t="str">
        <f>Products!B37</f>
        <v>1G</v>
      </c>
      <c r="C10" s="96" t="str">
        <f>Products!C37</f>
        <v>10 km</v>
      </c>
      <c r="D10" s="97" t="str">
        <f>Products!D37</f>
        <v>SFP</v>
      </c>
      <c r="E10" s="98">
        <v>419674.79400000005</v>
      </c>
      <c r="F10" s="98">
        <v>256486.04</v>
      </c>
      <c r="G10" s="98"/>
      <c r="H10" s="98"/>
      <c r="I10" s="98"/>
      <c r="J10" s="98"/>
      <c r="K10" s="98"/>
      <c r="L10" s="98"/>
      <c r="M10" s="98"/>
      <c r="N10" s="98"/>
      <c r="O10" s="98"/>
    </row>
    <row r="11" spans="1:21">
      <c r="A11" s="211" t="str">
        <f t="shared" si="0"/>
        <v>SMF</v>
      </c>
      <c r="B11" s="95" t="str">
        <f>Products!B38</f>
        <v>1G</v>
      </c>
      <c r="C11" s="96" t="str">
        <f>Products!C38</f>
        <v>40 km</v>
      </c>
      <c r="D11" s="97" t="str">
        <f>Products!D38</f>
        <v>SFP</v>
      </c>
      <c r="E11" s="98">
        <v>0</v>
      </c>
      <c r="F11" s="98">
        <v>0</v>
      </c>
      <c r="G11" s="98"/>
      <c r="H11" s="98"/>
      <c r="I11" s="98"/>
      <c r="J11" s="98"/>
      <c r="K11" s="98"/>
      <c r="L11" s="98"/>
      <c r="M11" s="98"/>
      <c r="N11" s="98"/>
      <c r="O11" s="98"/>
    </row>
    <row r="12" spans="1:21">
      <c r="A12" s="211" t="str">
        <f t="shared" si="0"/>
        <v>SMF</v>
      </c>
      <c r="B12" s="95" t="str">
        <f>Products!B39</f>
        <v>1G</v>
      </c>
      <c r="C12" s="96" t="str">
        <f>Products!C39</f>
        <v>80 km</v>
      </c>
      <c r="D12" s="97" t="str">
        <f>Products!D39</f>
        <v>SFP</v>
      </c>
      <c r="E12" s="98">
        <v>0</v>
      </c>
      <c r="F12" s="98">
        <v>0</v>
      </c>
      <c r="G12" s="98"/>
      <c r="H12" s="98"/>
      <c r="I12" s="98"/>
      <c r="J12" s="98"/>
      <c r="K12" s="98"/>
      <c r="L12" s="98"/>
      <c r="M12" s="98"/>
      <c r="N12" s="98"/>
      <c r="O12" s="98"/>
    </row>
    <row r="13" spans="1:21">
      <c r="A13" s="211" t="str">
        <f t="shared" si="0"/>
        <v>Mix</v>
      </c>
      <c r="B13" s="91" t="str">
        <f>Products!B40</f>
        <v>1G &amp; Fast Ethernet</v>
      </c>
      <c r="C13" s="92" t="str">
        <f>Products!C40</f>
        <v>Various</v>
      </c>
      <c r="D13" s="93" t="str">
        <f>Products!D40</f>
        <v>Legacy/discontinued</v>
      </c>
      <c r="E13" s="695">
        <v>0</v>
      </c>
      <c r="F13" s="94"/>
      <c r="G13" s="94"/>
      <c r="H13" s="94"/>
      <c r="I13" s="94"/>
      <c r="J13" s="94"/>
      <c r="K13" s="94"/>
      <c r="L13" s="94"/>
      <c r="M13" s="94"/>
      <c r="N13" s="94"/>
      <c r="O13" s="94"/>
    </row>
    <row r="14" spans="1:21">
      <c r="A14" s="50" t="str">
        <f t="shared" si="0"/>
        <v>MMF</v>
      </c>
      <c r="B14" s="95" t="str">
        <f>Products!B41</f>
        <v>10G</v>
      </c>
      <c r="C14" s="96" t="str">
        <f>Products!C41</f>
        <v>300 m</v>
      </c>
      <c r="D14" s="89" t="str">
        <f>Products!D41</f>
        <v>XFP</v>
      </c>
      <c r="E14" s="98">
        <v>0</v>
      </c>
      <c r="F14" s="98">
        <v>0</v>
      </c>
      <c r="G14" s="98"/>
      <c r="H14" s="98"/>
      <c r="I14" s="98"/>
      <c r="J14" s="98"/>
      <c r="K14" s="98"/>
      <c r="L14" s="98"/>
      <c r="M14" s="98"/>
      <c r="N14" s="98"/>
      <c r="O14" s="98"/>
    </row>
    <row r="15" spans="1:21">
      <c r="A15" s="50" t="str">
        <f t="shared" si="0"/>
        <v>MMF</v>
      </c>
      <c r="B15" s="95" t="str">
        <f>Products!B42</f>
        <v>10G</v>
      </c>
      <c r="C15" s="96" t="str">
        <f>Products!C42</f>
        <v>300 m</v>
      </c>
      <c r="D15" s="97" t="str">
        <f>Products!D42</f>
        <v>SFP+</v>
      </c>
      <c r="E15" s="98">
        <v>5403152.7633599993</v>
      </c>
      <c r="F15" s="98">
        <v>5767016.8237702157</v>
      </c>
      <c r="G15" s="98"/>
      <c r="H15" s="98"/>
      <c r="I15" s="98"/>
      <c r="J15" s="98"/>
      <c r="K15" s="98"/>
      <c r="L15" s="98"/>
      <c r="M15" s="98"/>
      <c r="N15" s="98"/>
      <c r="O15" s="98"/>
    </row>
    <row r="16" spans="1:21">
      <c r="A16" s="50" t="str">
        <f t="shared" si="0"/>
        <v>MMF</v>
      </c>
      <c r="B16" s="95" t="str">
        <f>Products!B43</f>
        <v>10G LRM</v>
      </c>
      <c r="C16" s="96" t="str">
        <f>Products!C43</f>
        <v>220 m</v>
      </c>
      <c r="D16" s="97" t="str">
        <f>Products!D43</f>
        <v>SFP+</v>
      </c>
      <c r="E16" s="98">
        <v>0</v>
      </c>
      <c r="F16" s="98">
        <v>0</v>
      </c>
      <c r="G16" s="98"/>
      <c r="H16" s="98"/>
      <c r="I16" s="98"/>
      <c r="J16" s="98"/>
      <c r="K16" s="98"/>
      <c r="L16" s="98"/>
      <c r="M16" s="98"/>
      <c r="N16" s="98"/>
      <c r="O16" s="98"/>
    </row>
    <row r="17" spans="1:15">
      <c r="A17" s="211" t="str">
        <f t="shared" si="0"/>
        <v>SMF</v>
      </c>
      <c r="B17" s="95" t="str">
        <f>Products!B44</f>
        <v>10G</v>
      </c>
      <c r="C17" s="96" t="str">
        <f>Products!C44</f>
        <v>10 km</v>
      </c>
      <c r="D17" s="97" t="str">
        <f>Products!D44</f>
        <v>XFP</v>
      </c>
      <c r="E17" s="98">
        <v>0</v>
      </c>
      <c r="F17" s="98">
        <v>0</v>
      </c>
      <c r="G17" s="98"/>
      <c r="H17" s="98"/>
      <c r="I17" s="98"/>
      <c r="J17" s="98"/>
      <c r="K17" s="98"/>
      <c r="L17" s="98"/>
      <c r="M17" s="98"/>
      <c r="N17" s="98"/>
      <c r="O17" s="98"/>
    </row>
    <row r="18" spans="1:15">
      <c r="A18" s="211" t="str">
        <f t="shared" si="0"/>
        <v>SMF</v>
      </c>
      <c r="B18" s="95" t="str">
        <f>Products!B45</f>
        <v>10G</v>
      </c>
      <c r="C18" s="96" t="str">
        <f>Products!C45</f>
        <v>10 km</v>
      </c>
      <c r="D18" s="97" t="str">
        <f>Products!D45</f>
        <v>SFP+</v>
      </c>
      <c r="E18" s="98">
        <v>1772437.4053598638</v>
      </c>
      <c r="F18" s="98">
        <v>1842359.4908892442</v>
      </c>
      <c r="G18" s="98"/>
      <c r="H18" s="98"/>
      <c r="I18" s="98"/>
      <c r="J18" s="98"/>
      <c r="K18" s="98"/>
      <c r="L18" s="98"/>
      <c r="M18" s="98"/>
      <c r="N18" s="98"/>
      <c r="O18" s="98"/>
    </row>
    <row r="19" spans="1:15">
      <c r="A19" s="211" t="str">
        <f t="shared" si="0"/>
        <v>SMF</v>
      </c>
      <c r="B19" s="95" t="str">
        <f>Products!B46</f>
        <v>10G</v>
      </c>
      <c r="C19" s="96" t="str">
        <f>Products!C46</f>
        <v>40 km</v>
      </c>
      <c r="D19" s="97" t="str">
        <f>Products!D46</f>
        <v>XFP</v>
      </c>
      <c r="E19" s="98">
        <v>30525.800000000003</v>
      </c>
      <c r="F19" s="98">
        <v>21446.800000000003</v>
      </c>
      <c r="G19" s="98"/>
      <c r="H19" s="98"/>
      <c r="I19" s="98"/>
      <c r="J19" s="98"/>
      <c r="K19" s="98"/>
      <c r="L19" s="98"/>
      <c r="M19" s="98"/>
      <c r="N19" s="98"/>
      <c r="O19" s="98"/>
    </row>
    <row r="20" spans="1:15">
      <c r="A20" s="211" t="str">
        <f t="shared" si="0"/>
        <v>SMF</v>
      </c>
      <c r="B20" s="95" t="str">
        <f>Products!B47</f>
        <v>10G</v>
      </c>
      <c r="C20" s="96" t="str">
        <f>Products!C47</f>
        <v>40 km</v>
      </c>
      <c r="D20" s="97" t="str">
        <f>Products!D47</f>
        <v>SFP+</v>
      </c>
      <c r="E20" s="98">
        <v>25790.925000000003</v>
      </c>
      <c r="F20" s="98">
        <v>12915.93</v>
      </c>
      <c r="G20" s="98"/>
      <c r="H20" s="98"/>
      <c r="I20" s="98"/>
      <c r="J20" s="98"/>
      <c r="K20" s="98"/>
      <c r="L20" s="98"/>
      <c r="M20" s="98"/>
      <c r="N20" s="98"/>
      <c r="O20" s="98"/>
    </row>
    <row r="21" spans="1:15">
      <c r="A21" s="211" t="str">
        <f t="shared" si="0"/>
        <v>SMF</v>
      </c>
      <c r="B21" s="95" t="str">
        <f>Products!B48</f>
        <v>10G</v>
      </c>
      <c r="C21" s="96" t="str">
        <f>Products!C48</f>
        <v>80 km</v>
      </c>
      <c r="D21" s="97" t="str">
        <f>Products!D48</f>
        <v>XFP</v>
      </c>
      <c r="E21" s="98">
        <v>0</v>
      </c>
      <c r="F21" s="98">
        <v>0</v>
      </c>
      <c r="G21" s="98"/>
      <c r="H21" s="98"/>
      <c r="I21" s="98"/>
      <c r="J21" s="98"/>
      <c r="K21" s="98"/>
      <c r="L21" s="98"/>
      <c r="M21" s="98"/>
      <c r="N21" s="98"/>
      <c r="O21" s="98"/>
    </row>
    <row r="22" spans="1:15">
      <c r="A22" s="211" t="str">
        <f t="shared" si="0"/>
        <v>SMF</v>
      </c>
      <c r="B22" s="95" t="str">
        <f>Products!B49</f>
        <v>10G</v>
      </c>
      <c r="C22" s="96" t="str">
        <f>Products!C49</f>
        <v>80 km</v>
      </c>
      <c r="D22" s="97" t="str">
        <f>Products!D49</f>
        <v>SFP+</v>
      </c>
      <c r="E22" s="98">
        <v>0</v>
      </c>
      <c r="F22" s="98">
        <v>0</v>
      </c>
      <c r="G22" s="98"/>
      <c r="H22" s="98"/>
      <c r="I22" s="98"/>
      <c r="J22" s="98"/>
      <c r="K22" s="98"/>
      <c r="L22" s="98"/>
      <c r="M22" s="98"/>
      <c r="N22" s="98"/>
      <c r="O22" s="98"/>
    </row>
    <row r="23" spans="1:15">
      <c r="A23" s="211" t="str">
        <f t="shared" si="0"/>
        <v>Mix</v>
      </c>
      <c r="B23" s="95" t="str">
        <f>Products!B50</f>
        <v>10G</v>
      </c>
      <c r="C23" s="96" t="str">
        <f>Products!C50</f>
        <v>Various</v>
      </c>
      <c r="D23" s="93" t="str">
        <f>Products!D50</f>
        <v>Legacy/discontinued</v>
      </c>
      <c r="E23" s="98">
        <v>0</v>
      </c>
      <c r="F23" s="98">
        <v>0</v>
      </c>
      <c r="G23" s="98"/>
      <c r="H23" s="98"/>
      <c r="I23" s="98"/>
      <c r="J23" s="98"/>
      <c r="K23" s="98"/>
      <c r="L23" s="98"/>
      <c r="M23" s="98"/>
      <c r="N23" s="98"/>
      <c r="O23" s="98"/>
    </row>
    <row r="24" spans="1:15">
      <c r="A24" s="232" t="str">
        <f t="shared" si="0"/>
        <v>MMF</v>
      </c>
      <c r="B24" s="87" t="str">
        <f>Products!B51</f>
        <v>25G SR, eSR</v>
      </c>
      <c r="C24" s="88" t="str">
        <f>Products!C51</f>
        <v>100 - 300 m</v>
      </c>
      <c r="D24" s="89" t="str">
        <f>Products!D51</f>
        <v>SFP28</v>
      </c>
      <c r="E24" s="291">
        <v>0</v>
      </c>
      <c r="F24" s="291">
        <v>0</v>
      </c>
      <c r="G24" s="291"/>
      <c r="H24" s="291"/>
      <c r="I24" s="291"/>
      <c r="J24" s="291"/>
      <c r="K24" s="291"/>
      <c r="L24" s="291"/>
      <c r="M24" s="291"/>
      <c r="N24" s="291"/>
      <c r="O24" s="291"/>
    </row>
    <row r="25" spans="1:15">
      <c r="A25" s="233" t="str">
        <f t="shared" si="0"/>
        <v>SMF</v>
      </c>
      <c r="B25" s="95" t="str">
        <f>Products!B52</f>
        <v>25G LR</v>
      </c>
      <c r="C25" s="96" t="str">
        <f>Products!C52</f>
        <v>10 km</v>
      </c>
      <c r="D25" s="97" t="str">
        <f>Products!D52</f>
        <v>SFP28</v>
      </c>
      <c r="E25" s="192">
        <v>0</v>
      </c>
      <c r="F25" s="192">
        <v>0</v>
      </c>
      <c r="G25" s="192"/>
      <c r="H25" s="192"/>
      <c r="I25" s="192"/>
      <c r="J25" s="192"/>
      <c r="K25" s="192"/>
      <c r="L25" s="192"/>
      <c r="M25" s="192"/>
      <c r="N25" s="192"/>
      <c r="O25" s="192"/>
    </row>
    <row r="26" spans="1:15">
      <c r="A26" s="233" t="str">
        <f t="shared" si="0"/>
        <v>SMF</v>
      </c>
      <c r="B26" s="91" t="str">
        <f>Products!B53</f>
        <v>25G ER</v>
      </c>
      <c r="C26" s="92" t="str">
        <f>Products!C53</f>
        <v>40 km</v>
      </c>
      <c r="D26" s="93" t="str">
        <f>Products!D53</f>
        <v>SFP28</v>
      </c>
      <c r="E26" s="290">
        <v>0</v>
      </c>
      <c r="F26" s="290">
        <v>0</v>
      </c>
      <c r="G26" s="290"/>
      <c r="H26" s="290"/>
      <c r="I26" s="290"/>
      <c r="J26" s="290"/>
      <c r="K26" s="290"/>
      <c r="L26" s="290"/>
      <c r="M26" s="290"/>
      <c r="N26" s="290"/>
      <c r="O26" s="290"/>
    </row>
    <row r="27" spans="1:15">
      <c r="A27" s="50" t="str">
        <f t="shared" si="0"/>
        <v>MMF</v>
      </c>
      <c r="B27" s="95" t="str">
        <f>Products!B54</f>
        <v>40G SR4</v>
      </c>
      <c r="C27" s="96" t="str">
        <f>Products!C54</f>
        <v>100 m</v>
      </c>
      <c r="D27" s="97" t="str">
        <f>Products!D54</f>
        <v>QSFP+</v>
      </c>
      <c r="E27" s="291">
        <v>543944.75</v>
      </c>
      <c r="F27" s="291">
        <v>674740.2</v>
      </c>
      <c r="G27" s="291"/>
      <c r="H27" s="291"/>
      <c r="I27" s="291"/>
      <c r="J27" s="291"/>
      <c r="K27" s="291"/>
      <c r="L27" s="291"/>
      <c r="M27" s="291"/>
      <c r="N27" s="291"/>
      <c r="O27" s="291"/>
    </row>
    <row r="28" spans="1:15">
      <c r="A28" s="50" t="str">
        <f t="shared" si="0"/>
        <v>MMF</v>
      </c>
      <c r="B28" s="95" t="str">
        <f>Products!B55</f>
        <v>40G MM duplex</v>
      </c>
      <c r="C28" s="96" t="str">
        <f>Products!C55</f>
        <v>100 m</v>
      </c>
      <c r="D28" s="97" t="str">
        <f>Products!D55</f>
        <v>QSFP+</v>
      </c>
      <c r="E28" s="192">
        <v>0</v>
      </c>
      <c r="F28" s="192">
        <v>0</v>
      </c>
      <c r="G28" s="192"/>
      <c r="H28" s="192"/>
      <c r="I28" s="192"/>
      <c r="J28" s="192"/>
      <c r="K28" s="192"/>
      <c r="L28" s="192"/>
      <c r="M28" s="192"/>
      <c r="N28" s="192"/>
      <c r="O28" s="192"/>
    </row>
    <row r="29" spans="1:15">
      <c r="A29" s="50" t="str">
        <f t="shared" si="0"/>
        <v>MMF</v>
      </c>
      <c r="B29" s="95" t="str">
        <f>Products!B56</f>
        <v>40G eSR4</v>
      </c>
      <c r="C29" s="96" t="str">
        <f>Products!C56</f>
        <v>300 m</v>
      </c>
      <c r="D29" s="97" t="str">
        <f>Products!D56</f>
        <v>QSFP+</v>
      </c>
      <c r="E29" s="192">
        <v>233978.65</v>
      </c>
      <c r="F29" s="192">
        <v>396554.75</v>
      </c>
      <c r="G29" s="192"/>
      <c r="H29" s="192"/>
      <c r="I29" s="192"/>
      <c r="J29" s="192"/>
      <c r="K29" s="192"/>
      <c r="L29" s="192"/>
      <c r="M29" s="192"/>
      <c r="N29" s="192"/>
      <c r="O29" s="192"/>
    </row>
    <row r="30" spans="1:15">
      <c r="A30" s="211" t="str">
        <f t="shared" si="0"/>
        <v>SMF</v>
      </c>
      <c r="B30" s="95" t="s">
        <v>257</v>
      </c>
      <c r="C30" s="96" t="s">
        <v>44</v>
      </c>
      <c r="D30" s="97" t="s">
        <v>89</v>
      </c>
      <c r="E30" s="192">
        <v>813790</v>
      </c>
      <c r="F30" s="192">
        <v>613640</v>
      </c>
      <c r="G30" s="192"/>
      <c r="H30" s="192"/>
      <c r="I30" s="192"/>
      <c r="J30" s="192"/>
      <c r="K30" s="192"/>
      <c r="L30" s="192"/>
      <c r="M30" s="192"/>
      <c r="N30" s="192"/>
      <c r="O30" s="192"/>
    </row>
    <row r="31" spans="1:15">
      <c r="A31" s="211" t="str">
        <f t="shared" si="0"/>
        <v>SMF</v>
      </c>
      <c r="B31" s="95" t="str">
        <f>Products!B58</f>
        <v>40G (FR)</v>
      </c>
      <c r="C31" s="96" t="str">
        <f>Products!C58</f>
        <v>2 km</v>
      </c>
      <c r="D31" s="97" t="str">
        <f>Products!D58</f>
        <v>CFP</v>
      </c>
      <c r="E31" s="192">
        <v>0</v>
      </c>
      <c r="F31" s="192">
        <v>0</v>
      </c>
      <c r="G31" s="192"/>
      <c r="H31" s="192"/>
      <c r="I31" s="192"/>
      <c r="J31" s="192"/>
      <c r="K31" s="192"/>
      <c r="L31" s="192"/>
      <c r="M31" s="192"/>
      <c r="N31" s="192"/>
      <c r="O31" s="192"/>
    </row>
    <row r="32" spans="1:15">
      <c r="A32" s="211" t="str">
        <f t="shared" si="0"/>
        <v>SMF</v>
      </c>
      <c r="B32" s="95" t="str">
        <f>Products!B59</f>
        <v>40G (LR4 subspec)</v>
      </c>
      <c r="C32" s="96" t="str">
        <f>Products!C59</f>
        <v>2 km</v>
      </c>
      <c r="D32" s="97" t="str">
        <f>Products!D59</f>
        <v>QSFP+</v>
      </c>
      <c r="E32" s="192">
        <v>470209</v>
      </c>
      <c r="F32" s="192">
        <v>806616</v>
      </c>
      <c r="G32" s="192"/>
      <c r="H32" s="192"/>
      <c r="I32" s="192"/>
      <c r="J32" s="192"/>
      <c r="K32" s="192"/>
      <c r="L32" s="192"/>
      <c r="M32" s="192"/>
      <c r="N32" s="192"/>
      <c r="O32" s="192"/>
    </row>
    <row r="33" spans="1:15">
      <c r="A33" s="211" t="str">
        <f t="shared" si="0"/>
        <v>SMF</v>
      </c>
      <c r="B33" s="95" t="str">
        <f>Products!B60</f>
        <v>40G</v>
      </c>
      <c r="C33" s="96" t="str">
        <f>Products!C60</f>
        <v>10 km</v>
      </c>
      <c r="D33" s="97" t="str">
        <f>Products!D60</f>
        <v>CFP</v>
      </c>
      <c r="E33" s="192">
        <v>332.75</v>
      </c>
      <c r="F33" s="192">
        <v>142.30000000000001</v>
      </c>
      <c r="G33" s="192"/>
      <c r="H33" s="192"/>
      <c r="I33" s="192"/>
      <c r="J33" s="192"/>
      <c r="K33" s="192"/>
      <c r="L33" s="192"/>
      <c r="M33" s="192"/>
      <c r="N33" s="192"/>
      <c r="O33" s="192"/>
    </row>
    <row r="34" spans="1:15">
      <c r="A34" s="211" t="str">
        <f t="shared" si="0"/>
        <v>SMF</v>
      </c>
      <c r="B34" s="95" t="str">
        <f>Products!B61</f>
        <v>40G</v>
      </c>
      <c r="C34" s="96" t="str">
        <f>Products!C61</f>
        <v>10 km</v>
      </c>
      <c r="D34" s="97" t="str">
        <f>Products!D61</f>
        <v>QSFP+</v>
      </c>
      <c r="E34" s="192">
        <v>261784.80000000002</v>
      </c>
      <c r="F34" s="192">
        <v>339486.4</v>
      </c>
      <c r="G34" s="192"/>
      <c r="H34" s="192"/>
      <c r="I34" s="192"/>
      <c r="J34" s="192"/>
      <c r="K34" s="192"/>
      <c r="L34" s="192"/>
      <c r="M34" s="192"/>
      <c r="N34" s="192"/>
      <c r="O34" s="192"/>
    </row>
    <row r="35" spans="1:15">
      <c r="A35" s="211" t="str">
        <f t="shared" si="0"/>
        <v>SMF</v>
      </c>
      <c r="B35" s="91" t="str">
        <f>Products!B62</f>
        <v>40G</v>
      </c>
      <c r="C35" s="92" t="str">
        <f>Products!C62</f>
        <v>40 km</v>
      </c>
      <c r="D35" s="93" t="str">
        <f>Products!D62</f>
        <v>QSFP+</v>
      </c>
      <c r="E35" s="290">
        <v>1223.5</v>
      </c>
      <c r="F35" s="290">
        <v>1358</v>
      </c>
      <c r="G35" s="290"/>
      <c r="H35" s="290"/>
      <c r="I35" s="290"/>
      <c r="J35" s="290"/>
      <c r="K35" s="290"/>
      <c r="L35" s="290"/>
      <c r="M35" s="290"/>
      <c r="N35" s="290"/>
      <c r="O35" s="290"/>
    </row>
    <row r="36" spans="1:15">
      <c r="A36" s="50" t="str">
        <f t="shared" si="0"/>
        <v>MMF</v>
      </c>
      <c r="B36" s="87" t="str">
        <f>Products!B63</f>
        <v xml:space="preserve">50G </v>
      </c>
      <c r="C36" s="88" t="str">
        <f>Products!C63</f>
        <v>100 m</v>
      </c>
      <c r="D36" s="89" t="str">
        <f>Products!D63</f>
        <v>all</v>
      </c>
      <c r="E36" s="192">
        <v>0</v>
      </c>
      <c r="F36" s="192">
        <v>0</v>
      </c>
      <c r="G36" s="192"/>
      <c r="H36" s="192"/>
      <c r="I36" s="192"/>
      <c r="J36" s="192"/>
      <c r="K36" s="192"/>
      <c r="L36" s="192"/>
      <c r="M36" s="192"/>
      <c r="N36" s="192"/>
      <c r="O36" s="192"/>
    </row>
    <row r="37" spans="1:15">
      <c r="A37" s="211" t="str">
        <f t="shared" si="0"/>
        <v>SMF</v>
      </c>
      <c r="B37" s="95" t="str">
        <f>Products!B64</f>
        <v xml:space="preserve">50G </v>
      </c>
      <c r="C37" s="96" t="str">
        <f>Products!C64</f>
        <v>2 km</v>
      </c>
      <c r="D37" s="97" t="str">
        <f>Products!D64</f>
        <v>all</v>
      </c>
      <c r="E37" s="192">
        <v>0</v>
      </c>
      <c r="F37" s="192">
        <v>0</v>
      </c>
      <c r="G37" s="192"/>
      <c r="H37" s="192"/>
      <c r="I37" s="192"/>
      <c r="J37" s="192"/>
      <c r="K37" s="192"/>
      <c r="L37" s="192"/>
      <c r="M37" s="192"/>
      <c r="N37" s="192"/>
      <c r="O37" s="192"/>
    </row>
    <row r="38" spans="1:15">
      <c r="A38" s="211" t="str">
        <f t="shared" si="0"/>
        <v>SMF</v>
      </c>
      <c r="B38" s="95" t="str">
        <f>Products!B65</f>
        <v xml:space="preserve">50G </v>
      </c>
      <c r="C38" s="96" t="str">
        <f>Products!C65</f>
        <v>10 km</v>
      </c>
      <c r="D38" s="97" t="str">
        <f>Products!D65</f>
        <v>all</v>
      </c>
      <c r="E38" s="192">
        <v>0</v>
      </c>
      <c r="F38" s="192">
        <v>0</v>
      </c>
      <c r="G38" s="192"/>
      <c r="H38" s="192"/>
      <c r="I38" s="192"/>
      <c r="J38" s="192"/>
      <c r="K38" s="192"/>
      <c r="L38" s="192"/>
      <c r="M38" s="192"/>
      <c r="N38" s="192"/>
      <c r="O38" s="192"/>
    </row>
    <row r="39" spans="1:15">
      <c r="A39" s="211" t="str">
        <f t="shared" si="0"/>
        <v>SMF</v>
      </c>
      <c r="B39" s="95" t="str">
        <f>Products!B66</f>
        <v xml:space="preserve">50G </v>
      </c>
      <c r="C39" s="96" t="str">
        <f>Products!C66</f>
        <v>40 km</v>
      </c>
      <c r="D39" s="97" t="str">
        <f>Products!D66</f>
        <v>all</v>
      </c>
      <c r="E39" s="192">
        <v>0</v>
      </c>
      <c r="F39" s="192">
        <v>0</v>
      </c>
      <c r="G39" s="192"/>
      <c r="H39" s="192"/>
      <c r="I39" s="192"/>
      <c r="J39" s="192"/>
      <c r="K39" s="192"/>
      <c r="L39" s="192"/>
      <c r="M39" s="192"/>
      <c r="N39" s="192"/>
      <c r="O39" s="192"/>
    </row>
    <row r="40" spans="1:15">
      <c r="A40" s="211" t="str">
        <f t="shared" si="0"/>
        <v>SMF</v>
      </c>
      <c r="B40" s="95" t="str">
        <f>Products!B67</f>
        <v xml:space="preserve">50G </v>
      </c>
      <c r="C40" s="96" t="str">
        <f>Products!C67</f>
        <v>80 km</v>
      </c>
      <c r="D40" s="97" t="str">
        <f>Products!D67</f>
        <v>all</v>
      </c>
      <c r="E40" s="192">
        <v>0</v>
      </c>
      <c r="F40" s="192">
        <v>0</v>
      </c>
      <c r="G40" s="192"/>
      <c r="H40" s="192"/>
      <c r="I40" s="192"/>
      <c r="J40" s="192"/>
      <c r="K40" s="192"/>
      <c r="L40" s="192"/>
      <c r="M40" s="192"/>
      <c r="N40" s="192"/>
      <c r="O40" s="192"/>
    </row>
    <row r="41" spans="1:15">
      <c r="A41" s="50" t="str">
        <f t="shared" ref="A41:A60" si="1">A211</f>
        <v>MMF</v>
      </c>
      <c r="B41" s="87" t="str">
        <f>Products!B68</f>
        <v>100G SR4</v>
      </c>
      <c r="C41" s="88" t="str">
        <f>Products!C68</f>
        <v>100 m</v>
      </c>
      <c r="D41" s="89" t="str">
        <f>Products!D68</f>
        <v>CFP</v>
      </c>
      <c r="E41" s="291">
        <v>0</v>
      </c>
      <c r="F41" s="291">
        <v>0</v>
      </c>
      <c r="G41" s="291"/>
      <c r="H41" s="291"/>
      <c r="I41" s="291"/>
      <c r="J41" s="291"/>
      <c r="K41" s="291"/>
      <c r="L41" s="291"/>
      <c r="M41" s="291"/>
      <c r="N41" s="291"/>
      <c r="O41" s="291"/>
    </row>
    <row r="42" spans="1:15">
      <c r="A42" s="50" t="str">
        <f t="shared" si="1"/>
        <v>MMF</v>
      </c>
      <c r="B42" s="95" t="str">
        <f>Products!B69</f>
        <v>100G SR4</v>
      </c>
      <c r="C42" s="96" t="str">
        <f>Products!C69</f>
        <v>100 m</v>
      </c>
      <c r="D42" s="97" t="str">
        <f>Products!D69</f>
        <v>CFP2/4</v>
      </c>
      <c r="E42" s="192">
        <v>0</v>
      </c>
      <c r="F42" s="192">
        <v>0</v>
      </c>
      <c r="G42" s="192"/>
      <c r="H42" s="192"/>
      <c r="I42" s="192"/>
      <c r="J42" s="192"/>
      <c r="K42" s="192"/>
      <c r="L42" s="192"/>
      <c r="M42" s="192"/>
      <c r="N42" s="192"/>
      <c r="O42" s="192"/>
    </row>
    <row r="43" spans="1:15">
      <c r="A43" s="50" t="str">
        <f t="shared" si="1"/>
        <v>MMF</v>
      </c>
      <c r="B43" s="95" t="str">
        <f>Products!B70</f>
        <v>100G SR4</v>
      </c>
      <c r="C43" s="96" t="str">
        <f>Products!C70</f>
        <v>100 m</v>
      </c>
      <c r="D43" s="97" t="str">
        <f>Products!D70</f>
        <v>QSFP28</v>
      </c>
      <c r="E43" s="192">
        <v>280058</v>
      </c>
      <c r="F43" s="192">
        <v>622792</v>
      </c>
      <c r="G43" s="192"/>
      <c r="H43" s="192"/>
      <c r="I43" s="192"/>
      <c r="J43" s="192"/>
      <c r="K43" s="192"/>
      <c r="L43" s="192"/>
      <c r="M43" s="192"/>
      <c r="N43" s="192"/>
      <c r="O43" s="192"/>
    </row>
    <row r="44" spans="1:15">
      <c r="A44" s="50" t="str">
        <f t="shared" si="1"/>
        <v>MMF</v>
      </c>
      <c r="B44" s="95" t="str">
        <f>Products!B71</f>
        <v>100G SR2</v>
      </c>
      <c r="C44" s="96" t="str">
        <f>Products!C71</f>
        <v>100 m</v>
      </c>
      <c r="D44" s="97" t="str">
        <f>Products!D71</f>
        <v>All</v>
      </c>
      <c r="E44" s="192">
        <v>0</v>
      </c>
      <c r="F44" s="192">
        <v>0</v>
      </c>
      <c r="G44" s="192"/>
      <c r="H44" s="192"/>
      <c r="I44" s="192"/>
      <c r="J44" s="192"/>
      <c r="K44" s="192"/>
      <c r="L44" s="192"/>
      <c r="M44" s="192"/>
      <c r="N44" s="192"/>
      <c r="O44" s="192"/>
    </row>
    <row r="45" spans="1:15">
      <c r="A45" s="50" t="str">
        <f t="shared" si="1"/>
        <v>MMF</v>
      </c>
      <c r="B45" s="95" t="str">
        <f>Products!B72</f>
        <v>100G MM Duplex</v>
      </c>
      <c r="C45" s="96" t="str">
        <f>Products!C72</f>
        <v>100 - 300 m</v>
      </c>
      <c r="D45" s="97" t="str">
        <f>Products!D72</f>
        <v>QSFP28</v>
      </c>
      <c r="E45" s="192">
        <v>0</v>
      </c>
      <c r="F45" s="192">
        <v>0</v>
      </c>
      <c r="G45" s="192"/>
      <c r="H45" s="192"/>
      <c r="I45" s="192"/>
      <c r="J45" s="192"/>
      <c r="K45" s="192"/>
      <c r="L45" s="192"/>
      <c r="M45" s="192"/>
      <c r="N45" s="192"/>
      <c r="O45" s="192"/>
    </row>
    <row r="46" spans="1:15">
      <c r="A46" s="50" t="str">
        <f t="shared" si="1"/>
        <v>MMF</v>
      </c>
      <c r="B46" s="95" t="str">
        <f>Products!B73</f>
        <v>100G eSR4</v>
      </c>
      <c r="C46" s="96" t="str">
        <f>Products!C73</f>
        <v>300 m</v>
      </c>
      <c r="D46" s="97" t="str">
        <f>Products!D73</f>
        <v>QSFP28</v>
      </c>
      <c r="E46" s="192">
        <v>0</v>
      </c>
      <c r="F46" s="192">
        <v>0</v>
      </c>
      <c r="G46" s="192"/>
      <c r="H46" s="192"/>
      <c r="I46" s="192"/>
      <c r="J46" s="192"/>
      <c r="K46" s="192"/>
      <c r="L46" s="192"/>
      <c r="M46" s="192"/>
      <c r="N46" s="192"/>
      <c r="O46" s="192"/>
    </row>
    <row r="47" spans="1:15">
      <c r="A47" s="211" t="str">
        <f t="shared" si="1"/>
        <v>SMF</v>
      </c>
      <c r="B47" s="95" t="str">
        <f>Products!B74</f>
        <v>100G PSM4</v>
      </c>
      <c r="C47" s="96" t="str">
        <f>Products!C74</f>
        <v>500 m</v>
      </c>
      <c r="D47" s="97" t="str">
        <f>Products!D74</f>
        <v>QSFP28</v>
      </c>
      <c r="E47" s="192">
        <v>200861</v>
      </c>
      <c r="F47" s="192">
        <v>710038</v>
      </c>
      <c r="G47" s="192"/>
      <c r="H47" s="192"/>
      <c r="I47" s="192"/>
      <c r="J47" s="192"/>
      <c r="K47" s="192"/>
      <c r="L47" s="192"/>
      <c r="M47" s="192"/>
      <c r="N47" s="192"/>
      <c r="O47" s="192"/>
    </row>
    <row r="48" spans="1:15">
      <c r="A48" s="211" t="str">
        <f t="shared" si="1"/>
        <v>SMF</v>
      </c>
      <c r="B48" s="95" t="str">
        <f>Products!B75</f>
        <v>100G DR</v>
      </c>
      <c r="C48" s="96" t="str">
        <f>Products!C75</f>
        <v>500m</v>
      </c>
      <c r="D48" s="97" t="str">
        <f>Products!D75</f>
        <v>QSFP28</v>
      </c>
      <c r="E48" s="192">
        <v>0</v>
      </c>
      <c r="F48" s="192">
        <v>0</v>
      </c>
      <c r="G48" s="192"/>
      <c r="H48" s="192"/>
      <c r="I48" s="192"/>
      <c r="J48" s="192"/>
      <c r="K48" s="192"/>
      <c r="L48" s="192"/>
      <c r="M48" s="192"/>
      <c r="N48" s="192"/>
      <c r="O48" s="192"/>
    </row>
    <row r="49" spans="1:15">
      <c r="A49" s="211" t="str">
        <f t="shared" si="1"/>
        <v>SMF</v>
      </c>
      <c r="B49" s="95" t="str">
        <f>Products!B76</f>
        <v>100G CWDM4-subspec</v>
      </c>
      <c r="C49" s="96" t="str">
        <f>Products!C76</f>
        <v>500 m</v>
      </c>
      <c r="D49" s="97" t="str">
        <f>Products!D76</f>
        <v>QSFP28</v>
      </c>
      <c r="E49" s="192">
        <v>88200.6</v>
      </c>
      <c r="F49" s="192">
        <v>683412.1</v>
      </c>
      <c r="G49" s="192"/>
      <c r="H49" s="192"/>
      <c r="I49" s="192"/>
      <c r="J49" s="192"/>
      <c r="K49" s="192"/>
      <c r="L49" s="192"/>
      <c r="M49" s="192"/>
      <c r="N49" s="192"/>
      <c r="O49" s="192"/>
    </row>
    <row r="50" spans="1:15">
      <c r="A50" s="211" t="str">
        <f t="shared" si="1"/>
        <v>SMF</v>
      </c>
      <c r="B50" s="95" t="str">
        <f>Products!B77</f>
        <v>100G CWDM4</v>
      </c>
      <c r="C50" s="96" t="str">
        <f>Products!C77</f>
        <v>2 km</v>
      </c>
      <c r="D50" s="97" t="str">
        <f>Products!D77</f>
        <v>QSFP28</v>
      </c>
      <c r="E50" s="192">
        <v>30989.399999999994</v>
      </c>
      <c r="F50" s="192">
        <v>292890.90000000002</v>
      </c>
      <c r="G50" s="192"/>
      <c r="H50" s="192"/>
      <c r="I50" s="192"/>
      <c r="J50" s="192"/>
      <c r="K50" s="192"/>
      <c r="L50" s="192"/>
      <c r="M50" s="192"/>
      <c r="N50" s="192"/>
      <c r="O50" s="192"/>
    </row>
    <row r="51" spans="1:15">
      <c r="A51" s="211" t="str">
        <f t="shared" si="1"/>
        <v>SMF</v>
      </c>
      <c r="B51" s="95" t="str">
        <f>Products!B78</f>
        <v>100G FR, DR+</v>
      </c>
      <c r="C51" s="96" t="str">
        <f>Products!C78</f>
        <v>2 km</v>
      </c>
      <c r="D51" s="97" t="str">
        <f>Products!D78</f>
        <v>QSFP28</v>
      </c>
      <c r="E51" s="192">
        <v>0</v>
      </c>
      <c r="F51" s="192">
        <v>0</v>
      </c>
      <c r="G51" s="192"/>
      <c r="H51" s="192"/>
      <c r="I51" s="192"/>
      <c r="J51" s="192"/>
      <c r="K51" s="192"/>
      <c r="L51" s="192"/>
      <c r="M51" s="192"/>
      <c r="N51" s="192"/>
      <c r="O51" s="192"/>
    </row>
    <row r="52" spans="1:15">
      <c r="A52" s="211" t="str">
        <f t="shared" si="1"/>
        <v>SMF</v>
      </c>
      <c r="B52" s="95" t="str">
        <f>Products!B79</f>
        <v>100G LR4</v>
      </c>
      <c r="C52" s="96" t="str">
        <f>Products!C79</f>
        <v>10 km</v>
      </c>
      <c r="D52" s="97" t="str">
        <f>Products!D79</f>
        <v>CFP</v>
      </c>
      <c r="E52" s="192">
        <v>0</v>
      </c>
      <c r="F52" s="192">
        <v>0</v>
      </c>
      <c r="G52" s="192"/>
      <c r="H52" s="192"/>
      <c r="I52" s="192"/>
      <c r="J52" s="192"/>
      <c r="K52" s="192"/>
      <c r="L52" s="192"/>
      <c r="M52" s="192"/>
      <c r="N52" s="192"/>
      <c r="O52" s="192"/>
    </row>
    <row r="53" spans="1:15">
      <c r="A53" s="211" t="str">
        <f t="shared" si="1"/>
        <v>SMF</v>
      </c>
      <c r="B53" s="95" t="str">
        <f>Products!B80</f>
        <v>100G LR4</v>
      </c>
      <c r="C53" s="96" t="str">
        <f>Products!C80</f>
        <v>10 km</v>
      </c>
      <c r="D53" s="97" t="str">
        <f>Products!D80</f>
        <v>CFP2/4</v>
      </c>
      <c r="E53" s="192">
        <v>0</v>
      </c>
      <c r="F53" s="192">
        <v>0</v>
      </c>
      <c r="G53" s="192"/>
      <c r="H53" s="192"/>
      <c r="I53" s="192"/>
      <c r="J53" s="192"/>
      <c r="K53" s="192"/>
      <c r="L53" s="192"/>
      <c r="M53" s="192"/>
      <c r="N53" s="192"/>
      <c r="O53" s="192"/>
    </row>
    <row r="54" spans="1:15">
      <c r="A54" s="211" t="str">
        <f t="shared" si="1"/>
        <v>SMF</v>
      </c>
      <c r="B54" s="95" t="str">
        <f>Products!B81</f>
        <v>100G LR4 and LR1</v>
      </c>
      <c r="C54" s="96" t="str">
        <f>Products!C81</f>
        <v>10 km</v>
      </c>
      <c r="D54" s="97" t="str">
        <f>Products!D81</f>
        <v>QSFP28</v>
      </c>
      <c r="E54" s="192">
        <v>72354.400000000009</v>
      </c>
      <c r="F54" s="192">
        <v>253646.4</v>
      </c>
      <c r="G54" s="192"/>
      <c r="H54" s="192"/>
      <c r="I54" s="192"/>
      <c r="J54" s="192"/>
      <c r="K54" s="192"/>
      <c r="L54" s="192"/>
      <c r="M54" s="192"/>
      <c r="N54" s="192"/>
      <c r="O54" s="192"/>
    </row>
    <row r="55" spans="1:15">
      <c r="A55" s="211" t="str">
        <f t="shared" si="1"/>
        <v>SMF</v>
      </c>
      <c r="B55" s="95" t="str">
        <f>Products!B82</f>
        <v>100G 4WDM10</v>
      </c>
      <c r="C55" s="96" t="str">
        <f>Products!C82</f>
        <v>10 km</v>
      </c>
      <c r="D55" s="97" t="str">
        <f>Products!D82</f>
        <v>QSFP28</v>
      </c>
      <c r="E55" s="192">
        <v>0</v>
      </c>
      <c r="F55" s="192">
        <v>40500</v>
      </c>
      <c r="G55" s="192"/>
      <c r="H55" s="192"/>
      <c r="I55" s="192"/>
      <c r="J55" s="192"/>
      <c r="K55" s="192"/>
      <c r="L55" s="192"/>
      <c r="M55" s="192"/>
      <c r="N55" s="192"/>
      <c r="O55" s="192"/>
    </row>
    <row r="56" spans="1:15">
      <c r="A56" s="211" t="str">
        <f t="shared" si="1"/>
        <v>SMF</v>
      </c>
      <c r="B56" s="95" t="str">
        <f>Products!B83</f>
        <v>100G 4WDM20</v>
      </c>
      <c r="C56" s="96" t="str">
        <f>Products!C83</f>
        <v>20 km</v>
      </c>
      <c r="D56" s="97" t="str">
        <f>Products!D83</f>
        <v>QSFP28</v>
      </c>
      <c r="E56" s="192">
        <v>0</v>
      </c>
      <c r="F56" s="192">
        <v>0</v>
      </c>
      <c r="G56" s="192"/>
      <c r="H56" s="192"/>
      <c r="I56" s="192"/>
      <c r="J56" s="192"/>
      <c r="K56" s="192"/>
      <c r="L56" s="192"/>
      <c r="M56" s="192"/>
      <c r="N56" s="192"/>
      <c r="O56" s="192"/>
    </row>
    <row r="57" spans="1:15">
      <c r="A57" s="211" t="str">
        <f t="shared" si="1"/>
        <v>SMF</v>
      </c>
      <c r="B57" s="95" t="str">
        <f>Products!B84</f>
        <v>100G ER4-Lite</v>
      </c>
      <c r="C57" s="96" t="str">
        <f>Products!C84</f>
        <v>30 km</v>
      </c>
      <c r="D57" s="97" t="str">
        <f>Products!D84</f>
        <v>QSFP28</v>
      </c>
      <c r="E57" s="192">
        <v>0</v>
      </c>
      <c r="F57" s="192">
        <v>0</v>
      </c>
      <c r="G57" s="192"/>
      <c r="H57" s="192"/>
      <c r="I57" s="192"/>
      <c r="J57" s="192"/>
      <c r="K57" s="192"/>
      <c r="L57" s="192"/>
      <c r="M57" s="192"/>
      <c r="N57" s="192"/>
      <c r="O57" s="192"/>
    </row>
    <row r="58" spans="1:15">
      <c r="A58" s="211" t="str">
        <f t="shared" si="1"/>
        <v>SMF</v>
      </c>
      <c r="B58" s="95" t="str">
        <f>Products!B85</f>
        <v>100G ER4</v>
      </c>
      <c r="C58" s="96" t="str">
        <f>Products!C85</f>
        <v>40 km</v>
      </c>
      <c r="D58" s="97" t="str">
        <f>Products!D85</f>
        <v>QSFP28</v>
      </c>
      <c r="E58" s="192">
        <v>0</v>
      </c>
      <c r="F58" s="192">
        <v>0</v>
      </c>
      <c r="G58" s="192"/>
      <c r="H58" s="192"/>
      <c r="I58" s="192"/>
      <c r="J58" s="192"/>
      <c r="K58" s="192"/>
      <c r="L58" s="192"/>
      <c r="M58" s="192"/>
      <c r="N58" s="192"/>
      <c r="O58" s="192"/>
    </row>
    <row r="59" spans="1:15">
      <c r="A59" s="211" t="str">
        <f t="shared" si="1"/>
        <v>SMF</v>
      </c>
      <c r="B59" s="95" t="str">
        <f>Products!B86</f>
        <v>100G ZR4</v>
      </c>
      <c r="C59" s="96" t="str">
        <f>Products!C86</f>
        <v>80 km</v>
      </c>
      <c r="D59" s="97" t="str">
        <f>Products!D86</f>
        <v>QSFP28</v>
      </c>
      <c r="E59" s="94">
        <v>0</v>
      </c>
      <c r="F59" s="94">
        <v>0</v>
      </c>
      <c r="G59" s="94"/>
      <c r="H59" s="94"/>
      <c r="I59" s="94"/>
      <c r="J59" s="94"/>
      <c r="K59" s="94"/>
      <c r="L59" s="94"/>
      <c r="M59" s="94"/>
      <c r="N59" s="94"/>
      <c r="O59" s="94"/>
    </row>
    <row r="60" spans="1:15">
      <c r="A60" s="232" t="str">
        <f t="shared" si="1"/>
        <v>MMF</v>
      </c>
      <c r="B60" s="234" t="str">
        <f>Products!B87</f>
        <v>200G SR4</v>
      </c>
      <c r="C60" s="235" t="str">
        <f>Products!C87</f>
        <v>100 m</v>
      </c>
      <c r="D60" s="236" t="str">
        <f>Products!D87</f>
        <v>QSFP56</v>
      </c>
      <c r="E60" s="90">
        <v>0</v>
      </c>
      <c r="F60" s="90">
        <v>0</v>
      </c>
      <c r="G60" s="90"/>
      <c r="H60" s="90"/>
      <c r="I60" s="90"/>
      <c r="J60" s="90"/>
      <c r="K60" s="90"/>
      <c r="L60" s="90"/>
      <c r="M60" s="90"/>
      <c r="N60" s="90"/>
      <c r="O60" s="90"/>
    </row>
    <row r="61" spans="1:15">
      <c r="A61" s="232"/>
      <c r="B61" s="237" t="str">
        <f>Products!B88</f>
        <v>200G DR</v>
      </c>
      <c r="C61" s="238" t="str">
        <f>Products!C88</f>
        <v>500 m</v>
      </c>
      <c r="D61" s="239" t="str">
        <f>Products!D88</f>
        <v>TBD</v>
      </c>
      <c r="E61" s="98">
        <v>0</v>
      </c>
      <c r="F61" s="98">
        <v>0</v>
      </c>
      <c r="G61" s="98"/>
      <c r="H61" s="98"/>
      <c r="I61" s="98"/>
      <c r="J61" s="98"/>
      <c r="K61" s="98"/>
      <c r="L61" s="98"/>
      <c r="M61" s="98"/>
      <c r="N61" s="98"/>
      <c r="O61" s="98"/>
    </row>
    <row r="62" spans="1:15">
      <c r="A62" s="233" t="str">
        <f>A232</f>
        <v>SMF</v>
      </c>
      <c r="B62" s="237" t="str">
        <f>Products!B89</f>
        <v>200G FR4</v>
      </c>
      <c r="C62" s="238" t="str">
        <f>Products!C89</f>
        <v>3 km</v>
      </c>
      <c r="D62" s="239" t="str">
        <f>Products!D89</f>
        <v>QSFP56</v>
      </c>
      <c r="E62" s="98">
        <v>0</v>
      </c>
      <c r="F62" s="98">
        <v>0</v>
      </c>
      <c r="G62" s="98"/>
      <c r="H62" s="98"/>
      <c r="I62" s="98"/>
      <c r="J62" s="98"/>
      <c r="K62" s="98"/>
      <c r="L62" s="98"/>
      <c r="M62" s="98"/>
      <c r="N62" s="98"/>
      <c r="O62" s="98"/>
    </row>
    <row r="63" spans="1:15">
      <c r="A63" s="233"/>
      <c r="B63" s="237" t="str">
        <f>Products!B90</f>
        <v>200G LR</v>
      </c>
      <c r="C63" s="238" t="str">
        <f>Products!C90</f>
        <v>10 km</v>
      </c>
      <c r="D63" s="239" t="str">
        <f>Products!D90</f>
        <v>TBD</v>
      </c>
      <c r="E63" s="98">
        <v>0</v>
      </c>
      <c r="F63" s="98">
        <v>0</v>
      </c>
      <c r="G63" s="98"/>
      <c r="H63" s="98"/>
      <c r="I63" s="98"/>
      <c r="J63" s="98"/>
      <c r="K63" s="98"/>
      <c r="L63" s="98"/>
      <c r="M63" s="98"/>
      <c r="N63" s="98"/>
      <c r="O63" s="98"/>
    </row>
    <row r="64" spans="1:15">
      <c r="A64" s="233"/>
      <c r="B64" s="237" t="str">
        <f>Products!B91</f>
        <v>200G ER4</v>
      </c>
      <c r="C64" s="238" t="str">
        <f>Products!C91</f>
        <v>40 km</v>
      </c>
      <c r="D64" s="239" t="str">
        <f>Products!D91</f>
        <v>TBD</v>
      </c>
      <c r="E64" s="98">
        <v>0</v>
      </c>
      <c r="F64" s="98">
        <v>0</v>
      </c>
      <c r="G64" s="98"/>
      <c r="H64" s="98"/>
      <c r="I64" s="98"/>
      <c r="J64" s="98"/>
      <c r="K64" s="98"/>
      <c r="L64" s="98"/>
      <c r="M64" s="98"/>
      <c r="N64" s="98"/>
      <c r="O64" s="98"/>
    </row>
    <row r="65" spans="1:18">
      <c r="A65" s="232" t="str">
        <f t="shared" ref="A65:A71" si="2">A235</f>
        <v>MMF</v>
      </c>
      <c r="B65" s="234" t="str">
        <f>Products!B92</f>
        <v>2x200 (400G-SR8)</v>
      </c>
      <c r="C65" s="235" t="str">
        <f>Products!C92</f>
        <v>100 m</v>
      </c>
      <c r="D65" s="236" t="str">
        <f>Products!D92</f>
        <v>OSFP, QSFP-DD</v>
      </c>
      <c r="E65" s="90">
        <v>0</v>
      </c>
      <c r="F65" s="90">
        <v>0</v>
      </c>
      <c r="G65" s="90"/>
      <c r="H65" s="90"/>
      <c r="I65" s="90"/>
      <c r="J65" s="90"/>
      <c r="K65" s="90"/>
      <c r="L65" s="90"/>
      <c r="M65" s="90"/>
      <c r="N65" s="90"/>
      <c r="O65" s="90"/>
    </row>
    <row r="66" spans="1:18">
      <c r="A66" s="232" t="str">
        <f t="shared" si="2"/>
        <v>MMF</v>
      </c>
      <c r="B66" s="237" t="str">
        <f>Products!B93</f>
        <v>400G SR4</v>
      </c>
      <c r="C66" s="238" t="str">
        <f>Products!C93</f>
        <v>100 m</v>
      </c>
      <c r="D66" s="239" t="str">
        <f>Products!D93</f>
        <v>OSFP112, QSFP112</v>
      </c>
      <c r="E66" s="98">
        <v>0</v>
      </c>
      <c r="F66" s="98">
        <v>0</v>
      </c>
      <c r="G66" s="98"/>
      <c r="H66" s="98"/>
      <c r="I66" s="98"/>
      <c r="J66" s="98"/>
      <c r="K66" s="98"/>
      <c r="L66" s="98"/>
      <c r="M66" s="98"/>
      <c r="N66" s="98"/>
      <c r="O66" s="98"/>
    </row>
    <row r="67" spans="1:18">
      <c r="A67" s="233" t="str">
        <f t="shared" si="2"/>
        <v>SMF</v>
      </c>
      <c r="B67" s="237" t="str">
        <f>Products!B94</f>
        <v>400G DR4</v>
      </c>
      <c r="C67" s="238" t="str">
        <f>Products!C94</f>
        <v>500 m</v>
      </c>
      <c r="D67" s="239" t="str">
        <f>Products!D94</f>
        <v>OSFP, QSFP-DD, QSFP112</v>
      </c>
      <c r="E67" s="98">
        <v>0</v>
      </c>
      <c r="F67" s="98">
        <v>0</v>
      </c>
      <c r="G67" s="98"/>
      <c r="H67" s="98"/>
      <c r="I67" s="98"/>
      <c r="J67" s="98"/>
      <c r="K67" s="98"/>
      <c r="L67" s="98"/>
      <c r="M67" s="98"/>
      <c r="N67" s="98"/>
      <c r="O67" s="98"/>
    </row>
    <row r="68" spans="1:18">
      <c r="A68" s="233" t="str">
        <f t="shared" si="2"/>
        <v>SMF</v>
      </c>
      <c r="B68" s="237" t="str">
        <f>Products!B95</f>
        <v>2x(200G FR4)</v>
      </c>
      <c r="C68" s="238" t="str">
        <f>Products!C95</f>
        <v>2 km</v>
      </c>
      <c r="D68" s="239" t="str">
        <f>Products!D95</f>
        <v>OSFP</v>
      </c>
      <c r="E68" s="98">
        <v>0</v>
      </c>
      <c r="F68" s="98">
        <v>0</v>
      </c>
      <c r="G68" s="98"/>
      <c r="H68" s="98"/>
      <c r="I68" s="98"/>
      <c r="J68" s="98"/>
      <c r="K68" s="98"/>
      <c r="L68" s="98"/>
      <c r="M68" s="98"/>
      <c r="N68" s="98"/>
      <c r="O68" s="98"/>
    </row>
    <row r="69" spans="1:18">
      <c r="A69" s="233" t="str">
        <f t="shared" si="2"/>
        <v>SMF</v>
      </c>
      <c r="B69" s="237" t="str">
        <f>Products!B96</f>
        <v>400G FR4</v>
      </c>
      <c r="C69" s="238" t="str">
        <f>Products!C96</f>
        <v>2 km</v>
      </c>
      <c r="D69" s="239" t="str">
        <f>Products!D96</f>
        <v>OSFP, QSFP-DD, QSFP112</v>
      </c>
      <c r="E69" s="98">
        <v>0</v>
      </c>
      <c r="F69" s="98"/>
      <c r="G69" s="98"/>
      <c r="H69" s="98"/>
      <c r="I69" s="98"/>
      <c r="J69" s="98"/>
      <c r="K69" s="98"/>
      <c r="L69" s="98"/>
      <c r="M69" s="98"/>
      <c r="N69" s="98"/>
      <c r="O69" s="98"/>
    </row>
    <row r="70" spans="1:18">
      <c r="A70" s="233" t="str">
        <f t="shared" si="2"/>
        <v>SMF</v>
      </c>
      <c r="B70" s="237" t="str">
        <f>Products!B97</f>
        <v>400G LR8, LR4</v>
      </c>
      <c r="C70" s="238" t="str">
        <f>Products!C97</f>
        <v>10 km</v>
      </c>
      <c r="D70" s="239" t="str">
        <f>Products!D97</f>
        <v>OSFP, QSFP-DD, QSFP112</v>
      </c>
      <c r="E70" s="98">
        <v>0</v>
      </c>
      <c r="F70" s="98">
        <v>0</v>
      </c>
      <c r="G70" s="98"/>
      <c r="H70" s="98"/>
      <c r="I70" s="98"/>
      <c r="J70" s="98"/>
      <c r="K70" s="98"/>
      <c r="L70" s="98"/>
      <c r="M70" s="98"/>
      <c r="N70" s="98"/>
      <c r="O70" s="98"/>
    </row>
    <row r="71" spans="1:18">
      <c r="A71" s="233" t="str">
        <f t="shared" si="2"/>
        <v>SMF</v>
      </c>
      <c r="B71" s="240" t="str">
        <f>Products!B98</f>
        <v>400G ER4</v>
      </c>
      <c r="C71" s="241" t="str">
        <f>Products!C98</f>
        <v>40 km</v>
      </c>
      <c r="D71" s="242" t="str">
        <f>Products!D98</f>
        <v>TBD</v>
      </c>
      <c r="E71" s="94">
        <v>0</v>
      </c>
      <c r="F71" s="94">
        <v>0</v>
      </c>
      <c r="G71" s="94"/>
      <c r="H71" s="94"/>
      <c r="I71" s="94"/>
      <c r="J71" s="94"/>
      <c r="K71" s="94"/>
      <c r="L71" s="94"/>
      <c r="M71" s="94"/>
      <c r="N71" s="94"/>
      <c r="O71" s="94"/>
    </row>
    <row r="72" spans="1:18" s="100" customFormat="1">
      <c r="A72" s="623" t="str">
        <f t="shared" ref="A72:A76" si="3">A242</f>
        <v>MMF</v>
      </c>
      <c r="B72" s="237" t="str">
        <f>Products!B99</f>
        <v>800G SR8</v>
      </c>
      <c r="C72" s="238" t="str">
        <f>Products!C99</f>
        <v>50 m</v>
      </c>
      <c r="D72" s="239" t="str">
        <f>Products!D99</f>
        <v>OSFP, QSFP-DD800</v>
      </c>
      <c r="E72" s="98">
        <v>0</v>
      </c>
      <c r="F72" s="98">
        <v>0</v>
      </c>
      <c r="G72" s="98"/>
      <c r="H72" s="98"/>
      <c r="I72" s="98"/>
      <c r="J72" s="98"/>
      <c r="K72" s="98"/>
      <c r="L72" s="98"/>
      <c r="M72" s="98"/>
      <c r="N72" s="98"/>
      <c r="O72" s="98"/>
      <c r="Q72" s="82"/>
      <c r="R72" s="82"/>
    </row>
    <row r="73" spans="1:18" s="100" customFormat="1">
      <c r="A73" s="492" t="str">
        <f t="shared" si="3"/>
        <v>SMF</v>
      </c>
      <c r="B73" s="237" t="str">
        <f>Products!B100</f>
        <v>800G DR8, DR4</v>
      </c>
      <c r="C73" s="238" t="str">
        <f>Products!C100</f>
        <v>500 m</v>
      </c>
      <c r="D73" s="239" t="str">
        <f>Products!D100</f>
        <v>OSFP, QSFP-DD800</v>
      </c>
      <c r="E73" s="98">
        <v>0</v>
      </c>
      <c r="F73" s="98">
        <v>0</v>
      </c>
      <c r="G73" s="98"/>
      <c r="H73" s="98"/>
      <c r="I73" s="98"/>
      <c r="J73" s="98"/>
      <c r="K73" s="98"/>
      <c r="L73" s="98"/>
      <c r="M73" s="98"/>
      <c r="N73" s="98"/>
      <c r="O73" s="98"/>
      <c r="Q73" s="82"/>
      <c r="R73" s="82"/>
    </row>
    <row r="74" spans="1:18" s="100" customFormat="1">
      <c r="A74" s="492" t="str">
        <f t="shared" si="3"/>
        <v>SMF</v>
      </c>
      <c r="B74" s="237" t="str">
        <f>Products!B101</f>
        <v>2x(400G FR4), 800G FR4</v>
      </c>
      <c r="C74" s="238" t="str">
        <f>Products!C101</f>
        <v>2 km</v>
      </c>
      <c r="D74" s="239" t="str">
        <f>Products!D101</f>
        <v>OSFP, QSFP-DD800</v>
      </c>
      <c r="E74" s="98">
        <v>0</v>
      </c>
      <c r="F74" s="98">
        <v>0</v>
      </c>
      <c r="G74" s="98"/>
      <c r="H74" s="98"/>
      <c r="I74" s="98"/>
      <c r="J74" s="98"/>
      <c r="K74" s="98"/>
      <c r="L74" s="98"/>
      <c r="M74" s="98"/>
      <c r="N74" s="98"/>
      <c r="O74" s="98"/>
      <c r="Q74" s="82"/>
      <c r="R74" s="82"/>
    </row>
    <row r="75" spans="1:18" s="100" customFormat="1">
      <c r="A75" s="492" t="str">
        <f t="shared" si="3"/>
        <v>SMF</v>
      </c>
      <c r="B75" s="237" t="str">
        <f>Products!B102</f>
        <v>800G LR8, LR4</v>
      </c>
      <c r="C75" s="238" t="str">
        <f>Products!C102</f>
        <v>6, 10 km</v>
      </c>
      <c r="D75" s="239" t="str">
        <f>Products!D102</f>
        <v>TBD</v>
      </c>
      <c r="E75" s="98">
        <v>0</v>
      </c>
      <c r="F75" s="98">
        <v>0</v>
      </c>
      <c r="G75" s="98"/>
      <c r="H75" s="98"/>
      <c r="I75" s="98"/>
      <c r="J75" s="98"/>
      <c r="K75" s="98"/>
      <c r="L75" s="98"/>
      <c r="M75" s="98"/>
      <c r="N75" s="98"/>
      <c r="O75" s="98"/>
      <c r="Q75" s="82"/>
      <c r="R75" s="82"/>
    </row>
    <row r="76" spans="1:18" s="100" customFormat="1">
      <c r="A76" s="492" t="str">
        <f t="shared" si="3"/>
        <v>SMF</v>
      </c>
      <c r="B76" s="237" t="str">
        <f>Products!B103</f>
        <v>800G ZRlite</v>
      </c>
      <c r="C76" s="238" t="str">
        <f>Products!C103</f>
        <v>10 km, 20 km</v>
      </c>
      <c r="D76" s="239" t="str">
        <f>Products!D103</f>
        <v>TBD</v>
      </c>
      <c r="E76" s="98">
        <v>0</v>
      </c>
      <c r="F76" s="98">
        <v>0</v>
      </c>
      <c r="G76" s="98"/>
      <c r="H76" s="98"/>
      <c r="I76" s="98"/>
      <c r="J76" s="98"/>
      <c r="K76" s="98"/>
      <c r="L76" s="98"/>
      <c r="M76" s="98"/>
      <c r="N76" s="98"/>
      <c r="O76" s="98"/>
      <c r="Q76" s="82"/>
      <c r="R76" s="82"/>
    </row>
    <row r="77" spans="1:18" s="100" customFormat="1">
      <c r="A77" s="492" t="str">
        <f t="shared" ref="A77" si="4">A247</f>
        <v>SMF</v>
      </c>
      <c r="B77" s="240" t="str">
        <f>Products!B104</f>
        <v>800G ER4</v>
      </c>
      <c r="C77" s="241" t="str">
        <f>Products!C104</f>
        <v>40 km</v>
      </c>
      <c r="D77" s="242" t="str">
        <f>Products!D104</f>
        <v>TBD</v>
      </c>
      <c r="E77" s="94">
        <v>0</v>
      </c>
      <c r="F77" s="94">
        <v>0</v>
      </c>
      <c r="G77" s="94"/>
      <c r="H77" s="94"/>
      <c r="I77" s="94"/>
      <c r="J77" s="94"/>
      <c r="K77" s="94"/>
      <c r="L77" s="94"/>
      <c r="M77" s="94"/>
      <c r="N77" s="94"/>
      <c r="O77" s="94"/>
      <c r="Q77" s="82"/>
      <c r="R77" s="82"/>
    </row>
    <row r="78" spans="1:18" s="100" customFormat="1">
      <c r="A78" s="623" t="s">
        <v>98</v>
      </c>
      <c r="B78" s="237" t="str">
        <f>Products!B105</f>
        <v>1.6T SR16</v>
      </c>
      <c r="C78" s="238" t="str">
        <f>Products!C105</f>
        <v>100 m</v>
      </c>
      <c r="D78" s="239" t="str">
        <f>Products!D105</f>
        <v>OSFP-XD and TBD</v>
      </c>
      <c r="E78" s="98">
        <v>0</v>
      </c>
      <c r="F78" s="98">
        <v>0</v>
      </c>
      <c r="G78" s="98"/>
      <c r="H78" s="98"/>
      <c r="I78" s="98"/>
      <c r="J78" s="98"/>
      <c r="K78" s="98"/>
      <c r="L78" s="98"/>
      <c r="M78" s="98"/>
      <c r="N78" s="98"/>
      <c r="O78" s="98"/>
      <c r="Q78" s="82"/>
      <c r="R78" s="82"/>
    </row>
    <row r="79" spans="1:18" s="100" customFormat="1">
      <c r="A79" s="492" t="s">
        <v>99</v>
      </c>
      <c r="B79" s="237" t="str">
        <f>Products!B106</f>
        <v>1.6T DR8</v>
      </c>
      <c r="C79" s="238" t="str">
        <f>Products!C106</f>
        <v>500 m</v>
      </c>
      <c r="D79" s="239" t="str">
        <f>Products!D106</f>
        <v>OSFP-XD and TBD</v>
      </c>
      <c r="E79" s="98">
        <v>0</v>
      </c>
      <c r="F79" s="98">
        <v>0</v>
      </c>
      <c r="G79" s="98"/>
      <c r="H79" s="98"/>
      <c r="I79" s="98"/>
      <c r="J79" s="98"/>
      <c r="K79" s="98"/>
      <c r="L79" s="98"/>
      <c r="M79" s="98"/>
      <c r="N79" s="98"/>
      <c r="O79" s="98"/>
      <c r="Q79" s="82"/>
      <c r="R79" s="82"/>
    </row>
    <row r="80" spans="1:18" s="100" customFormat="1">
      <c r="A80" s="492" t="s">
        <v>99</v>
      </c>
      <c r="B80" s="237" t="str">
        <f>Products!B107</f>
        <v>1.6T FR8</v>
      </c>
      <c r="C80" s="238" t="str">
        <f>Products!C107</f>
        <v>2 km</v>
      </c>
      <c r="D80" s="239" t="str">
        <f>Products!D107</f>
        <v>OSFP-XD and TBD</v>
      </c>
      <c r="E80" s="98">
        <v>0</v>
      </c>
      <c r="F80" s="98">
        <v>0</v>
      </c>
      <c r="G80" s="98"/>
      <c r="H80" s="98"/>
      <c r="I80" s="98"/>
      <c r="J80" s="98"/>
      <c r="K80" s="98"/>
      <c r="L80" s="98"/>
      <c r="M80" s="98"/>
      <c r="N80" s="98"/>
      <c r="O80" s="98"/>
      <c r="Q80" s="82"/>
      <c r="R80" s="82"/>
    </row>
    <row r="81" spans="1:18" s="100" customFormat="1">
      <c r="A81" s="492" t="s">
        <v>99</v>
      </c>
      <c r="B81" s="237" t="str">
        <f>Products!B108</f>
        <v>1.6T LR8</v>
      </c>
      <c r="C81" s="238" t="str">
        <f>Products!C108</f>
        <v>10 km</v>
      </c>
      <c r="D81" s="239" t="str">
        <f>Products!D108</f>
        <v>OSFP-XD and TBD</v>
      </c>
      <c r="E81" s="98">
        <v>0</v>
      </c>
      <c r="F81" s="98">
        <v>0</v>
      </c>
      <c r="G81" s="98"/>
      <c r="H81" s="98"/>
      <c r="I81" s="98"/>
      <c r="J81" s="98"/>
      <c r="K81" s="98"/>
      <c r="L81" s="98"/>
      <c r="M81" s="98"/>
      <c r="N81" s="98"/>
      <c r="O81" s="98"/>
      <c r="Q81" s="82"/>
      <c r="R81" s="82"/>
    </row>
    <row r="82" spans="1:18" s="100" customFormat="1">
      <c r="A82" s="492" t="s">
        <v>99</v>
      </c>
      <c r="B82" s="240" t="str">
        <f>Products!B109</f>
        <v>1.6T ER8</v>
      </c>
      <c r="C82" s="241" t="str">
        <f>Products!C109</f>
        <v>&gt;10 km</v>
      </c>
      <c r="D82" s="242" t="str">
        <f>Products!D109</f>
        <v>OSFP-XD and TBD</v>
      </c>
      <c r="E82" s="94">
        <v>0</v>
      </c>
      <c r="F82" s="94">
        <v>0</v>
      </c>
      <c r="G82" s="94"/>
      <c r="H82" s="94"/>
      <c r="I82" s="94"/>
      <c r="J82" s="94"/>
      <c r="K82" s="94"/>
      <c r="L82" s="94"/>
      <c r="M82" s="94"/>
      <c r="N82" s="94"/>
      <c r="O82" s="94"/>
      <c r="Q82" s="82"/>
      <c r="R82" s="82"/>
    </row>
    <row r="83" spans="1:18" s="100" customFormat="1">
      <c r="A83" s="623" t="s">
        <v>98</v>
      </c>
      <c r="B83" s="237" t="str">
        <f>Products!B110</f>
        <v>3.2T SR</v>
      </c>
      <c r="C83" s="238" t="str">
        <f>Products!C110</f>
        <v>100 m</v>
      </c>
      <c r="D83" s="239" t="str">
        <f>Products!D110</f>
        <v>OSFP-XD and TBD</v>
      </c>
      <c r="E83" s="98">
        <v>0</v>
      </c>
      <c r="F83" s="98">
        <v>0</v>
      </c>
      <c r="G83" s="98"/>
      <c r="H83" s="98"/>
      <c r="I83" s="98"/>
      <c r="J83" s="98"/>
      <c r="K83" s="98"/>
      <c r="L83" s="98"/>
      <c r="M83" s="98"/>
      <c r="N83" s="98"/>
      <c r="O83" s="98"/>
      <c r="Q83" s="82"/>
      <c r="R83" s="82"/>
    </row>
    <row r="84" spans="1:18" s="100" customFormat="1">
      <c r="A84" s="492" t="s">
        <v>99</v>
      </c>
      <c r="B84" s="237" t="str">
        <f>Products!B111</f>
        <v>3.2T DR</v>
      </c>
      <c r="C84" s="238" t="str">
        <f>Products!C111</f>
        <v>500 m</v>
      </c>
      <c r="D84" s="239" t="str">
        <f>Products!D111</f>
        <v>OSFP-XD and TBD</v>
      </c>
      <c r="E84" s="98">
        <v>0</v>
      </c>
      <c r="F84" s="98">
        <v>0</v>
      </c>
      <c r="G84" s="98"/>
      <c r="H84" s="98"/>
      <c r="I84" s="98"/>
      <c r="J84" s="98"/>
      <c r="K84" s="98"/>
      <c r="L84" s="98"/>
      <c r="M84" s="98"/>
      <c r="N84" s="98"/>
      <c r="O84" s="98"/>
      <c r="Q84" s="82"/>
      <c r="R84" s="82"/>
    </row>
    <row r="85" spans="1:18" s="100" customFormat="1">
      <c r="A85" s="492" t="s">
        <v>99</v>
      </c>
      <c r="B85" s="237" t="str">
        <f>Products!B112</f>
        <v>3.2T FR</v>
      </c>
      <c r="C85" s="238" t="str">
        <f>Products!C112</f>
        <v>2 km</v>
      </c>
      <c r="D85" s="239" t="str">
        <f>Products!D112</f>
        <v>OSFP-XD and TBD</v>
      </c>
      <c r="E85" s="98">
        <v>0</v>
      </c>
      <c r="F85" s="98">
        <v>0</v>
      </c>
      <c r="G85" s="98"/>
      <c r="H85" s="98"/>
      <c r="I85" s="98"/>
      <c r="J85" s="98"/>
      <c r="K85" s="98"/>
      <c r="L85" s="98"/>
      <c r="M85" s="98"/>
      <c r="N85" s="98"/>
      <c r="O85" s="98"/>
      <c r="Q85" s="82"/>
      <c r="R85" s="82"/>
    </row>
    <row r="86" spans="1:18" s="100" customFormat="1">
      <c r="A86" s="492" t="s">
        <v>99</v>
      </c>
      <c r="B86" s="237" t="str">
        <f>Products!B113</f>
        <v>3.2T LR</v>
      </c>
      <c r="C86" s="238" t="str">
        <f>Products!C113</f>
        <v>10 km</v>
      </c>
      <c r="D86" s="239" t="str">
        <f>Products!D113</f>
        <v>OSFP-XD and TBD</v>
      </c>
      <c r="E86" s="98">
        <v>0</v>
      </c>
      <c r="F86" s="98">
        <v>0</v>
      </c>
      <c r="G86" s="98"/>
      <c r="H86" s="98"/>
      <c r="I86" s="98"/>
      <c r="J86" s="98"/>
      <c r="K86" s="98"/>
      <c r="L86" s="98"/>
      <c r="M86" s="98"/>
      <c r="N86" s="98"/>
      <c r="O86" s="98"/>
      <c r="Q86" s="82"/>
      <c r="R86" s="82"/>
    </row>
    <row r="87" spans="1:18" s="100" customFormat="1">
      <c r="A87" s="492" t="s">
        <v>99</v>
      </c>
      <c r="B87" s="237" t="str">
        <f>Products!B114</f>
        <v>3.2T ER</v>
      </c>
      <c r="C87" s="238" t="str">
        <f>Products!C114</f>
        <v>&gt;10 km</v>
      </c>
      <c r="D87" s="239" t="str">
        <f>Products!D114</f>
        <v>OSFP-XD and TBD</v>
      </c>
      <c r="E87" s="98">
        <v>0</v>
      </c>
      <c r="F87" s="98">
        <v>0</v>
      </c>
      <c r="G87" s="98"/>
      <c r="H87" s="98"/>
      <c r="I87" s="98"/>
      <c r="J87" s="98"/>
      <c r="K87" s="98"/>
      <c r="L87" s="98"/>
      <c r="M87" s="98"/>
      <c r="N87" s="98"/>
      <c r="O87" s="98"/>
      <c r="Q87" s="82"/>
      <c r="R87" s="82"/>
    </row>
    <row r="88" spans="1:18" s="100" customFormat="1">
      <c r="A88" s="492"/>
      <c r="B88" s="240"/>
      <c r="C88" s="241"/>
      <c r="D88" s="242"/>
      <c r="E88" s="94"/>
      <c r="F88" s="94"/>
      <c r="G88" s="94"/>
      <c r="H88" s="94"/>
      <c r="I88" s="94"/>
      <c r="J88" s="94"/>
      <c r="K88" s="94"/>
      <c r="L88" s="94"/>
      <c r="M88" s="94"/>
      <c r="N88" s="94"/>
      <c r="O88" s="94"/>
      <c r="Q88" s="82"/>
      <c r="R88" s="82"/>
    </row>
    <row r="89" spans="1:18">
      <c r="B89" s="51" t="s">
        <v>20</v>
      </c>
      <c r="C89" s="52"/>
      <c r="D89" s="53"/>
      <c r="E89" s="101">
        <v>10649308.537719864</v>
      </c>
      <c r="F89" s="101">
        <v>13336049.134659462</v>
      </c>
      <c r="G89" s="101"/>
      <c r="H89" s="101"/>
      <c r="I89" s="101"/>
      <c r="J89" s="101"/>
      <c r="K89" s="101"/>
      <c r="L89" s="101"/>
      <c r="M89" s="101"/>
      <c r="N89" s="101"/>
      <c r="O89" s="101"/>
    </row>
    <row r="90" spans="1:18">
      <c r="D90" s="100"/>
      <c r="E90" s="100"/>
      <c r="F90" s="100"/>
      <c r="G90" s="100"/>
      <c r="H90" s="100"/>
      <c r="I90" s="100"/>
      <c r="J90" s="100"/>
      <c r="K90" s="100"/>
      <c r="L90" s="100"/>
      <c r="M90" s="100"/>
      <c r="N90" s="100"/>
      <c r="O90" s="100"/>
    </row>
    <row r="91" spans="1:18">
      <c r="D91" s="100"/>
      <c r="E91" s="100"/>
      <c r="F91" s="100"/>
      <c r="G91" s="100"/>
      <c r="H91" s="100"/>
      <c r="I91" s="100"/>
      <c r="J91" s="100"/>
      <c r="K91" s="100"/>
      <c r="L91" s="100"/>
      <c r="M91" s="100"/>
      <c r="N91" s="100"/>
      <c r="O91" s="100"/>
    </row>
    <row r="92" spans="1:18" ht="21">
      <c r="B92" s="14" t="s">
        <v>19</v>
      </c>
      <c r="C92" s="14"/>
      <c r="D92" s="14"/>
    </row>
    <row r="93" spans="1:18">
      <c r="B93" s="361" t="str">
        <f>B6</f>
        <v>Data Rate</v>
      </c>
      <c r="C93" s="362" t="str">
        <f>C6</f>
        <v>Reach</v>
      </c>
      <c r="D93" s="362" t="str">
        <f>D6</f>
        <v>Form Factor</v>
      </c>
      <c r="E93" s="267">
        <v>2016</v>
      </c>
      <c r="F93" s="267">
        <v>2017</v>
      </c>
      <c r="G93" s="267">
        <v>2018</v>
      </c>
      <c r="H93" s="267">
        <v>2019</v>
      </c>
      <c r="I93" s="267">
        <v>2020</v>
      </c>
      <c r="J93" s="267">
        <v>2021</v>
      </c>
      <c r="K93" s="267">
        <v>2022</v>
      </c>
      <c r="L93" s="267">
        <v>2023</v>
      </c>
      <c r="M93" s="267">
        <v>2024</v>
      </c>
      <c r="N93" s="267">
        <v>2025</v>
      </c>
      <c r="O93" s="267">
        <v>2026</v>
      </c>
    </row>
    <row r="94" spans="1:18">
      <c r="B94" s="87" t="str">
        <f t="shared" ref="B94:D113" si="5">B9</f>
        <v>1G</v>
      </c>
      <c r="C94" s="88" t="str">
        <f t="shared" si="5"/>
        <v>500 m</v>
      </c>
      <c r="D94" s="89" t="str">
        <f t="shared" si="5"/>
        <v>SFP</v>
      </c>
      <c r="E94" s="105">
        <v>10.178233731377588</v>
      </c>
      <c r="F94" s="105">
        <v>8.9746992158904888</v>
      </c>
      <c r="G94" s="105"/>
      <c r="H94" s="105"/>
      <c r="I94" s="105"/>
      <c r="J94" s="105"/>
      <c r="K94" s="105"/>
      <c r="L94" s="105"/>
      <c r="M94" s="105"/>
      <c r="N94" s="105"/>
      <c r="O94" s="105"/>
    </row>
    <row r="95" spans="1:18">
      <c r="B95" s="95" t="str">
        <f t="shared" si="5"/>
        <v>1G</v>
      </c>
      <c r="C95" s="96" t="str">
        <f t="shared" si="5"/>
        <v>10 km</v>
      </c>
      <c r="D95" s="97" t="str">
        <f t="shared" si="5"/>
        <v>SFP</v>
      </c>
      <c r="E95" s="107">
        <v>11.313150064475876</v>
      </c>
      <c r="F95" s="107">
        <v>9.7279618337487541</v>
      </c>
      <c r="G95" s="107"/>
      <c r="H95" s="107"/>
      <c r="I95" s="107"/>
      <c r="J95" s="107"/>
      <c r="K95" s="107"/>
      <c r="L95" s="107"/>
      <c r="M95" s="107"/>
      <c r="N95" s="107"/>
      <c r="O95" s="107"/>
    </row>
    <row r="96" spans="1:18">
      <c r="B96" s="95" t="str">
        <f t="shared" si="5"/>
        <v>1G</v>
      </c>
      <c r="C96" s="96" t="str">
        <f t="shared" si="5"/>
        <v>40 km</v>
      </c>
      <c r="D96" s="97" t="str">
        <f t="shared" si="5"/>
        <v>SFP</v>
      </c>
      <c r="E96" s="107">
        <v>14.223250006112197</v>
      </c>
      <c r="F96" s="107">
        <v>11.270556706605298</v>
      </c>
      <c r="G96" s="107"/>
      <c r="H96" s="107"/>
      <c r="I96" s="107"/>
      <c r="J96" s="107"/>
      <c r="K96" s="107"/>
      <c r="L96" s="107"/>
      <c r="M96" s="107"/>
      <c r="N96" s="107"/>
      <c r="O96" s="107"/>
    </row>
    <row r="97" spans="1:15">
      <c r="B97" s="95" t="str">
        <f t="shared" si="5"/>
        <v>1G</v>
      </c>
      <c r="C97" s="96" t="str">
        <f t="shared" si="5"/>
        <v>80 km</v>
      </c>
      <c r="D97" s="96" t="str">
        <f t="shared" si="5"/>
        <v>SFP</v>
      </c>
      <c r="E97" s="107">
        <v>47.263945249069465</v>
      </c>
      <c r="F97" s="107">
        <v>42.349942382451964</v>
      </c>
      <c r="G97" s="107"/>
      <c r="H97" s="107"/>
      <c r="I97" s="107"/>
      <c r="J97" s="107"/>
      <c r="K97" s="107"/>
      <c r="L97" s="107"/>
      <c r="M97" s="107"/>
      <c r="N97" s="107"/>
      <c r="O97" s="107"/>
    </row>
    <row r="98" spans="1:15">
      <c r="A98" s="211"/>
      <c r="B98" s="91" t="str">
        <f t="shared" si="5"/>
        <v>1G &amp; Fast Ethernet</v>
      </c>
      <c r="C98" s="92" t="str">
        <f t="shared" si="5"/>
        <v>Various</v>
      </c>
      <c r="D98" s="92" t="str">
        <f t="shared" si="5"/>
        <v>Legacy/discontinued</v>
      </c>
      <c r="E98" s="106"/>
      <c r="F98" s="106" t="s">
        <v>90</v>
      </c>
      <c r="G98" s="106"/>
      <c r="H98" s="106"/>
      <c r="I98" s="106"/>
      <c r="J98" s="106"/>
      <c r="K98" s="106"/>
      <c r="L98" s="106"/>
      <c r="M98" s="106"/>
      <c r="N98" s="106"/>
      <c r="O98" s="106"/>
    </row>
    <row r="99" spans="1:15">
      <c r="B99" s="95" t="str">
        <f t="shared" si="5"/>
        <v>10G</v>
      </c>
      <c r="C99" s="96" t="str">
        <f t="shared" si="5"/>
        <v>300 m</v>
      </c>
      <c r="D99" s="96" t="str">
        <f t="shared" si="5"/>
        <v>XFP</v>
      </c>
      <c r="E99" s="107">
        <v>65.084287545305614</v>
      </c>
      <c r="F99" s="107">
        <v>58.749084731162213</v>
      </c>
      <c r="G99" s="107"/>
      <c r="H99" s="107"/>
      <c r="I99" s="107"/>
      <c r="J99" s="107"/>
      <c r="K99" s="107"/>
      <c r="L99" s="107"/>
      <c r="M99" s="107"/>
      <c r="N99" s="107"/>
      <c r="O99" s="107"/>
    </row>
    <row r="100" spans="1:15">
      <c r="B100" s="95" t="str">
        <f t="shared" si="5"/>
        <v>10G</v>
      </c>
      <c r="C100" s="96" t="str">
        <f t="shared" si="5"/>
        <v>300 m</v>
      </c>
      <c r="D100" s="96" t="str">
        <f t="shared" si="5"/>
        <v>SFP+</v>
      </c>
      <c r="E100" s="107">
        <v>18.016278339273537</v>
      </c>
      <c r="F100" s="107">
        <v>15.097691372748406</v>
      </c>
      <c r="G100" s="107"/>
      <c r="H100" s="107"/>
      <c r="I100" s="107"/>
      <c r="J100" s="107"/>
      <c r="K100" s="107"/>
      <c r="L100" s="107"/>
      <c r="M100" s="107"/>
      <c r="N100" s="107"/>
      <c r="O100" s="107"/>
    </row>
    <row r="101" spans="1:15">
      <c r="B101" s="95" t="str">
        <f t="shared" si="5"/>
        <v>10G LRM</v>
      </c>
      <c r="C101" s="96" t="str">
        <f t="shared" si="5"/>
        <v>220 m</v>
      </c>
      <c r="D101" s="96" t="str">
        <f t="shared" si="5"/>
        <v>SFP+</v>
      </c>
      <c r="E101" s="107">
        <v>78.390761412913719</v>
      </c>
      <c r="F101" s="107">
        <v>66.716018564745482</v>
      </c>
      <c r="G101" s="107"/>
      <c r="H101" s="107"/>
      <c r="I101" s="107"/>
      <c r="J101" s="107"/>
      <c r="K101" s="107"/>
      <c r="L101" s="107"/>
      <c r="M101" s="107"/>
      <c r="N101" s="107"/>
      <c r="O101" s="107"/>
    </row>
    <row r="102" spans="1:15">
      <c r="B102" s="95" t="str">
        <f t="shared" si="5"/>
        <v>10G</v>
      </c>
      <c r="C102" s="96" t="str">
        <f t="shared" si="5"/>
        <v>10 km</v>
      </c>
      <c r="D102" s="96" t="str">
        <f t="shared" si="5"/>
        <v>XFP</v>
      </c>
      <c r="E102" s="107">
        <v>67.576972221049004</v>
      </c>
      <c r="F102" s="107">
        <v>51.799368807617711</v>
      </c>
      <c r="G102" s="107"/>
      <c r="H102" s="107"/>
      <c r="I102" s="107"/>
      <c r="J102" s="107"/>
      <c r="K102" s="107"/>
      <c r="L102" s="107"/>
      <c r="M102" s="107"/>
      <c r="N102" s="107"/>
      <c r="O102" s="107"/>
    </row>
    <row r="103" spans="1:15">
      <c r="B103" s="95" t="str">
        <f t="shared" si="5"/>
        <v>10G</v>
      </c>
      <c r="C103" s="96" t="str">
        <f t="shared" si="5"/>
        <v>10 km</v>
      </c>
      <c r="D103" s="96" t="str">
        <f t="shared" si="5"/>
        <v>SFP+</v>
      </c>
      <c r="E103" s="108">
        <v>38.465958311427336</v>
      </c>
      <c r="F103" s="108">
        <v>30.5</v>
      </c>
      <c r="G103" s="108"/>
      <c r="H103" s="108"/>
      <c r="I103" s="108"/>
      <c r="J103" s="108"/>
      <c r="K103" s="108"/>
      <c r="L103" s="108"/>
      <c r="M103" s="108"/>
      <c r="N103" s="108"/>
      <c r="O103" s="108"/>
    </row>
    <row r="104" spans="1:15">
      <c r="B104" s="95" t="str">
        <f t="shared" si="5"/>
        <v>10G</v>
      </c>
      <c r="C104" s="96" t="str">
        <f t="shared" si="5"/>
        <v>40 km</v>
      </c>
      <c r="D104" s="96" t="str">
        <f t="shared" si="5"/>
        <v>XFP</v>
      </c>
      <c r="E104" s="107">
        <v>202.96860771881492</v>
      </c>
      <c r="F104" s="107">
        <v>139.47449702400385</v>
      </c>
      <c r="G104" s="107"/>
      <c r="H104" s="107"/>
      <c r="I104" s="107"/>
      <c r="J104" s="107"/>
      <c r="K104" s="107"/>
      <c r="L104" s="107"/>
      <c r="M104" s="107"/>
      <c r="N104" s="107"/>
      <c r="O104" s="107"/>
    </row>
    <row r="105" spans="1:15">
      <c r="B105" s="95" t="str">
        <f t="shared" si="5"/>
        <v>10G</v>
      </c>
      <c r="C105" s="96" t="str">
        <f t="shared" si="5"/>
        <v>40 km</v>
      </c>
      <c r="D105" s="96" t="str">
        <f t="shared" si="5"/>
        <v>SFP+</v>
      </c>
      <c r="E105" s="107">
        <v>191.20778168956542</v>
      </c>
      <c r="F105" s="107">
        <v>155.78241680453388</v>
      </c>
      <c r="G105" s="107"/>
      <c r="H105" s="107"/>
      <c r="I105" s="107"/>
      <c r="J105" s="107"/>
      <c r="K105" s="107"/>
      <c r="L105" s="107"/>
      <c r="M105" s="107"/>
      <c r="N105" s="107"/>
      <c r="O105" s="107"/>
    </row>
    <row r="106" spans="1:15">
      <c r="B106" s="95" t="str">
        <f t="shared" si="5"/>
        <v>10G</v>
      </c>
      <c r="C106" s="96" t="str">
        <f t="shared" si="5"/>
        <v>80 km</v>
      </c>
      <c r="D106" s="96" t="str">
        <f t="shared" si="5"/>
        <v>XFP</v>
      </c>
      <c r="E106" s="107">
        <v>272.0748723385496</v>
      </c>
      <c r="F106" s="107">
        <v>279.05568350167476</v>
      </c>
      <c r="G106" s="107"/>
      <c r="H106" s="107"/>
      <c r="I106" s="107"/>
      <c r="J106" s="107"/>
      <c r="K106" s="107"/>
      <c r="L106" s="107"/>
      <c r="M106" s="107"/>
      <c r="N106" s="107"/>
      <c r="O106" s="107"/>
    </row>
    <row r="107" spans="1:15">
      <c r="B107" s="95" t="str">
        <f t="shared" si="5"/>
        <v>10G</v>
      </c>
      <c r="C107" s="96" t="str">
        <f t="shared" si="5"/>
        <v>80 km</v>
      </c>
      <c r="D107" s="96" t="str">
        <f t="shared" si="5"/>
        <v>SFP+</v>
      </c>
      <c r="E107" s="107">
        <v>362.31733736347383</v>
      </c>
      <c r="F107" s="107">
        <v>296.14130230693672</v>
      </c>
      <c r="G107" s="107"/>
      <c r="H107" s="107"/>
      <c r="I107" s="107"/>
      <c r="J107" s="107"/>
      <c r="K107" s="107"/>
      <c r="L107" s="107"/>
      <c r="M107" s="107"/>
      <c r="N107" s="107"/>
      <c r="O107" s="107"/>
    </row>
    <row r="108" spans="1:15">
      <c r="B108" s="95" t="str">
        <f t="shared" si="5"/>
        <v>10G</v>
      </c>
      <c r="C108" s="96" t="str">
        <f t="shared" si="5"/>
        <v>Various</v>
      </c>
      <c r="D108" s="96" t="str">
        <f t="shared" si="5"/>
        <v>Legacy/discontinued</v>
      </c>
      <c r="E108" s="107">
        <v>99.093186017554928</v>
      </c>
      <c r="F108" s="107">
        <v>94.281145957499305</v>
      </c>
      <c r="G108" s="107"/>
      <c r="H108" s="107"/>
      <c r="I108" s="107"/>
      <c r="J108" s="107"/>
      <c r="K108" s="107"/>
      <c r="L108" s="107"/>
      <c r="M108" s="107"/>
      <c r="N108" s="107"/>
      <c r="O108" s="107"/>
    </row>
    <row r="109" spans="1:15">
      <c r="B109" s="87" t="str">
        <f t="shared" si="5"/>
        <v>25G SR, eSR</v>
      </c>
      <c r="C109" s="88" t="str">
        <f t="shared" si="5"/>
        <v>100 - 300 m</v>
      </c>
      <c r="D109" s="89" t="str">
        <f t="shared" si="5"/>
        <v>SFP28</v>
      </c>
      <c r="E109" s="105">
        <v>187.14315701091519</v>
      </c>
      <c r="F109" s="105">
        <v>141.11071819746516</v>
      </c>
      <c r="G109" s="105"/>
      <c r="H109" s="105"/>
      <c r="I109" s="105"/>
      <c r="J109" s="105"/>
      <c r="K109" s="105"/>
      <c r="L109" s="105"/>
      <c r="M109" s="105"/>
      <c r="N109" s="105"/>
      <c r="O109" s="105"/>
    </row>
    <row r="110" spans="1:15">
      <c r="B110" s="95" t="str">
        <f t="shared" si="5"/>
        <v>25G LR</v>
      </c>
      <c r="C110" s="96" t="str">
        <f t="shared" si="5"/>
        <v>10 km</v>
      </c>
      <c r="D110" s="97" t="str">
        <f t="shared" si="5"/>
        <v>SFP28</v>
      </c>
      <c r="E110" s="107">
        <v>456.24032541776609</v>
      </c>
      <c r="F110" s="107">
        <v>324.10355668962507</v>
      </c>
      <c r="G110" s="107"/>
      <c r="H110" s="107"/>
      <c r="I110" s="107"/>
      <c r="J110" s="107"/>
      <c r="K110" s="107"/>
      <c r="L110" s="107"/>
      <c r="M110" s="107"/>
      <c r="N110" s="107"/>
      <c r="O110" s="107"/>
    </row>
    <row r="111" spans="1:15">
      <c r="B111" s="91" t="str">
        <f t="shared" si="5"/>
        <v>25G ER</v>
      </c>
      <c r="C111" s="92" t="str">
        <f t="shared" si="5"/>
        <v>40 km</v>
      </c>
      <c r="D111" s="93" t="str">
        <f t="shared" si="5"/>
        <v>SFP28</v>
      </c>
      <c r="E111" s="106" t="s">
        <v>90</v>
      </c>
      <c r="F111" s="106" t="s">
        <v>90</v>
      </c>
      <c r="G111" s="106"/>
      <c r="H111" s="106"/>
      <c r="I111" s="106"/>
      <c r="J111" s="106"/>
      <c r="K111" s="106"/>
      <c r="L111" s="106"/>
      <c r="M111" s="106"/>
      <c r="N111" s="106"/>
      <c r="O111" s="106"/>
    </row>
    <row r="112" spans="1:15">
      <c r="B112" s="87" t="str">
        <f t="shared" si="5"/>
        <v>40G SR4</v>
      </c>
      <c r="C112" s="88" t="str">
        <f t="shared" si="5"/>
        <v>100 m</v>
      </c>
      <c r="D112" s="89" t="str">
        <f t="shared" si="5"/>
        <v>QSFP+</v>
      </c>
      <c r="E112" s="105">
        <v>96.595063887564976</v>
      </c>
      <c r="F112" s="105">
        <v>80.379797575925679</v>
      </c>
      <c r="G112" s="105"/>
      <c r="H112" s="105"/>
      <c r="I112" s="105"/>
      <c r="J112" s="105"/>
      <c r="K112" s="105"/>
      <c r="L112" s="105"/>
      <c r="M112" s="105"/>
      <c r="N112" s="105"/>
      <c r="O112" s="105"/>
    </row>
    <row r="113" spans="2:15">
      <c r="B113" s="95" t="str">
        <f t="shared" si="5"/>
        <v>40G MM duplex</v>
      </c>
      <c r="C113" s="96" t="str">
        <f t="shared" si="5"/>
        <v>100 m</v>
      </c>
      <c r="D113" s="97" t="str">
        <f t="shared" si="5"/>
        <v>QSFP+</v>
      </c>
      <c r="E113" s="107">
        <v>250</v>
      </c>
      <c r="F113" s="107">
        <v>240</v>
      </c>
      <c r="G113" s="107"/>
      <c r="H113" s="107"/>
      <c r="I113" s="107"/>
      <c r="J113" s="107"/>
      <c r="K113" s="107"/>
      <c r="L113" s="107"/>
      <c r="M113" s="107"/>
      <c r="N113" s="107"/>
      <c r="O113" s="107"/>
    </row>
    <row r="114" spans="2:15">
      <c r="B114" s="95" t="str">
        <f t="shared" ref="B114:D133" si="6">B29</f>
        <v>40G eSR4</v>
      </c>
      <c r="C114" s="96" t="str">
        <f t="shared" si="6"/>
        <v>300 m</v>
      </c>
      <c r="D114" s="97" t="str">
        <f t="shared" si="6"/>
        <v>QSFP+</v>
      </c>
      <c r="E114" s="108">
        <v>106.66614587912188</v>
      </c>
      <c r="F114" s="108">
        <v>80.99928194026171</v>
      </c>
      <c r="G114" s="108"/>
      <c r="H114" s="108"/>
      <c r="I114" s="108"/>
      <c r="J114" s="108"/>
      <c r="K114" s="108"/>
      <c r="L114" s="108"/>
      <c r="M114" s="108"/>
      <c r="N114" s="108"/>
      <c r="O114" s="108"/>
    </row>
    <row r="115" spans="2:15">
      <c r="B115" s="95" t="str">
        <f t="shared" si="6"/>
        <v>40 G PSM4</v>
      </c>
      <c r="C115" s="96" t="str">
        <f t="shared" si="6"/>
        <v>500 m</v>
      </c>
      <c r="D115" s="97" t="str">
        <f t="shared" si="6"/>
        <v>QSFP+</v>
      </c>
      <c r="E115" s="108">
        <v>253.19068527507093</v>
      </c>
      <c r="F115" s="108">
        <v>262.79055146339874</v>
      </c>
      <c r="G115" s="108"/>
      <c r="H115" s="108"/>
      <c r="I115" s="108"/>
      <c r="J115" s="108"/>
      <c r="K115" s="108"/>
      <c r="L115" s="108"/>
      <c r="M115" s="108"/>
      <c r="N115" s="108"/>
      <c r="O115" s="108"/>
    </row>
    <row r="116" spans="2:15">
      <c r="B116" s="95" t="str">
        <f t="shared" si="6"/>
        <v>40G (FR)</v>
      </c>
      <c r="C116" s="96" t="str">
        <f t="shared" si="6"/>
        <v>2 km</v>
      </c>
      <c r="D116" s="97" t="str">
        <f t="shared" si="6"/>
        <v>CFP</v>
      </c>
      <c r="E116" s="107">
        <v>4569.894941368153</v>
      </c>
      <c r="F116" s="107">
        <v>5251.681208639473</v>
      </c>
      <c r="G116" s="107"/>
      <c r="H116" s="107"/>
      <c r="I116" s="107"/>
      <c r="J116" s="107"/>
      <c r="K116" s="107"/>
      <c r="L116" s="107"/>
      <c r="M116" s="107"/>
      <c r="N116" s="107"/>
      <c r="O116" s="107"/>
    </row>
    <row r="117" spans="2:15">
      <c r="B117" s="95" t="str">
        <f t="shared" si="6"/>
        <v>40G (LR4 subspec)</v>
      </c>
      <c r="C117" s="96" t="str">
        <f t="shared" si="6"/>
        <v>2 km</v>
      </c>
      <c r="D117" s="97" t="str">
        <f t="shared" si="6"/>
        <v>QSFP+</v>
      </c>
      <c r="E117" s="107">
        <v>377.60055209491952</v>
      </c>
      <c r="F117" s="107">
        <v>343.5254726908467</v>
      </c>
      <c r="G117" s="107"/>
      <c r="H117" s="107"/>
      <c r="I117" s="107"/>
      <c r="J117" s="107"/>
      <c r="K117" s="107"/>
      <c r="L117" s="107"/>
      <c r="M117" s="107"/>
      <c r="N117" s="107"/>
      <c r="O117" s="107"/>
    </row>
    <row r="118" spans="2:15">
      <c r="B118" s="95" t="str">
        <f t="shared" si="6"/>
        <v>40G</v>
      </c>
      <c r="C118" s="96" t="str">
        <f t="shared" si="6"/>
        <v>10 km</v>
      </c>
      <c r="D118" s="97" t="str">
        <f t="shared" si="6"/>
        <v>CFP</v>
      </c>
      <c r="E118" s="107">
        <v>1174.9655306999969</v>
      </c>
      <c r="F118" s="107">
        <v>1350.8997571323105</v>
      </c>
      <c r="G118" s="107"/>
      <c r="H118" s="107"/>
      <c r="I118" s="107"/>
      <c r="J118" s="107"/>
      <c r="K118" s="107"/>
      <c r="L118" s="107"/>
      <c r="M118" s="107"/>
      <c r="N118" s="107"/>
      <c r="O118" s="107"/>
    </row>
    <row r="119" spans="2:15">
      <c r="B119" s="95" t="str">
        <f t="shared" si="6"/>
        <v>40G</v>
      </c>
      <c r="C119" s="96" t="str">
        <f t="shared" si="6"/>
        <v>10 km</v>
      </c>
      <c r="D119" s="97" t="str">
        <f t="shared" si="6"/>
        <v>QSFP+</v>
      </c>
      <c r="E119" s="107">
        <v>427.72742888770347</v>
      </c>
      <c r="F119" s="107">
        <v>401.36672508917627</v>
      </c>
      <c r="G119" s="107"/>
      <c r="H119" s="107"/>
      <c r="I119" s="107"/>
      <c r="J119" s="107"/>
      <c r="K119" s="107"/>
      <c r="L119" s="107"/>
      <c r="M119" s="107"/>
      <c r="N119" s="107"/>
      <c r="O119" s="107"/>
    </row>
    <row r="120" spans="2:15">
      <c r="B120" s="91" t="str">
        <f t="shared" si="6"/>
        <v>40G</v>
      </c>
      <c r="C120" s="92" t="str">
        <f t="shared" si="6"/>
        <v>40 km</v>
      </c>
      <c r="D120" s="93" t="str">
        <f t="shared" si="6"/>
        <v>QSFP+</v>
      </c>
      <c r="E120" s="106">
        <v>1673.0572324239708</v>
      </c>
      <c r="F120" s="106">
        <v>1459.2330281290015</v>
      </c>
      <c r="G120" s="106"/>
      <c r="H120" s="106"/>
      <c r="I120" s="106"/>
      <c r="J120" s="106"/>
      <c r="K120" s="106"/>
      <c r="L120" s="106"/>
      <c r="M120" s="106"/>
      <c r="N120" s="106"/>
      <c r="O120" s="106"/>
    </row>
    <row r="121" spans="2:15">
      <c r="B121" s="87" t="str">
        <f t="shared" si="6"/>
        <v xml:space="preserve">50G </v>
      </c>
      <c r="C121" s="88" t="str">
        <f t="shared" si="6"/>
        <v>100 m</v>
      </c>
      <c r="D121" s="89" t="str">
        <f t="shared" si="6"/>
        <v>all</v>
      </c>
      <c r="E121" s="105" t="s">
        <v>90</v>
      </c>
      <c r="F121" s="105" t="s">
        <v>90</v>
      </c>
      <c r="G121" s="105"/>
      <c r="H121" s="105"/>
      <c r="I121" s="105"/>
      <c r="J121" s="105"/>
      <c r="K121" s="105"/>
      <c r="L121" s="105"/>
      <c r="M121" s="105"/>
      <c r="N121" s="105"/>
      <c r="O121" s="105"/>
    </row>
    <row r="122" spans="2:15">
      <c r="B122" s="95" t="str">
        <f t="shared" si="6"/>
        <v xml:space="preserve">50G </v>
      </c>
      <c r="C122" s="96" t="str">
        <f t="shared" si="6"/>
        <v>2 km</v>
      </c>
      <c r="D122" s="97" t="str">
        <f t="shared" si="6"/>
        <v>all</v>
      </c>
      <c r="E122" s="107" t="s">
        <v>90</v>
      </c>
      <c r="F122" s="107" t="s">
        <v>90</v>
      </c>
      <c r="G122" s="107"/>
      <c r="H122" s="107"/>
      <c r="I122" s="107"/>
      <c r="J122" s="107"/>
      <c r="K122" s="107"/>
      <c r="L122" s="107"/>
      <c r="M122" s="107"/>
      <c r="N122" s="107"/>
      <c r="O122" s="107"/>
    </row>
    <row r="123" spans="2:15">
      <c r="B123" s="95" t="str">
        <f t="shared" si="6"/>
        <v xml:space="preserve">50G </v>
      </c>
      <c r="C123" s="96" t="str">
        <f t="shared" si="6"/>
        <v>10 km</v>
      </c>
      <c r="D123" s="97" t="str">
        <f t="shared" si="6"/>
        <v>all</v>
      </c>
      <c r="E123" s="107" t="s">
        <v>90</v>
      </c>
      <c r="F123" s="107" t="s">
        <v>90</v>
      </c>
      <c r="G123" s="107"/>
      <c r="H123" s="107"/>
      <c r="I123" s="107"/>
      <c r="J123" s="107"/>
      <c r="K123" s="107"/>
      <c r="L123" s="107"/>
      <c r="M123" s="107"/>
      <c r="N123" s="107"/>
      <c r="O123" s="107"/>
    </row>
    <row r="124" spans="2:15">
      <c r="B124" s="95" t="str">
        <f t="shared" si="6"/>
        <v xml:space="preserve">50G </v>
      </c>
      <c r="C124" s="96" t="str">
        <f t="shared" si="6"/>
        <v>40 km</v>
      </c>
      <c r="D124" s="97" t="str">
        <f t="shared" si="6"/>
        <v>all</v>
      </c>
      <c r="E124" s="107">
        <v>0</v>
      </c>
      <c r="F124" s="107">
        <v>0</v>
      </c>
      <c r="G124" s="107"/>
      <c r="H124" s="107"/>
      <c r="I124" s="107"/>
      <c r="J124" s="107"/>
      <c r="K124" s="107"/>
      <c r="L124" s="107"/>
      <c r="M124" s="107"/>
      <c r="N124" s="107"/>
      <c r="O124" s="107"/>
    </row>
    <row r="125" spans="2:15">
      <c r="B125" s="91" t="str">
        <f t="shared" si="6"/>
        <v xml:space="preserve">50G </v>
      </c>
      <c r="C125" s="92" t="str">
        <f t="shared" si="6"/>
        <v>80 km</v>
      </c>
      <c r="D125" s="93" t="str">
        <f t="shared" si="6"/>
        <v>all</v>
      </c>
      <c r="E125" s="106">
        <v>0</v>
      </c>
      <c r="F125" s="106">
        <v>0</v>
      </c>
      <c r="G125" s="106"/>
      <c r="H125" s="106"/>
      <c r="I125" s="106"/>
      <c r="J125" s="106"/>
      <c r="K125" s="106"/>
      <c r="L125" s="106"/>
      <c r="M125" s="106"/>
      <c r="N125" s="106"/>
      <c r="O125" s="106"/>
    </row>
    <row r="126" spans="2:15">
      <c r="B126" s="87" t="str">
        <f t="shared" si="6"/>
        <v>100G SR4</v>
      </c>
      <c r="C126" s="88" t="str">
        <f t="shared" si="6"/>
        <v>100 m</v>
      </c>
      <c r="D126" s="89" t="str">
        <f t="shared" si="6"/>
        <v>CFP</v>
      </c>
      <c r="E126" s="105">
        <v>1422.7039686825053</v>
      </c>
      <c r="F126" s="105">
        <v>1273.3986691740201</v>
      </c>
      <c r="G126" s="105"/>
      <c r="H126" s="105"/>
      <c r="I126" s="105"/>
      <c r="J126" s="105"/>
      <c r="K126" s="105"/>
      <c r="L126" s="105"/>
      <c r="M126" s="105"/>
      <c r="N126" s="105"/>
      <c r="O126" s="105"/>
    </row>
    <row r="127" spans="2:15">
      <c r="B127" s="95" t="str">
        <f t="shared" si="6"/>
        <v>100G SR4</v>
      </c>
      <c r="C127" s="96" t="str">
        <f t="shared" si="6"/>
        <v>100 m</v>
      </c>
      <c r="D127" s="97" t="str">
        <f t="shared" si="6"/>
        <v>CFP2/4</v>
      </c>
      <c r="E127" s="107">
        <v>1204.7629951912068</v>
      </c>
      <c r="F127" s="107">
        <v>1092.608197443808</v>
      </c>
      <c r="G127" s="107"/>
      <c r="H127" s="107"/>
      <c r="I127" s="107"/>
      <c r="J127" s="107"/>
      <c r="K127" s="107"/>
      <c r="L127" s="107"/>
      <c r="M127" s="107"/>
      <c r="N127" s="107"/>
      <c r="O127" s="107"/>
    </row>
    <row r="128" spans="2:15">
      <c r="B128" s="95" t="str">
        <f t="shared" si="6"/>
        <v>100G SR4</v>
      </c>
      <c r="C128" s="96" t="str">
        <f t="shared" si="6"/>
        <v>100 m</v>
      </c>
      <c r="D128" s="97" t="str">
        <f t="shared" si="6"/>
        <v>QSFP28</v>
      </c>
      <c r="E128" s="107">
        <v>258.09426618771823</v>
      </c>
      <c r="F128" s="107">
        <v>182.02277386466108</v>
      </c>
      <c r="G128" s="107"/>
      <c r="H128" s="107"/>
      <c r="I128" s="107"/>
      <c r="J128" s="107"/>
      <c r="K128" s="107"/>
      <c r="L128" s="107"/>
      <c r="M128" s="107"/>
      <c r="N128" s="107"/>
      <c r="O128" s="107"/>
    </row>
    <row r="129" spans="2:15">
      <c r="B129" s="95" t="str">
        <f t="shared" si="6"/>
        <v>100G SR2</v>
      </c>
      <c r="C129" s="96" t="str">
        <f t="shared" si="6"/>
        <v>100 m</v>
      </c>
      <c r="D129" s="97" t="str">
        <f t="shared" si="6"/>
        <v>All</v>
      </c>
      <c r="E129" s="107" t="s">
        <v>90</v>
      </c>
      <c r="F129" s="107" t="s">
        <v>90</v>
      </c>
      <c r="G129" s="107"/>
      <c r="H129" s="107"/>
      <c r="I129" s="107"/>
      <c r="J129" s="107"/>
      <c r="K129" s="107"/>
      <c r="L129" s="107"/>
      <c r="M129" s="107"/>
      <c r="N129" s="107"/>
      <c r="O129" s="107"/>
    </row>
    <row r="130" spans="2:15">
      <c r="B130" s="95" t="str">
        <f t="shared" si="6"/>
        <v>100G MM Duplex</v>
      </c>
      <c r="C130" s="96" t="str">
        <f t="shared" si="6"/>
        <v>100 - 300 m</v>
      </c>
      <c r="D130" s="97" t="str">
        <f t="shared" si="6"/>
        <v>QSFP28</v>
      </c>
      <c r="E130" s="107" t="s">
        <v>90</v>
      </c>
      <c r="F130" s="107" t="s">
        <v>90</v>
      </c>
      <c r="G130" s="107"/>
      <c r="H130" s="107"/>
      <c r="I130" s="107"/>
      <c r="J130" s="107"/>
      <c r="K130" s="107"/>
      <c r="L130" s="107"/>
      <c r="M130" s="107"/>
      <c r="N130" s="107"/>
      <c r="O130" s="107"/>
    </row>
    <row r="131" spans="2:15">
      <c r="B131" s="95" t="str">
        <f t="shared" si="6"/>
        <v>100G eSR4</v>
      </c>
      <c r="C131" s="96" t="str">
        <f t="shared" si="6"/>
        <v>300 m</v>
      </c>
      <c r="D131" s="97" t="str">
        <f t="shared" si="6"/>
        <v>QSFP28</v>
      </c>
      <c r="E131" s="107" t="s">
        <v>90</v>
      </c>
      <c r="F131" s="107" t="s">
        <v>90</v>
      </c>
      <c r="G131" s="107"/>
      <c r="H131" s="107"/>
      <c r="I131" s="107"/>
      <c r="J131" s="107"/>
      <c r="K131" s="107"/>
      <c r="L131" s="107"/>
      <c r="M131" s="107"/>
      <c r="N131" s="107"/>
      <c r="O131" s="107"/>
    </row>
    <row r="132" spans="2:15">
      <c r="B132" s="95" t="str">
        <f t="shared" si="6"/>
        <v>100G PSM4</v>
      </c>
      <c r="C132" s="96" t="str">
        <f t="shared" si="6"/>
        <v>500 m</v>
      </c>
      <c r="D132" s="97" t="str">
        <f t="shared" si="6"/>
        <v>QSFP28</v>
      </c>
      <c r="E132" s="107">
        <v>337.41687156790022</v>
      </c>
      <c r="F132" s="107">
        <v>222.65569307558187</v>
      </c>
      <c r="G132" s="107"/>
      <c r="H132" s="107"/>
      <c r="I132" s="107"/>
      <c r="J132" s="107"/>
      <c r="K132" s="107"/>
      <c r="L132" s="107"/>
      <c r="M132" s="107"/>
      <c r="N132" s="107"/>
      <c r="O132" s="107"/>
    </row>
    <row r="133" spans="2:15">
      <c r="B133" s="95" t="str">
        <f t="shared" si="6"/>
        <v>100G DR</v>
      </c>
      <c r="C133" s="96" t="str">
        <f t="shared" si="6"/>
        <v>500m</v>
      </c>
      <c r="D133" s="97" t="str">
        <f t="shared" si="6"/>
        <v>QSFP28</v>
      </c>
      <c r="E133" s="107" t="s">
        <v>90</v>
      </c>
      <c r="F133" s="107" t="s">
        <v>90</v>
      </c>
      <c r="G133" s="107"/>
      <c r="H133" s="107"/>
      <c r="I133" s="107"/>
      <c r="J133" s="107"/>
      <c r="K133" s="107"/>
      <c r="L133" s="107"/>
      <c r="M133" s="107"/>
      <c r="N133" s="107"/>
      <c r="O133" s="107"/>
    </row>
    <row r="134" spans="2:15">
      <c r="B134" s="95" t="str">
        <f t="shared" ref="B134:D147" si="7">B49</f>
        <v>100G CWDM4-subspec</v>
      </c>
      <c r="C134" s="96" t="str">
        <f t="shared" si="7"/>
        <v>500 m</v>
      </c>
      <c r="D134" s="97" t="str">
        <f t="shared" si="7"/>
        <v>QSFP28</v>
      </c>
      <c r="E134" s="107">
        <v>625</v>
      </c>
      <c r="F134" s="107">
        <v>450</v>
      </c>
      <c r="G134" s="107"/>
      <c r="H134" s="107"/>
      <c r="I134" s="107"/>
      <c r="J134" s="107"/>
      <c r="K134" s="107"/>
      <c r="L134" s="107"/>
      <c r="M134" s="107"/>
      <c r="N134" s="107"/>
      <c r="O134" s="107"/>
    </row>
    <row r="135" spans="2:15">
      <c r="B135" s="95" t="str">
        <f t="shared" si="7"/>
        <v>100G CWDM4</v>
      </c>
      <c r="C135" s="96" t="str">
        <f t="shared" si="7"/>
        <v>2 km</v>
      </c>
      <c r="D135" s="97" t="str">
        <f t="shared" si="7"/>
        <v>QSFP28</v>
      </c>
      <c r="E135" s="107">
        <v>825</v>
      </c>
      <c r="F135" s="107">
        <v>650</v>
      </c>
      <c r="G135" s="107"/>
      <c r="H135" s="107"/>
      <c r="I135" s="107"/>
      <c r="J135" s="107"/>
      <c r="K135" s="107"/>
      <c r="L135" s="107"/>
      <c r="M135" s="107"/>
      <c r="N135" s="107"/>
      <c r="O135" s="107"/>
    </row>
    <row r="136" spans="2:15">
      <c r="B136" s="95" t="str">
        <f t="shared" si="7"/>
        <v>100G FR, DR+</v>
      </c>
      <c r="C136" s="96" t="str">
        <f t="shared" si="7"/>
        <v>2 km</v>
      </c>
      <c r="D136" s="97" t="str">
        <f t="shared" si="7"/>
        <v>QSFP28</v>
      </c>
      <c r="E136" s="107" t="s">
        <v>90</v>
      </c>
      <c r="F136" s="107" t="s">
        <v>90</v>
      </c>
      <c r="G136" s="107"/>
      <c r="H136" s="107"/>
      <c r="I136" s="107"/>
      <c r="J136" s="107"/>
      <c r="K136" s="107"/>
      <c r="L136" s="107"/>
      <c r="M136" s="107"/>
      <c r="N136" s="107"/>
      <c r="O136" s="107"/>
    </row>
    <row r="137" spans="2:15">
      <c r="B137" s="95" t="str">
        <f t="shared" si="7"/>
        <v>100G LR4</v>
      </c>
      <c r="C137" s="96" t="str">
        <f t="shared" si="7"/>
        <v>10 km</v>
      </c>
      <c r="D137" s="97" t="str">
        <f t="shared" si="7"/>
        <v>CFP</v>
      </c>
      <c r="E137" s="107">
        <v>3527.8709620331333</v>
      </c>
      <c r="F137" s="107">
        <v>2768.0701132780364</v>
      </c>
      <c r="G137" s="107"/>
      <c r="H137" s="107"/>
      <c r="I137" s="107"/>
      <c r="J137" s="107"/>
      <c r="K137" s="107"/>
      <c r="L137" s="107"/>
      <c r="M137" s="107"/>
      <c r="N137" s="107"/>
      <c r="O137" s="107"/>
    </row>
    <row r="138" spans="2:15">
      <c r="B138" s="95" t="str">
        <f t="shared" si="7"/>
        <v>100G LR4</v>
      </c>
      <c r="C138" s="96" t="str">
        <f t="shared" si="7"/>
        <v>10 km</v>
      </c>
      <c r="D138" s="97" t="str">
        <f t="shared" si="7"/>
        <v>CFP2/4</v>
      </c>
      <c r="E138" s="107">
        <v>2882.5268681316725</v>
      </c>
      <c r="F138" s="107">
        <v>2140.3307221126156</v>
      </c>
      <c r="G138" s="107"/>
      <c r="H138" s="107"/>
      <c r="I138" s="107"/>
      <c r="J138" s="107"/>
      <c r="K138" s="107"/>
      <c r="L138" s="107"/>
      <c r="M138" s="107"/>
      <c r="N138" s="107"/>
      <c r="O138" s="107"/>
    </row>
    <row r="139" spans="2:15">
      <c r="B139" s="95" t="str">
        <f t="shared" si="7"/>
        <v>100G LR4 and LR1</v>
      </c>
      <c r="C139" s="96" t="str">
        <f t="shared" si="7"/>
        <v>10 km</v>
      </c>
      <c r="D139" s="97" t="str">
        <f t="shared" si="7"/>
        <v>QSFP28</v>
      </c>
      <c r="E139" s="107">
        <v>1938.1501024552811</v>
      </c>
      <c r="F139" s="107">
        <v>1200</v>
      </c>
      <c r="G139" s="107"/>
      <c r="H139" s="107"/>
      <c r="I139" s="107"/>
      <c r="J139" s="107"/>
      <c r="K139" s="107"/>
      <c r="L139" s="107"/>
      <c r="M139" s="107"/>
      <c r="N139" s="107"/>
      <c r="O139" s="107"/>
    </row>
    <row r="140" spans="2:15">
      <c r="B140" s="95" t="str">
        <f t="shared" si="7"/>
        <v>100G 4WDM10</v>
      </c>
      <c r="C140" s="96" t="str">
        <f t="shared" si="7"/>
        <v>10 km</v>
      </c>
      <c r="D140" s="97" t="str">
        <f t="shared" si="7"/>
        <v>QSFP28</v>
      </c>
      <c r="E140" s="107" t="s">
        <v>90</v>
      </c>
      <c r="F140" s="107">
        <v>500</v>
      </c>
      <c r="G140" s="107"/>
      <c r="H140" s="107"/>
      <c r="I140" s="107"/>
      <c r="J140" s="107"/>
      <c r="K140" s="107"/>
      <c r="L140" s="107"/>
      <c r="M140" s="107"/>
      <c r="N140" s="107"/>
      <c r="O140" s="107"/>
    </row>
    <row r="141" spans="2:15">
      <c r="B141" s="95" t="str">
        <f t="shared" si="7"/>
        <v>100G 4WDM20</v>
      </c>
      <c r="C141" s="96" t="str">
        <f t="shared" si="7"/>
        <v>20 km</v>
      </c>
      <c r="D141" s="97" t="str">
        <f t="shared" si="7"/>
        <v>QSFP28</v>
      </c>
      <c r="E141" s="107" t="s">
        <v>90</v>
      </c>
      <c r="F141" s="107" t="s">
        <v>90</v>
      </c>
      <c r="G141" s="107"/>
      <c r="H141" s="107"/>
      <c r="I141" s="107"/>
      <c r="J141" s="107"/>
      <c r="K141" s="107"/>
      <c r="L141" s="107"/>
      <c r="M141" s="107"/>
      <c r="N141" s="107"/>
      <c r="O141" s="107"/>
    </row>
    <row r="142" spans="2:15">
      <c r="B142" s="95" t="str">
        <f t="shared" si="7"/>
        <v>100G ER4-Lite</v>
      </c>
      <c r="C142" s="96" t="str">
        <f t="shared" si="7"/>
        <v>30 km</v>
      </c>
      <c r="D142" s="97" t="str">
        <f t="shared" si="7"/>
        <v>QSFP28</v>
      </c>
      <c r="E142" s="107" t="s">
        <v>90</v>
      </c>
      <c r="F142" s="107">
        <v>3487.2423945044161</v>
      </c>
      <c r="G142" s="107"/>
      <c r="H142" s="107"/>
      <c r="I142" s="107"/>
      <c r="J142" s="107"/>
      <c r="K142" s="107"/>
      <c r="L142" s="107"/>
      <c r="M142" s="107"/>
      <c r="N142" s="107"/>
      <c r="O142" s="107"/>
    </row>
    <row r="143" spans="2:15">
      <c r="B143" s="95" t="str">
        <f t="shared" si="7"/>
        <v>100G ER4</v>
      </c>
      <c r="C143" s="96" t="str">
        <f t="shared" si="7"/>
        <v>40 km</v>
      </c>
      <c r="D143" s="97" t="str">
        <f t="shared" si="7"/>
        <v>QSFP28</v>
      </c>
      <c r="E143" s="107">
        <v>8992.3604525403425</v>
      </c>
      <c r="F143" s="107">
        <v>6675.4855675304152</v>
      </c>
      <c r="G143" s="107"/>
      <c r="H143" s="107"/>
      <c r="I143" s="107"/>
      <c r="J143" s="107"/>
      <c r="K143" s="107"/>
      <c r="L143" s="107"/>
      <c r="M143" s="107"/>
      <c r="N143" s="107"/>
      <c r="O143" s="107"/>
    </row>
    <row r="144" spans="2:15">
      <c r="B144" s="91" t="str">
        <f t="shared" si="7"/>
        <v>100G ZR4</v>
      </c>
      <c r="C144" s="92" t="str">
        <f t="shared" si="7"/>
        <v>80 km</v>
      </c>
      <c r="D144" s="93" t="str">
        <f t="shared" si="7"/>
        <v>QSFP28</v>
      </c>
      <c r="E144" s="106" t="s">
        <v>90</v>
      </c>
      <c r="F144" s="106" t="s">
        <v>90</v>
      </c>
      <c r="G144" s="106"/>
      <c r="H144" s="106"/>
      <c r="I144" s="106"/>
      <c r="J144" s="106"/>
      <c r="K144" s="106"/>
      <c r="L144" s="106"/>
      <c r="M144" s="106"/>
      <c r="N144" s="106"/>
      <c r="O144" s="106"/>
    </row>
    <row r="145" spans="2:18" ht="12" customHeight="1">
      <c r="B145" s="87" t="str">
        <f t="shared" si="7"/>
        <v>200G SR4</v>
      </c>
      <c r="C145" s="88" t="str">
        <f t="shared" si="7"/>
        <v>100 m</v>
      </c>
      <c r="D145" s="89" t="str">
        <f t="shared" si="7"/>
        <v>QSFP56</v>
      </c>
      <c r="E145" s="105">
        <v>0</v>
      </c>
      <c r="F145" s="105">
        <v>0</v>
      </c>
      <c r="G145" s="105"/>
      <c r="H145" s="105"/>
      <c r="I145" s="105"/>
      <c r="J145" s="105"/>
      <c r="K145" s="105"/>
      <c r="L145" s="105"/>
      <c r="M145" s="105"/>
      <c r="N145" s="105"/>
      <c r="O145" s="105"/>
    </row>
    <row r="146" spans="2:18" ht="12" customHeight="1">
      <c r="B146" s="95" t="str">
        <f t="shared" si="7"/>
        <v>200G DR</v>
      </c>
      <c r="C146" s="96" t="str">
        <f t="shared" si="7"/>
        <v>500 m</v>
      </c>
      <c r="D146" s="97" t="str">
        <f t="shared" si="7"/>
        <v>TBD</v>
      </c>
      <c r="E146" s="107">
        <v>0</v>
      </c>
      <c r="F146" s="107">
        <v>0</v>
      </c>
      <c r="G146" s="107"/>
      <c r="H146" s="107"/>
      <c r="I146" s="107"/>
      <c r="J146" s="107"/>
      <c r="K146" s="107"/>
      <c r="L146" s="107"/>
      <c r="M146" s="107"/>
      <c r="N146" s="107"/>
      <c r="O146" s="107"/>
    </row>
    <row r="147" spans="2:18">
      <c r="B147" s="95" t="str">
        <f t="shared" si="7"/>
        <v>200G FR4</v>
      </c>
      <c r="C147" s="96" t="str">
        <f t="shared" si="7"/>
        <v>3 km</v>
      </c>
      <c r="D147" s="97" t="str">
        <f t="shared" si="7"/>
        <v>QSFP56</v>
      </c>
      <c r="E147" s="107">
        <v>0</v>
      </c>
      <c r="F147" s="107">
        <v>0</v>
      </c>
      <c r="G147" s="107"/>
      <c r="H147" s="107"/>
      <c r="I147" s="107"/>
      <c r="J147" s="107"/>
      <c r="K147" s="107"/>
      <c r="L147" s="107"/>
      <c r="M147" s="107"/>
      <c r="N147" s="107"/>
      <c r="O147" s="107"/>
    </row>
    <row r="148" spans="2:18">
      <c r="B148" s="95" t="str">
        <f t="shared" ref="B148:D148" si="8">B63</f>
        <v>200G LR</v>
      </c>
      <c r="C148" s="96" t="str">
        <f t="shared" si="8"/>
        <v>10 km</v>
      </c>
      <c r="D148" s="97" t="str">
        <f t="shared" si="8"/>
        <v>TBD</v>
      </c>
      <c r="E148" s="107">
        <v>0</v>
      </c>
      <c r="F148" s="107">
        <v>0</v>
      </c>
      <c r="G148" s="107"/>
      <c r="H148" s="107"/>
      <c r="I148" s="107"/>
      <c r="J148" s="107"/>
      <c r="K148" s="107"/>
      <c r="L148" s="107"/>
      <c r="M148" s="107"/>
      <c r="N148" s="107"/>
      <c r="O148" s="107"/>
    </row>
    <row r="149" spans="2:18">
      <c r="B149" s="95" t="str">
        <f t="shared" ref="B149:D149" si="9">B64</f>
        <v>200G ER4</v>
      </c>
      <c r="C149" s="96" t="str">
        <f t="shared" si="9"/>
        <v>40 km</v>
      </c>
      <c r="D149" s="97" t="str">
        <f t="shared" si="9"/>
        <v>TBD</v>
      </c>
      <c r="E149" s="107">
        <v>0</v>
      </c>
      <c r="F149" s="107">
        <v>0</v>
      </c>
      <c r="G149" s="107"/>
      <c r="H149" s="107"/>
      <c r="I149" s="107"/>
      <c r="J149" s="107"/>
      <c r="K149" s="107"/>
      <c r="L149" s="107"/>
      <c r="M149" s="107"/>
      <c r="N149" s="107"/>
      <c r="O149" s="107"/>
    </row>
    <row r="150" spans="2:18">
      <c r="B150" s="87" t="str">
        <f t="shared" ref="B150:D159" si="10">B65</f>
        <v>2x200 (400G-SR8)</v>
      </c>
      <c r="C150" s="88" t="str">
        <f t="shared" si="10"/>
        <v>100 m</v>
      </c>
      <c r="D150" s="89" t="str">
        <f t="shared" si="10"/>
        <v>OSFP, QSFP-DD</v>
      </c>
      <c r="E150" s="105">
        <v>0</v>
      </c>
      <c r="F150" s="105">
        <v>0</v>
      </c>
      <c r="G150" s="105"/>
      <c r="H150" s="105"/>
      <c r="I150" s="105"/>
      <c r="J150" s="105"/>
      <c r="K150" s="105"/>
      <c r="L150" s="105"/>
      <c r="M150" s="105"/>
      <c r="N150" s="105"/>
      <c r="O150" s="105"/>
    </row>
    <row r="151" spans="2:18" ht="12" customHeight="1">
      <c r="B151" s="95" t="str">
        <f t="shared" si="10"/>
        <v>400G SR4</v>
      </c>
      <c r="C151" s="96" t="str">
        <f t="shared" si="10"/>
        <v>100 m</v>
      </c>
      <c r="D151" s="97" t="str">
        <f t="shared" si="10"/>
        <v>OSFP112, QSFP112</v>
      </c>
      <c r="E151" s="107">
        <v>0</v>
      </c>
      <c r="F151" s="107">
        <v>0</v>
      </c>
      <c r="G151" s="107"/>
      <c r="H151" s="107"/>
      <c r="I151" s="107"/>
      <c r="J151" s="107"/>
      <c r="K151" s="107"/>
      <c r="L151" s="107"/>
      <c r="M151" s="107"/>
      <c r="N151" s="107"/>
      <c r="O151" s="107"/>
    </row>
    <row r="152" spans="2:18">
      <c r="B152" s="95" t="str">
        <f t="shared" si="10"/>
        <v>400G DR4</v>
      </c>
      <c r="C152" s="96" t="str">
        <f t="shared" si="10"/>
        <v>500 m</v>
      </c>
      <c r="D152" s="97" t="str">
        <f t="shared" si="10"/>
        <v>OSFP, QSFP-DD, QSFP112</v>
      </c>
      <c r="E152" s="107">
        <v>0</v>
      </c>
      <c r="F152" s="107">
        <v>0</v>
      </c>
      <c r="G152" s="107"/>
      <c r="H152" s="107"/>
      <c r="I152" s="107"/>
      <c r="J152" s="107"/>
      <c r="K152" s="107"/>
      <c r="L152" s="107"/>
      <c r="M152" s="107"/>
      <c r="N152" s="107"/>
      <c r="O152" s="107"/>
    </row>
    <row r="153" spans="2:18">
      <c r="B153" s="95" t="str">
        <f t="shared" si="10"/>
        <v>2x(200G FR4)</v>
      </c>
      <c r="C153" s="96" t="str">
        <f t="shared" si="10"/>
        <v>2 km</v>
      </c>
      <c r="D153" s="97" t="str">
        <f t="shared" si="10"/>
        <v>OSFP</v>
      </c>
      <c r="E153" s="107">
        <v>0</v>
      </c>
      <c r="F153" s="107">
        <v>0</v>
      </c>
      <c r="G153" s="107"/>
      <c r="H153" s="107"/>
      <c r="I153" s="107"/>
      <c r="J153" s="107"/>
      <c r="K153" s="107"/>
      <c r="L153" s="107"/>
      <c r="M153" s="107"/>
      <c r="N153" s="107"/>
      <c r="O153" s="107"/>
    </row>
    <row r="154" spans="2:18">
      <c r="B154" s="95" t="str">
        <f t="shared" si="10"/>
        <v>400G FR4</v>
      </c>
      <c r="C154" s="96" t="str">
        <f t="shared" si="10"/>
        <v>2 km</v>
      </c>
      <c r="D154" s="97" t="str">
        <f t="shared" si="10"/>
        <v>OSFP, QSFP-DD, QSFP112</v>
      </c>
      <c r="E154" s="107">
        <v>0</v>
      </c>
      <c r="F154" s="107">
        <v>11614.285714285714</v>
      </c>
      <c r="G154" s="107"/>
      <c r="H154" s="107"/>
      <c r="I154" s="107"/>
      <c r="J154" s="107"/>
      <c r="K154" s="107"/>
      <c r="L154" s="107"/>
      <c r="M154" s="107"/>
      <c r="N154" s="107"/>
      <c r="O154" s="107"/>
    </row>
    <row r="155" spans="2:18">
      <c r="B155" s="95" t="str">
        <f t="shared" si="10"/>
        <v>400G LR8, LR4</v>
      </c>
      <c r="C155" s="96" t="str">
        <f t="shared" si="10"/>
        <v>10 km</v>
      </c>
      <c r="D155" s="97" t="str">
        <f t="shared" si="10"/>
        <v>OSFP, QSFP-DD, QSFP112</v>
      </c>
      <c r="E155" s="107">
        <v>0</v>
      </c>
      <c r="F155" s="107">
        <v>15451.219512195123</v>
      </c>
      <c r="G155" s="107"/>
      <c r="H155" s="107"/>
      <c r="I155" s="107"/>
      <c r="J155" s="107"/>
      <c r="K155" s="107"/>
      <c r="L155" s="107"/>
      <c r="M155" s="107"/>
      <c r="N155" s="107"/>
      <c r="O155" s="107"/>
    </row>
    <row r="156" spans="2:18">
      <c r="B156" s="91" t="str">
        <f t="shared" si="10"/>
        <v>400G ER4</v>
      </c>
      <c r="C156" s="92" t="str">
        <f t="shared" si="10"/>
        <v>40 km</v>
      </c>
      <c r="D156" s="93" t="str">
        <f t="shared" si="10"/>
        <v>TBD</v>
      </c>
      <c r="E156" s="106">
        <v>0</v>
      </c>
      <c r="F156" s="106" t="s">
        <v>90</v>
      </c>
      <c r="G156" s="106"/>
      <c r="H156" s="106"/>
      <c r="I156" s="106"/>
      <c r="J156" s="106"/>
      <c r="K156" s="106"/>
      <c r="L156" s="106"/>
      <c r="M156" s="106"/>
      <c r="N156" s="106"/>
      <c r="O156" s="106"/>
    </row>
    <row r="157" spans="2:18" s="100" customFormat="1">
      <c r="B157" s="95" t="str">
        <f t="shared" si="10"/>
        <v>800G SR8</v>
      </c>
      <c r="C157" s="96" t="str">
        <f t="shared" si="10"/>
        <v>50 m</v>
      </c>
      <c r="D157" s="97" t="str">
        <f t="shared" si="10"/>
        <v>OSFP, QSFP-DD800</v>
      </c>
      <c r="E157" s="107">
        <v>0</v>
      </c>
      <c r="F157" s="107">
        <v>0</v>
      </c>
      <c r="G157" s="107"/>
      <c r="H157" s="107"/>
      <c r="I157" s="107"/>
      <c r="J157" s="107"/>
      <c r="K157" s="107"/>
      <c r="L157" s="107"/>
      <c r="M157" s="107"/>
      <c r="N157" s="107"/>
      <c r="O157" s="107"/>
      <c r="Q157" s="82"/>
      <c r="R157" s="82"/>
    </row>
    <row r="158" spans="2:18" s="100" customFormat="1">
      <c r="B158" s="95" t="str">
        <f t="shared" si="10"/>
        <v>800G DR8, DR4</v>
      </c>
      <c r="C158" s="96" t="str">
        <f t="shared" si="10"/>
        <v>500 m</v>
      </c>
      <c r="D158" s="96" t="str">
        <f t="shared" si="10"/>
        <v>OSFP, QSFP-DD800</v>
      </c>
      <c r="E158" s="107">
        <v>0</v>
      </c>
      <c r="F158" s="107">
        <v>0</v>
      </c>
      <c r="G158" s="107"/>
      <c r="H158" s="107"/>
      <c r="I158" s="107"/>
      <c r="J158" s="107"/>
      <c r="K158" s="107"/>
      <c r="L158" s="107"/>
      <c r="M158" s="107"/>
      <c r="N158" s="107"/>
      <c r="O158" s="107"/>
      <c r="Q158" s="82"/>
      <c r="R158" s="82"/>
    </row>
    <row r="159" spans="2:18" s="100" customFormat="1">
      <c r="B159" s="95" t="str">
        <f t="shared" si="10"/>
        <v>2x(400G FR4), 800G FR4</v>
      </c>
      <c r="C159" s="96" t="str">
        <f t="shared" si="10"/>
        <v>2 km</v>
      </c>
      <c r="D159" s="96" t="str">
        <f t="shared" si="10"/>
        <v>OSFP, QSFP-DD800</v>
      </c>
      <c r="E159" s="107">
        <v>0</v>
      </c>
      <c r="F159" s="107">
        <v>0</v>
      </c>
      <c r="G159" s="107"/>
      <c r="H159" s="107"/>
      <c r="I159" s="107"/>
      <c r="J159" s="107"/>
      <c r="K159" s="107"/>
      <c r="L159" s="107"/>
      <c r="M159" s="107"/>
      <c r="N159" s="107"/>
      <c r="O159" s="107"/>
      <c r="Q159" s="82"/>
      <c r="R159" s="82"/>
    </row>
    <row r="160" spans="2:18" s="100" customFormat="1">
      <c r="B160" s="95" t="str">
        <f t="shared" ref="B160:D172" si="11">B75</f>
        <v>800G LR8, LR4</v>
      </c>
      <c r="C160" s="96" t="str">
        <f t="shared" si="11"/>
        <v>6, 10 km</v>
      </c>
      <c r="D160" s="96" t="str">
        <f t="shared" si="11"/>
        <v>TBD</v>
      </c>
      <c r="E160" s="107">
        <v>0</v>
      </c>
      <c r="F160" s="107">
        <v>0</v>
      </c>
      <c r="G160" s="107"/>
      <c r="H160" s="107"/>
      <c r="I160" s="107"/>
      <c r="J160" s="107"/>
      <c r="K160" s="107"/>
      <c r="L160" s="107"/>
      <c r="M160" s="107"/>
      <c r="N160" s="107"/>
      <c r="O160" s="107"/>
      <c r="Q160" s="82"/>
      <c r="R160" s="82"/>
    </row>
    <row r="161" spans="2:18" s="100" customFormat="1">
      <c r="B161" s="95" t="str">
        <f t="shared" si="11"/>
        <v>800G ZRlite</v>
      </c>
      <c r="C161" s="96" t="str">
        <f t="shared" si="11"/>
        <v>10 km, 20 km</v>
      </c>
      <c r="D161" s="96" t="str">
        <f t="shared" si="11"/>
        <v>TBD</v>
      </c>
      <c r="E161" s="107">
        <v>0</v>
      </c>
      <c r="F161" s="107">
        <v>0</v>
      </c>
      <c r="G161" s="107"/>
      <c r="H161" s="107"/>
      <c r="I161" s="107"/>
      <c r="J161" s="107"/>
      <c r="K161" s="107"/>
      <c r="L161" s="107"/>
      <c r="M161" s="107"/>
      <c r="N161" s="107"/>
      <c r="O161" s="107"/>
      <c r="Q161" s="82"/>
      <c r="R161" s="82"/>
    </row>
    <row r="162" spans="2:18" s="100" customFormat="1">
      <c r="B162" s="91" t="str">
        <f t="shared" si="11"/>
        <v>800G ER4</v>
      </c>
      <c r="C162" s="92" t="str">
        <f t="shared" si="11"/>
        <v>40 km</v>
      </c>
      <c r="D162" s="92" t="str">
        <f t="shared" si="11"/>
        <v>TBD</v>
      </c>
      <c r="E162" s="106">
        <v>0</v>
      </c>
      <c r="F162" s="106">
        <v>0</v>
      </c>
      <c r="G162" s="106"/>
      <c r="H162" s="106"/>
      <c r="I162" s="106"/>
      <c r="J162" s="106"/>
      <c r="K162" s="106"/>
      <c r="L162" s="106"/>
      <c r="M162" s="106"/>
      <c r="N162" s="106"/>
      <c r="O162" s="106"/>
      <c r="Q162" s="82"/>
      <c r="R162" s="82"/>
    </row>
    <row r="163" spans="2:18" s="100" customFormat="1">
      <c r="B163" s="95" t="str">
        <f t="shared" si="11"/>
        <v>1.6T SR16</v>
      </c>
      <c r="C163" s="96" t="str">
        <f t="shared" si="11"/>
        <v>100 m</v>
      </c>
      <c r="D163" s="96" t="str">
        <f t="shared" si="11"/>
        <v>OSFP-XD and TBD</v>
      </c>
      <c r="E163" s="107">
        <v>0</v>
      </c>
      <c r="F163" s="107">
        <v>0</v>
      </c>
      <c r="G163" s="107"/>
      <c r="H163" s="107"/>
      <c r="I163" s="107"/>
      <c r="J163" s="107"/>
      <c r="K163" s="107"/>
      <c r="L163" s="107"/>
      <c r="M163" s="107"/>
      <c r="N163" s="107"/>
      <c r="O163" s="107"/>
      <c r="Q163" s="82"/>
      <c r="R163" s="82"/>
    </row>
    <row r="164" spans="2:18" s="100" customFormat="1">
      <c r="B164" s="95" t="str">
        <f t="shared" si="11"/>
        <v>1.6T DR8</v>
      </c>
      <c r="C164" s="96" t="str">
        <f t="shared" si="11"/>
        <v>500 m</v>
      </c>
      <c r="D164" s="96" t="str">
        <f t="shared" si="11"/>
        <v>OSFP-XD and TBD</v>
      </c>
      <c r="E164" s="107">
        <v>0</v>
      </c>
      <c r="F164" s="107">
        <v>0</v>
      </c>
      <c r="G164" s="107"/>
      <c r="H164" s="107"/>
      <c r="I164" s="107"/>
      <c r="J164" s="107"/>
      <c r="K164" s="107"/>
      <c r="L164" s="107"/>
      <c r="M164" s="107"/>
      <c r="N164" s="107"/>
      <c r="O164" s="107"/>
      <c r="Q164" s="82"/>
      <c r="R164" s="82"/>
    </row>
    <row r="165" spans="2:18" s="100" customFormat="1">
      <c r="B165" s="95" t="str">
        <f t="shared" si="11"/>
        <v>1.6T FR8</v>
      </c>
      <c r="C165" s="96" t="str">
        <f t="shared" si="11"/>
        <v>2 km</v>
      </c>
      <c r="D165" s="96" t="str">
        <f t="shared" si="11"/>
        <v>OSFP-XD and TBD</v>
      </c>
      <c r="E165" s="107">
        <v>0</v>
      </c>
      <c r="F165" s="107">
        <v>0</v>
      </c>
      <c r="G165" s="107"/>
      <c r="H165" s="107"/>
      <c r="I165" s="107"/>
      <c r="J165" s="107"/>
      <c r="K165" s="107"/>
      <c r="L165" s="107"/>
      <c r="M165" s="107"/>
      <c r="N165" s="107"/>
      <c r="O165" s="107"/>
      <c r="Q165" s="82"/>
      <c r="R165" s="82"/>
    </row>
    <row r="166" spans="2:18" s="100" customFormat="1">
      <c r="B166" s="95" t="str">
        <f t="shared" si="11"/>
        <v>1.6T LR8</v>
      </c>
      <c r="C166" s="96" t="str">
        <f t="shared" si="11"/>
        <v>10 km</v>
      </c>
      <c r="D166" s="96" t="str">
        <f t="shared" si="11"/>
        <v>OSFP-XD and TBD</v>
      </c>
      <c r="E166" s="107">
        <v>0</v>
      </c>
      <c r="F166" s="107">
        <v>0</v>
      </c>
      <c r="G166" s="107"/>
      <c r="H166" s="107"/>
      <c r="I166" s="107"/>
      <c r="J166" s="107"/>
      <c r="K166" s="107"/>
      <c r="L166" s="107"/>
      <c r="M166" s="107"/>
      <c r="N166" s="107"/>
      <c r="O166" s="107"/>
      <c r="Q166" s="82"/>
      <c r="R166" s="82"/>
    </row>
    <row r="167" spans="2:18" s="100" customFormat="1">
      <c r="B167" s="91" t="str">
        <f t="shared" si="11"/>
        <v>1.6T ER8</v>
      </c>
      <c r="C167" s="92" t="str">
        <f t="shared" si="11"/>
        <v>&gt;10 km</v>
      </c>
      <c r="D167" s="92" t="str">
        <f t="shared" si="11"/>
        <v>OSFP-XD and TBD</v>
      </c>
      <c r="E167" s="106">
        <v>0</v>
      </c>
      <c r="F167" s="106">
        <v>0</v>
      </c>
      <c r="G167" s="106"/>
      <c r="H167" s="106"/>
      <c r="I167" s="106"/>
      <c r="J167" s="106"/>
      <c r="K167" s="106"/>
      <c r="L167" s="106"/>
      <c r="M167" s="106"/>
      <c r="N167" s="106"/>
      <c r="O167" s="106"/>
      <c r="Q167" s="82"/>
      <c r="R167" s="82"/>
    </row>
    <row r="168" spans="2:18" s="100" customFormat="1">
      <c r="B168" s="95" t="str">
        <f t="shared" si="11"/>
        <v>3.2T SR</v>
      </c>
      <c r="C168" s="96" t="str">
        <f t="shared" si="11"/>
        <v>100 m</v>
      </c>
      <c r="D168" s="96" t="str">
        <f t="shared" si="11"/>
        <v>OSFP-XD and TBD</v>
      </c>
      <c r="E168" s="107">
        <v>0</v>
      </c>
      <c r="F168" s="107">
        <v>0</v>
      </c>
      <c r="G168" s="107"/>
      <c r="H168" s="107"/>
      <c r="I168" s="107"/>
      <c r="J168" s="107"/>
      <c r="K168" s="107"/>
      <c r="L168" s="107"/>
      <c r="M168" s="107"/>
      <c r="N168" s="107"/>
      <c r="O168" s="107"/>
      <c r="Q168" s="82"/>
      <c r="R168" s="82"/>
    </row>
    <row r="169" spans="2:18" s="100" customFormat="1">
      <c r="B169" s="95" t="str">
        <f t="shared" si="11"/>
        <v>3.2T DR</v>
      </c>
      <c r="C169" s="96" t="str">
        <f t="shared" si="11"/>
        <v>500 m</v>
      </c>
      <c r="D169" s="96" t="str">
        <f t="shared" si="11"/>
        <v>OSFP-XD and TBD</v>
      </c>
      <c r="E169" s="107">
        <v>0</v>
      </c>
      <c r="F169" s="107">
        <v>0</v>
      </c>
      <c r="G169" s="107"/>
      <c r="H169" s="107"/>
      <c r="I169" s="107"/>
      <c r="J169" s="107"/>
      <c r="K169" s="107"/>
      <c r="L169" s="107"/>
      <c r="M169" s="107"/>
      <c r="N169" s="107"/>
      <c r="O169" s="107"/>
      <c r="Q169" s="82"/>
      <c r="R169" s="82"/>
    </row>
    <row r="170" spans="2:18" s="100" customFormat="1">
      <c r="B170" s="95" t="str">
        <f t="shared" si="11"/>
        <v>3.2T FR</v>
      </c>
      <c r="C170" s="96" t="str">
        <f t="shared" si="11"/>
        <v>2 km</v>
      </c>
      <c r="D170" s="96" t="str">
        <f t="shared" si="11"/>
        <v>OSFP-XD and TBD</v>
      </c>
      <c r="E170" s="107">
        <v>0</v>
      </c>
      <c r="F170" s="107">
        <v>0</v>
      </c>
      <c r="G170" s="107"/>
      <c r="H170" s="107"/>
      <c r="I170" s="107"/>
      <c r="J170" s="107"/>
      <c r="K170" s="107"/>
      <c r="L170" s="107"/>
      <c r="M170" s="107"/>
      <c r="N170" s="107"/>
      <c r="O170" s="107"/>
      <c r="Q170" s="82"/>
      <c r="R170" s="82"/>
    </row>
    <row r="171" spans="2:18" s="100" customFormat="1">
      <c r="B171" s="95" t="str">
        <f t="shared" si="11"/>
        <v>3.2T LR</v>
      </c>
      <c r="C171" s="96" t="str">
        <f t="shared" si="11"/>
        <v>10 km</v>
      </c>
      <c r="D171" s="96" t="str">
        <f t="shared" si="11"/>
        <v>OSFP-XD and TBD</v>
      </c>
      <c r="E171" s="107">
        <v>0</v>
      </c>
      <c r="F171" s="107">
        <v>0</v>
      </c>
      <c r="G171" s="107"/>
      <c r="H171" s="107"/>
      <c r="I171" s="107"/>
      <c r="J171" s="107"/>
      <c r="K171" s="107"/>
      <c r="L171" s="107"/>
      <c r="M171" s="107"/>
      <c r="N171" s="107"/>
      <c r="O171" s="107"/>
      <c r="Q171" s="82"/>
      <c r="R171" s="82"/>
    </row>
    <row r="172" spans="2:18" s="100" customFormat="1">
      <c r="B172" s="95" t="str">
        <f t="shared" si="11"/>
        <v>3.2T ER</v>
      </c>
      <c r="C172" s="96" t="str">
        <f t="shared" si="11"/>
        <v>&gt;10 km</v>
      </c>
      <c r="D172" s="96" t="str">
        <f t="shared" si="11"/>
        <v>OSFP-XD and TBD</v>
      </c>
      <c r="E172" s="107">
        <v>0</v>
      </c>
      <c r="F172" s="107">
        <v>0</v>
      </c>
      <c r="G172" s="107"/>
      <c r="H172" s="107"/>
      <c r="I172" s="107"/>
      <c r="J172" s="107"/>
      <c r="K172" s="107"/>
      <c r="L172" s="107"/>
      <c r="M172" s="107"/>
      <c r="N172" s="107"/>
      <c r="O172" s="107"/>
      <c r="Q172" s="82"/>
      <c r="R172" s="82"/>
    </row>
    <row r="173" spans="2:18" s="100" customFormat="1">
      <c r="B173" s="91"/>
      <c r="C173" s="92"/>
      <c r="D173" s="92"/>
      <c r="E173" s="107">
        <v>0</v>
      </c>
      <c r="F173" s="107">
        <v>0</v>
      </c>
      <c r="G173" s="107"/>
      <c r="H173" s="107"/>
      <c r="I173" s="107"/>
      <c r="J173" s="107"/>
      <c r="K173" s="107"/>
      <c r="L173" s="107"/>
      <c r="M173" s="107"/>
      <c r="N173" s="107"/>
      <c r="O173" s="107"/>
      <c r="Q173" s="82"/>
      <c r="R173" s="82"/>
    </row>
    <row r="174" spans="2:18">
      <c r="B174" s="44" t="s">
        <v>20</v>
      </c>
      <c r="C174" s="45"/>
      <c r="D174" s="45"/>
      <c r="E174" s="110">
        <f t="shared" ref="E174:O174" si="12">IF(E89=0,,E259*10^6/E89)</f>
        <v>104.97249875787344</v>
      </c>
      <c r="F174" s="110">
        <f t="shared" si="12"/>
        <v>143.06306553136778</v>
      </c>
      <c r="G174" s="110">
        <f t="shared" si="12"/>
        <v>0</v>
      </c>
      <c r="H174" s="110">
        <f t="shared" si="12"/>
        <v>0</v>
      </c>
      <c r="I174" s="110">
        <f t="shared" si="12"/>
        <v>0</v>
      </c>
      <c r="J174" s="110">
        <f t="shared" si="12"/>
        <v>0</v>
      </c>
      <c r="K174" s="110">
        <f t="shared" si="12"/>
        <v>0</v>
      </c>
      <c r="L174" s="110">
        <f t="shared" si="12"/>
        <v>0</v>
      </c>
      <c r="M174" s="110">
        <f t="shared" si="12"/>
        <v>0</v>
      </c>
      <c r="N174" s="110">
        <f t="shared" si="12"/>
        <v>0</v>
      </c>
      <c r="O174" s="110">
        <f t="shared" si="12"/>
        <v>0</v>
      </c>
    </row>
    <row r="177" spans="1:16" ht="21">
      <c r="B177" s="15" t="s">
        <v>29</v>
      </c>
      <c r="C177" s="14"/>
      <c r="D177" s="14"/>
    </row>
    <row r="178" spans="1:16">
      <c r="B178" s="85" t="str">
        <f>B6</f>
        <v>Data Rate</v>
      </c>
      <c r="C178" s="85" t="str">
        <f>C6</f>
        <v>Reach</v>
      </c>
      <c r="D178" s="85" t="str">
        <f>D6</f>
        <v>Form Factor</v>
      </c>
      <c r="E178" s="104">
        <v>2016</v>
      </c>
      <c r="F178" s="104">
        <v>2017</v>
      </c>
      <c r="G178" s="104">
        <v>2018</v>
      </c>
      <c r="H178" s="104">
        <v>2019</v>
      </c>
      <c r="I178" s="104">
        <v>2020</v>
      </c>
      <c r="J178" s="104">
        <v>2021</v>
      </c>
      <c r="K178" s="104">
        <v>2022</v>
      </c>
      <c r="L178" s="104">
        <v>2023</v>
      </c>
      <c r="M178" s="104">
        <v>2024</v>
      </c>
      <c r="N178" s="104">
        <v>2025</v>
      </c>
      <c r="O178" s="104">
        <v>2026</v>
      </c>
    </row>
    <row r="179" spans="1:16">
      <c r="A179" s="50" t="str">
        <f>Products!F36</f>
        <v>MMF</v>
      </c>
      <c r="B179" s="87" t="str">
        <f t="shared" ref="B179:D198" si="13">B9</f>
        <v>1G</v>
      </c>
      <c r="C179" s="88" t="str">
        <f t="shared" si="13"/>
        <v>500 m</v>
      </c>
      <c r="D179" s="88" t="str">
        <f t="shared" si="13"/>
        <v>SFP</v>
      </c>
      <c r="E179" s="112">
        <f t="shared" ref="E179:F179" si="14">IF(E9=0,,E9*E94/10^6)</f>
        <v>0</v>
      </c>
      <c r="F179" s="112">
        <f t="shared" si="14"/>
        <v>0</v>
      </c>
      <c r="G179" s="112"/>
      <c r="H179" s="112"/>
      <c r="I179" s="112"/>
      <c r="J179" s="112"/>
      <c r="K179" s="112"/>
      <c r="L179" s="112"/>
      <c r="M179" s="112"/>
      <c r="N179" s="112"/>
      <c r="O179" s="112"/>
      <c r="P179" s="697"/>
    </row>
    <row r="180" spans="1:16">
      <c r="A180" s="211" t="str">
        <f>Products!F37</f>
        <v>SMF</v>
      </c>
      <c r="B180" s="95" t="str">
        <f t="shared" si="13"/>
        <v>1G</v>
      </c>
      <c r="C180" s="96" t="str">
        <f t="shared" si="13"/>
        <v>10 km</v>
      </c>
      <c r="D180" s="96" t="str">
        <f t="shared" si="13"/>
        <v>SFP</v>
      </c>
      <c r="E180" s="114">
        <f t="shared" ref="E180:F180" si="15">IF(E10=0,,E10*E95/10^6)</f>
        <v>4.7478439228000004</v>
      </c>
      <c r="F180" s="114">
        <f t="shared" si="15"/>
        <v>2.4950864080093562</v>
      </c>
      <c r="G180" s="114"/>
      <c r="H180" s="114"/>
      <c r="I180" s="114"/>
      <c r="J180" s="114"/>
      <c r="K180" s="114"/>
      <c r="L180" s="114"/>
      <c r="M180" s="114"/>
      <c r="N180" s="114"/>
      <c r="O180" s="114"/>
      <c r="P180" s="697"/>
    </row>
    <row r="181" spans="1:16">
      <c r="A181" s="211" t="str">
        <f>Products!F38</f>
        <v>SMF</v>
      </c>
      <c r="B181" s="95" t="str">
        <f t="shared" si="13"/>
        <v>1G</v>
      </c>
      <c r="C181" s="96" t="str">
        <f t="shared" si="13"/>
        <v>40 km</v>
      </c>
      <c r="D181" s="96" t="str">
        <f t="shared" si="13"/>
        <v>SFP</v>
      </c>
      <c r="E181" s="114">
        <f t="shared" ref="E181:F181" si="16">IF(E11=0,,E11*E96/10^6)</f>
        <v>0</v>
      </c>
      <c r="F181" s="114">
        <f t="shared" si="16"/>
        <v>0</v>
      </c>
      <c r="G181" s="114"/>
      <c r="H181" s="114"/>
      <c r="I181" s="114"/>
      <c r="J181" s="114"/>
      <c r="K181" s="114"/>
      <c r="L181" s="114"/>
      <c r="M181" s="114"/>
      <c r="N181" s="114"/>
      <c r="O181" s="114"/>
      <c r="P181" s="697"/>
    </row>
    <row r="182" spans="1:16">
      <c r="A182" s="211" t="str">
        <f>Products!F39</f>
        <v>SMF</v>
      </c>
      <c r="B182" s="95" t="str">
        <f t="shared" si="13"/>
        <v>1G</v>
      </c>
      <c r="C182" s="96" t="str">
        <f t="shared" si="13"/>
        <v>80 km</v>
      </c>
      <c r="D182" s="96" t="str">
        <f t="shared" si="13"/>
        <v>SFP</v>
      </c>
      <c r="E182" s="114">
        <f t="shared" ref="E182:F183" si="17">IF(E12=0,,E12*E97/10^6)</f>
        <v>0</v>
      </c>
      <c r="F182" s="114">
        <f t="shared" si="17"/>
        <v>0</v>
      </c>
      <c r="G182" s="114"/>
      <c r="H182" s="114"/>
      <c r="I182" s="114"/>
      <c r="J182" s="114"/>
      <c r="K182" s="114"/>
      <c r="L182" s="114"/>
      <c r="M182" s="114"/>
      <c r="N182" s="114"/>
      <c r="O182" s="114"/>
      <c r="P182" s="697"/>
    </row>
    <row r="183" spans="1:16">
      <c r="A183" s="211" t="str">
        <f>Products!F40</f>
        <v>Mix</v>
      </c>
      <c r="B183" s="91" t="str">
        <f t="shared" si="13"/>
        <v>1G &amp; Fast Ethernet</v>
      </c>
      <c r="C183" s="92" t="str">
        <f t="shared" si="13"/>
        <v>Various</v>
      </c>
      <c r="D183" s="92" t="str">
        <f t="shared" si="13"/>
        <v>Legacy/discontinued</v>
      </c>
      <c r="E183" s="113">
        <f t="shared" si="17"/>
        <v>0</v>
      </c>
      <c r="F183" s="113"/>
      <c r="G183" s="113"/>
      <c r="H183" s="113"/>
      <c r="I183" s="113"/>
      <c r="J183" s="113"/>
      <c r="K183" s="113"/>
      <c r="L183" s="113"/>
      <c r="M183" s="113"/>
      <c r="N183" s="113"/>
      <c r="O183" s="113"/>
      <c r="P183" s="697"/>
    </row>
    <row r="184" spans="1:16">
      <c r="A184" s="50" t="str">
        <f>Products!F41</f>
        <v>MMF</v>
      </c>
      <c r="B184" s="95" t="str">
        <f t="shared" si="13"/>
        <v>10G</v>
      </c>
      <c r="C184" s="96" t="str">
        <f t="shared" si="13"/>
        <v>300 m</v>
      </c>
      <c r="D184" s="96" t="str">
        <f t="shared" si="13"/>
        <v>XFP</v>
      </c>
      <c r="E184" s="114">
        <f t="shared" ref="E184:F184" si="18">IF(E14=0,,E14*E99/10^6)</f>
        <v>0</v>
      </c>
      <c r="F184" s="114">
        <f t="shared" si="18"/>
        <v>0</v>
      </c>
      <c r="G184" s="114"/>
      <c r="H184" s="114"/>
      <c r="I184" s="114"/>
      <c r="J184" s="114"/>
      <c r="K184" s="114"/>
      <c r="L184" s="114"/>
      <c r="M184" s="114"/>
      <c r="N184" s="114"/>
      <c r="O184" s="114"/>
      <c r="P184" s="697"/>
    </row>
    <row r="185" spans="1:16">
      <c r="A185" s="50" t="str">
        <f>Products!F42</f>
        <v>MMF</v>
      </c>
      <c r="B185" s="95" t="str">
        <f t="shared" si="13"/>
        <v>10G</v>
      </c>
      <c r="C185" s="96" t="str">
        <f t="shared" si="13"/>
        <v>300 m</v>
      </c>
      <c r="D185" s="96" t="str">
        <f t="shared" si="13"/>
        <v>SFP+</v>
      </c>
      <c r="E185" s="114">
        <f t="shared" ref="E185:F185" si="19">IF(E15=0,,E15*E100/10^6)</f>
        <v>97.34470409430871</v>
      </c>
      <c r="F185" s="114">
        <f t="shared" si="19"/>
        <v>87.068640146730502</v>
      </c>
      <c r="G185" s="114"/>
      <c r="H185" s="114"/>
      <c r="I185" s="114"/>
      <c r="J185" s="114"/>
      <c r="K185" s="114"/>
      <c r="L185" s="114"/>
      <c r="M185" s="114"/>
      <c r="N185" s="114"/>
      <c r="O185" s="114"/>
      <c r="P185" s="697"/>
    </row>
    <row r="186" spans="1:16">
      <c r="A186" s="50" t="str">
        <f>Products!F43</f>
        <v>MMF</v>
      </c>
      <c r="B186" s="95" t="str">
        <f t="shared" si="13"/>
        <v>10G LRM</v>
      </c>
      <c r="C186" s="96" t="str">
        <f t="shared" si="13"/>
        <v>220 m</v>
      </c>
      <c r="D186" s="96" t="str">
        <f t="shared" si="13"/>
        <v>SFP+</v>
      </c>
      <c r="E186" s="114">
        <f t="shared" ref="E186:F186" si="20">IF(E16=0,,E16*E101/10^6)</f>
        <v>0</v>
      </c>
      <c r="F186" s="114">
        <f t="shared" si="20"/>
        <v>0</v>
      </c>
      <c r="G186" s="114"/>
      <c r="H186" s="114"/>
      <c r="I186" s="114"/>
      <c r="J186" s="114"/>
      <c r="K186" s="114"/>
      <c r="L186" s="114"/>
      <c r="M186" s="114"/>
      <c r="N186" s="114"/>
      <c r="O186" s="114"/>
      <c r="P186" s="697"/>
    </row>
    <row r="187" spans="1:16">
      <c r="A187" s="211" t="str">
        <f>Products!F44</f>
        <v>SMF</v>
      </c>
      <c r="B187" s="95" t="str">
        <f t="shared" si="13"/>
        <v>10G</v>
      </c>
      <c r="C187" s="96" t="str">
        <f t="shared" si="13"/>
        <v>10 km</v>
      </c>
      <c r="D187" s="96" t="str">
        <f t="shared" si="13"/>
        <v>XFP</v>
      </c>
      <c r="E187" s="114">
        <f t="shared" ref="E187:F187" si="21">IF(E17=0,,E17*E102/10^6)</f>
        <v>0</v>
      </c>
      <c r="F187" s="114">
        <f t="shared" si="21"/>
        <v>0</v>
      </c>
      <c r="G187" s="114"/>
      <c r="H187" s="114"/>
      <c r="I187" s="114"/>
      <c r="J187" s="114"/>
      <c r="K187" s="114"/>
      <c r="L187" s="114"/>
      <c r="M187" s="114"/>
      <c r="N187" s="114"/>
      <c r="O187" s="114"/>
      <c r="P187" s="697"/>
    </row>
    <row r="188" spans="1:16">
      <c r="A188" s="211" t="str">
        <f>Products!F45</f>
        <v>SMF</v>
      </c>
      <c r="B188" s="95" t="str">
        <f t="shared" si="13"/>
        <v>10G</v>
      </c>
      <c r="C188" s="96" t="str">
        <f t="shared" si="13"/>
        <v>10 km</v>
      </c>
      <c r="D188" s="96" t="str">
        <f t="shared" si="13"/>
        <v>SFP+</v>
      </c>
      <c r="E188" s="114">
        <f t="shared" ref="E188:F188" si="22">IF(E18=0,,E18*E103/10^6)</f>
        <v>68.17850334418695</v>
      </c>
      <c r="F188" s="114">
        <f t="shared" si="22"/>
        <v>56.191964472121946</v>
      </c>
      <c r="G188" s="114"/>
      <c r="H188" s="114"/>
      <c r="I188" s="114"/>
      <c r="J188" s="114"/>
      <c r="K188" s="114"/>
      <c r="L188" s="114"/>
      <c r="M188" s="114"/>
      <c r="N188" s="114"/>
      <c r="O188" s="114"/>
      <c r="P188" s="697"/>
    </row>
    <row r="189" spans="1:16">
      <c r="A189" s="211" t="str">
        <f>Products!F46</f>
        <v>SMF</v>
      </c>
      <c r="B189" s="95" t="str">
        <f t="shared" si="13"/>
        <v>10G</v>
      </c>
      <c r="C189" s="96" t="str">
        <f t="shared" si="13"/>
        <v>40 km</v>
      </c>
      <c r="D189" s="96" t="str">
        <f t="shared" si="13"/>
        <v>XFP</v>
      </c>
      <c r="E189" s="114">
        <f t="shared" ref="E189:F189" si="23">IF(E19=0,,E19*E104/10^6)</f>
        <v>6.1957791255030008</v>
      </c>
      <c r="F189" s="114">
        <f t="shared" si="23"/>
        <v>2.9912816427744064</v>
      </c>
      <c r="G189" s="114"/>
      <c r="H189" s="114"/>
      <c r="I189" s="114"/>
      <c r="J189" s="114"/>
      <c r="K189" s="114"/>
      <c r="L189" s="114"/>
      <c r="M189" s="114"/>
      <c r="N189" s="114"/>
      <c r="O189" s="114"/>
      <c r="P189" s="697"/>
    </row>
    <row r="190" spans="1:16">
      <c r="A190" s="211" t="str">
        <f>Products!F47</f>
        <v>SMF</v>
      </c>
      <c r="B190" s="95" t="str">
        <f t="shared" si="13"/>
        <v>10G</v>
      </c>
      <c r="C190" s="96" t="str">
        <f t="shared" si="13"/>
        <v>40 km</v>
      </c>
      <c r="D190" s="96" t="str">
        <f t="shared" si="13"/>
        <v>SFP+</v>
      </c>
      <c r="E190" s="114">
        <f t="shared" ref="E190:F190" si="24">IF(E20=0,,E20*E105/10^6)</f>
        <v>4.9314255569719556</v>
      </c>
      <c r="F190" s="114">
        <f t="shared" si="24"/>
        <v>2.0120747906781835</v>
      </c>
      <c r="G190" s="114"/>
      <c r="H190" s="114"/>
      <c r="I190" s="114"/>
      <c r="J190" s="114"/>
      <c r="K190" s="114"/>
      <c r="L190" s="114"/>
      <c r="M190" s="114"/>
      <c r="N190" s="114"/>
      <c r="O190" s="114"/>
      <c r="P190" s="697"/>
    </row>
    <row r="191" spans="1:16">
      <c r="A191" s="211" t="str">
        <f>Products!F48</f>
        <v>SMF</v>
      </c>
      <c r="B191" s="95" t="str">
        <f t="shared" si="13"/>
        <v>10G</v>
      </c>
      <c r="C191" s="96" t="str">
        <f t="shared" si="13"/>
        <v>80 km</v>
      </c>
      <c r="D191" s="96" t="str">
        <f t="shared" si="13"/>
        <v>XFP</v>
      </c>
      <c r="E191" s="114">
        <f t="shared" ref="E191:F191" si="25">IF(E21=0,,E21*E106/10^6)</f>
        <v>0</v>
      </c>
      <c r="F191" s="114">
        <f t="shared" si="25"/>
        <v>0</v>
      </c>
      <c r="G191" s="114"/>
      <c r="H191" s="114"/>
      <c r="I191" s="114"/>
      <c r="J191" s="114"/>
      <c r="K191" s="114"/>
      <c r="L191" s="114"/>
      <c r="M191" s="114"/>
      <c r="N191" s="114"/>
      <c r="O191" s="114"/>
      <c r="P191" s="697"/>
    </row>
    <row r="192" spans="1:16">
      <c r="A192" s="211" t="str">
        <f>Products!F49</f>
        <v>SMF</v>
      </c>
      <c r="B192" s="95" t="str">
        <f t="shared" si="13"/>
        <v>10G</v>
      </c>
      <c r="C192" s="96" t="str">
        <f t="shared" si="13"/>
        <v>80 km</v>
      </c>
      <c r="D192" s="96" t="str">
        <f t="shared" si="13"/>
        <v>SFP+</v>
      </c>
      <c r="E192" s="114">
        <f t="shared" ref="E192:F193" si="26">IF(E22=0,,E22*E107/10^6)</f>
        <v>0</v>
      </c>
      <c r="F192" s="114">
        <f t="shared" si="26"/>
        <v>0</v>
      </c>
      <c r="G192" s="114"/>
      <c r="H192" s="114"/>
      <c r="I192" s="114"/>
      <c r="J192" s="114"/>
      <c r="K192" s="114"/>
      <c r="L192" s="114"/>
      <c r="M192" s="114"/>
      <c r="N192" s="114"/>
      <c r="O192" s="114"/>
      <c r="P192" s="697"/>
    </row>
    <row r="193" spans="1:16">
      <c r="A193" s="211" t="str">
        <f>Products!F50</f>
        <v>Mix</v>
      </c>
      <c r="B193" s="95" t="str">
        <f t="shared" si="13"/>
        <v>10G</v>
      </c>
      <c r="C193" s="96" t="str">
        <f t="shared" si="13"/>
        <v>Various</v>
      </c>
      <c r="D193" s="96" t="str">
        <f t="shared" si="13"/>
        <v>Legacy/discontinued</v>
      </c>
      <c r="E193" s="113">
        <f t="shared" si="26"/>
        <v>0</v>
      </c>
      <c r="F193" s="113">
        <f t="shared" si="26"/>
        <v>0</v>
      </c>
      <c r="G193" s="113"/>
      <c r="H193" s="113"/>
      <c r="I193" s="114"/>
      <c r="J193" s="114"/>
      <c r="K193" s="114"/>
      <c r="L193" s="114"/>
      <c r="M193" s="114"/>
      <c r="N193" s="114"/>
      <c r="O193" s="114"/>
      <c r="P193" s="697"/>
    </row>
    <row r="194" spans="1:16">
      <c r="A194" s="50" t="str">
        <f>Products!F51</f>
        <v>MMF</v>
      </c>
      <c r="B194" s="87" t="str">
        <f t="shared" si="13"/>
        <v>25G SR, eSR</v>
      </c>
      <c r="C194" s="88" t="str">
        <f t="shared" si="13"/>
        <v>100 - 300 m</v>
      </c>
      <c r="D194" s="89" t="str">
        <f t="shared" si="13"/>
        <v>SFP28</v>
      </c>
      <c r="E194" s="112">
        <f t="shared" ref="E194:F194" si="27">IF(E24=0,,E24*E109/10^6)</f>
        <v>0</v>
      </c>
      <c r="F194" s="112">
        <f t="shared" si="27"/>
        <v>0</v>
      </c>
      <c r="G194" s="112"/>
      <c r="H194" s="112"/>
      <c r="I194" s="112"/>
      <c r="J194" s="112"/>
      <c r="K194" s="112"/>
      <c r="L194" s="112"/>
      <c r="M194" s="112"/>
      <c r="N194" s="112"/>
      <c r="O194" s="112"/>
      <c r="P194" s="697"/>
    </row>
    <row r="195" spans="1:16">
      <c r="A195" s="211" t="str">
        <f>Products!F52</f>
        <v>SMF</v>
      </c>
      <c r="B195" s="95" t="str">
        <f t="shared" si="13"/>
        <v>25G LR</v>
      </c>
      <c r="C195" s="96" t="str">
        <f t="shared" si="13"/>
        <v>10 km</v>
      </c>
      <c r="D195" s="97" t="str">
        <f t="shared" si="13"/>
        <v>SFP28</v>
      </c>
      <c r="E195" s="114">
        <f t="shared" ref="E195:F195" si="28">IF(E25=0,,E25*E110/10^6)</f>
        <v>0</v>
      </c>
      <c r="F195" s="114">
        <f t="shared" si="28"/>
        <v>0</v>
      </c>
      <c r="G195" s="114"/>
      <c r="H195" s="114"/>
      <c r="I195" s="114"/>
      <c r="J195" s="114"/>
      <c r="K195" s="114"/>
      <c r="L195" s="114"/>
      <c r="M195" s="114"/>
      <c r="N195" s="114"/>
      <c r="O195" s="114"/>
      <c r="P195" s="697"/>
    </row>
    <row r="196" spans="1:16">
      <c r="A196" s="211" t="str">
        <f>Products!F53</f>
        <v>SMF</v>
      </c>
      <c r="B196" s="91" t="str">
        <f t="shared" si="13"/>
        <v>25G ER</v>
      </c>
      <c r="C196" s="92" t="str">
        <f t="shared" si="13"/>
        <v>40 km</v>
      </c>
      <c r="D196" s="93" t="str">
        <f t="shared" si="13"/>
        <v>SFP28</v>
      </c>
      <c r="E196" s="113">
        <f t="shared" ref="E196:F196" si="29">IF(E26=0,,E26*E111/10^6)</f>
        <v>0</v>
      </c>
      <c r="F196" s="113">
        <f t="shared" si="29"/>
        <v>0</v>
      </c>
      <c r="G196" s="113"/>
      <c r="H196" s="113"/>
      <c r="I196" s="113"/>
      <c r="J196" s="113"/>
      <c r="K196" s="113"/>
      <c r="L196" s="113"/>
      <c r="M196" s="113"/>
      <c r="N196" s="113"/>
      <c r="O196" s="113"/>
      <c r="P196" s="697"/>
    </row>
    <row r="197" spans="1:16">
      <c r="A197" s="50" t="str">
        <f>Products!F54</f>
        <v>MMF</v>
      </c>
      <c r="B197" s="87" t="str">
        <f t="shared" si="13"/>
        <v>40G SR4</v>
      </c>
      <c r="C197" s="88" t="str">
        <f t="shared" si="13"/>
        <v>100 m</v>
      </c>
      <c r="D197" s="89" t="str">
        <f t="shared" si="13"/>
        <v>QSFP+</v>
      </c>
      <c r="E197" s="112">
        <f t="shared" ref="E197:F197" si="30">IF(E27=0,,E27*E112/10^6)</f>
        <v>52.542377877555559</v>
      </c>
      <c r="F197" s="112">
        <f t="shared" si="30"/>
        <v>54.235480692339607</v>
      </c>
      <c r="G197" s="112"/>
      <c r="H197" s="112"/>
      <c r="I197" s="112"/>
      <c r="J197" s="112"/>
      <c r="K197" s="112"/>
      <c r="L197" s="112"/>
      <c r="M197" s="112"/>
      <c r="N197" s="112"/>
      <c r="O197" s="112"/>
      <c r="P197" s="697"/>
    </row>
    <row r="198" spans="1:16">
      <c r="A198" s="50" t="str">
        <f>Products!F55</f>
        <v>MMF</v>
      </c>
      <c r="B198" s="95" t="str">
        <f t="shared" si="13"/>
        <v>40G MM duplex</v>
      </c>
      <c r="C198" s="96" t="str">
        <f t="shared" si="13"/>
        <v>100 m</v>
      </c>
      <c r="D198" s="97" t="str">
        <f t="shared" si="13"/>
        <v>QSFP+</v>
      </c>
      <c r="E198" s="114">
        <f t="shared" ref="E198:F198" si="31">IF(E28=0,,E28*E113/10^6)</f>
        <v>0</v>
      </c>
      <c r="F198" s="114">
        <f t="shared" si="31"/>
        <v>0</v>
      </c>
      <c r="G198" s="114"/>
      <c r="H198" s="114"/>
      <c r="I198" s="114"/>
      <c r="J198" s="114"/>
      <c r="K198" s="114"/>
      <c r="L198" s="114"/>
      <c r="M198" s="114"/>
      <c r="N198" s="114"/>
      <c r="O198" s="114"/>
      <c r="P198" s="697"/>
    </row>
    <row r="199" spans="1:16">
      <c r="A199" s="50" t="str">
        <f>Products!F56</f>
        <v>MMF</v>
      </c>
      <c r="B199" s="95" t="str">
        <f t="shared" ref="B199:D218" si="32">B29</f>
        <v>40G eSR4</v>
      </c>
      <c r="C199" s="96" t="str">
        <f t="shared" si="32"/>
        <v>300 m</v>
      </c>
      <c r="D199" s="97" t="str">
        <f t="shared" si="32"/>
        <v>QSFP+</v>
      </c>
      <c r="E199" s="114">
        <f t="shared" ref="E199:F199" si="33">IF(E29=0,,E29*E114/10^6)</f>
        <v>24.957600813500001</v>
      </c>
      <c r="F199" s="114">
        <f t="shared" si="33"/>
        <v>32.120649999999998</v>
      </c>
      <c r="G199" s="114"/>
      <c r="H199" s="114"/>
      <c r="I199" s="114"/>
      <c r="J199" s="114"/>
      <c r="K199" s="114"/>
      <c r="L199" s="114"/>
      <c r="M199" s="114"/>
      <c r="N199" s="114"/>
      <c r="O199" s="114"/>
      <c r="P199" s="697"/>
    </row>
    <row r="200" spans="1:16">
      <c r="A200" s="211" t="str">
        <f>Products!F57</f>
        <v>SMF</v>
      </c>
      <c r="B200" s="95" t="str">
        <f t="shared" si="32"/>
        <v>40 G PSM4</v>
      </c>
      <c r="C200" s="96" t="str">
        <f t="shared" si="32"/>
        <v>500 m</v>
      </c>
      <c r="D200" s="97" t="str">
        <f t="shared" si="32"/>
        <v>QSFP+</v>
      </c>
      <c r="E200" s="193">
        <f t="shared" ref="E200:F200" si="34">IF(E30=0,,E30*E115/10^6)</f>
        <v>206.04404776999999</v>
      </c>
      <c r="F200" s="193">
        <f t="shared" si="34"/>
        <v>161.25879399999999</v>
      </c>
      <c r="G200" s="193"/>
      <c r="H200" s="193"/>
      <c r="I200" s="193"/>
      <c r="J200" s="193"/>
      <c r="K200" s="193"/>
      <c r="L200" s="193"/>
      <c r="M200" s="193"/>
      <c r="N200" s="193"/>
      <c r="O200" s="193"/>
      <c r="P200" s="697"/>
    </row>
    <row r="201" spans="1:16">
      <c r="A201" s="211" t="str">
        <f>Products!F58</f>
        <v>SMF</v>
      </c>
      <c r="B201" s="95" t="str">
        <f t="shared" si="32"/>
        <v>40G (FR)</v>
      </c>
      <c r="C201" s="96" t="str">
        <f t="shared" si="32"/>
        <v>2 km</v>
      </c>
      <c r="D201" s="97" t="str">
        <f t="shared" si="32"/>
        <v>CFP</v>
      </c>
      <c r="E201" s="193">
        <f t="shared" ref="E201:F201" si="35">IF(E31=0,,E31*E116/10^6)</f>
        <v>0</v>
      </c>
      <c r="F201" s="193">
        <f t="shared" si="35"/>
        <v>0</v>
      </c>
      <c r="G201" s="193"/>
      <c r="H201" s="193"/>
      <c r="I201" s="193"/>
      <c r="J201" s="193"/>
      <c r="K201" s="193"/>
      <c r="L201" s="193"/>
      <c r="M201" s="193"/>
      <c r="N201" s="193"/>
      <c r="O201" s="193"/>
      <c r="P201" s="697"/>
    </row>
    <row r="202" spans="1:16">
      <c r="A202" s="211" t="str">
        <f>Products!F59</f>
        <v>SMF</v>
      </c>
      <c r="B202" s="95" t="str">
        <f t="shared" si="32"/>
        <v>40G (LR4 subspec)</v>
      </c>
      <c r="C202" s="96" t="str">
        <f t="shared" si="32"/>
        <v>2 km</v>
      </c>
      <c r="D202" s="97" t="str">
        <f t="shared" si="32"/>
        <v>QSFP+</v>
      </c>
      <c r="E202" s="193">
        <f t="shared" ref="E202:F202" si="36">IF(E32=0,,E32*E117/10^6)</f>
        <v>177.55117799999999</v>
      </c>
      <c r="F202" s="193">
        <f t="shared" si="36"/>
        <v>277.09314268000003</v>
      </c>
      <c r="G202" s="193"/>
      <c r="H202" s="193"/>
      <c r="I202" s="193"/>
      <c r="J202" s="193"/>
      <c r="K202" s="193"/>
      <c r="L202" s="193"/>
      <c r="M202" s="193"/>
      <c r="N202" s="193"/>
      <c r="O202" s="193"/>
      <c r="P202" s="697"/>
    </row>
    <row r="203" spans="1:16">
      <c r="A203" s="211" t="str">
        <f>Products!F60</f>
        <v>SMF</v>
      </c>
      <c r="B203" s="95" t="str">
        <f t="shared" si="32"/>
        <v>40G</v>
      </c>
      <c r="C203" s="96" t="str">
        <f t="shared" si="32"/>
        <v>10 km</v>
      </c>
      <c r="D203" s="97" t="str">
        <f t="shared" si="32"/>
        <v>CFP</v>
      </c>
      <c r="E203" s="193">
        <f t="shared" ref="E203:F203" si="37">IF(E33=0,,E33*E118/10^6)</f>
        <v>0.39096978034042396</v>
      </c>
      <c r="F203" s="193">
        <f t="shared" si="37"/>
        <v>0.19223303543992781</v>
      </c>
      <c r="G203" s="193"/>
      <c r="H203" s="193"/>
      <c r="I203" s="193"/>
      <c r="J203" s="193"/>
      <c r="K203" s="193"/>
      <c r="L203" s="193"/>
      <c r="M203" s="193"/>
      <c r="N203" s="193"/>
      <c r="O203" s="193"/>
      <c r="P203" s="697"/>
    </row>
    <row r="204" spans="1:16">
      <c r="A204" s="211" t="str">
        <f>Products!F61</f>
        <v>SMF</v>
      </c>
      <c r="B204" s="95" t="str">
        <f t="shared" si="32"/>
        <v>40G</v>
      </c>
      <c r="C204" s="96" t="str">
        <f t="shared" si="32"/>
        <v>10 km</v>
      </c>
      <c r="D204" s="97" t="str">
        <f t="shared" si="32"/>
        <v>QSFP+</v>
      </c>
      <c r="E204" s="193">
        <f t="shared" ref="E204:F204" si="38">IF(E34=0,,E34*E119/10^6)</f>
        <v>111.97253942588168</v>
      </c>
      <c r="F204" s="193">
        <f t="shared" si="38"/>
        <v>136.25854458031412</v>
      </c>
      <c r="G204" s="193"/>
      <c r="H204" s="193"/>
      <c r="I204" s="193"/>
      <c r="J204" s="193"/>
      <c r="K204" s="193"/>
      <c r="L204" s="193"/>
      <c r="M204" s="193"/>
      <c r="N204" s="193"/>
      <c r="O204" s="193"/>
      <c r="P204" s="697"/>
    </row>
    <row r="205" spans="1:16">
      <c r="A205" s="211" t="str">
        <f>Products!F62</f>
        <v>SMF</v>
      </c>
      <c r="B205" s="91" t="str">
        <f t="shared" si="32"/>
        <v>40G</v>
      </c>
      <c r="C205" s="92" t="str">
        <f t="shared" si="32"/>
        <v>40 km</v>
      </c>
      <c r="D205" s="93" t="str">
        <f t="shared" si="32"/>
        <v>QSFP+</v>
      </c>
      <c r="E205" s="193">
        <f t="shared" ref="E205:F205" si="39">IF(E35=0,,E35*E120/10^6)</f>
        <v>2.0469855238707284</v>
      </c>
      <c r="F205" s="193">
        <f t="shared" si="39"/>
        <v>1.9816384521991841</v>
      </c>
      <c r="G205" s="193"/>
      <c r="H205" s="193"/>
      <c r="I205" s="193"/>
      <c r="J205" s="193"/>
      <c r="K205" s="193"/>
      <c r="L205" s="193"/>
      <c r="M205" s="193"/>
      <c r="N205" s="193"/>
      <c r="O205" s="193"/>
      <c r="P205" s="697"/>
    </row>
    <row r="206" spans="1:16">
      <c r="A206" s="50" t="str">
        <f>Products!F63</f>
        <v>MMF</v>
      </c>
      <c r="B206" s="87" t="str">
        <f t="shared" si="32"/>
        <v xml:space="preserve">50G </v>
      </c>
      <c r="C206" s="88" t="str">
        <f t="shared" si="32"/>
        <v>100 m</v>
      </c>
      <c r="D206" s="89" t="str">
        <f t="shared" si="32"/>
        <v>all</v>
      </c>
      <c r="E206" s="112">
        <f t="shared" ref="E206:F206" si="40">IF(E36=0,,E36*E121/10^6)</f>
        <v>0</v>
      </c>
      <c r="F206" s="112">
        <f t="shared" si="40"/>
        <v>0</v>
      </c>
      <c r="G206" s="112"/>
      <c r="H206" s="112"/>
      <c r="I206" s="112"/>
      <c r="J206" s="112"/>
      <c r="K206" s="112"/>
      <c r="L206" s="112"/>
      <c r="M206" s="112"/>
      <c r="N206" s="112"/>
      <c r="O206" s="112"/>
      <c r="P206" s="697"/>
    </row>
    <row r="207" spans="1:16">
      <c r="A207" s="211" t="str">
        <f>Products!F64</f>
        <v>SMF</v>
      </c>
      <c r="B207" s="95" t="str">
        <f t="shared" si="32"/>
        <v xml:space="preserve">50G </v>
      </c>
      <c r="C207" s="96" t="str">
        <f t="shared" si="32"/>
        <v>2 km</v>
      </c>
      <c r="D207" s="97" t="str">
        <f t="shared" si="32"/>
        <v>all</v>
      </c>
      <c r="E207" s="114">
        <f t="shared" ref="E207:F207" si="41">IF(E37=0,,E37*E122/10^6)</f>
        <v>0</v>
      </c>
      <c r="F207" s="114">
        <f t="shared" si="41"/>
        <v>0</v>
      </c>
      <c r="G207" s="114"/>
      <c r="H207" s="114"/>
      <c r="I207" s="114"/>
      <c r="J207" s="114"/>
      <c r="K207" s="114"/>
      <c r="L207" s="114"/>
      <c r="M207" s="114"/>
      <c r="N207" s="114"/>
      <c r="O207" s="114"/>
      <c r="P207" s="697"/>
    </row>
    <row r="208" spans="1:16">
      <c r="A208" s="211" t="str">
        <f>Products!F65</f>
        <v>SMF</v>
      </c>
      <c r="B208" s="95" t="str">
        <f t="shared" si="32"/>
        <v xml:space="preserve">50G </v>
      </c>
      <c r="C208" s="96" t="str">
        <f t="shared" si="32"/>
        <v>10 km</v>
      </c>
      <c r="D208" s="97" t="str">
        <f t="shared" si="32"/>
        <v>all</v>
      </c>
      <c r="E208" s="114">
        <f t="shared" ref="E208:F208" si="42">IF(E38=0,,E38*E123/10^6)</f>
        <v>0</v>
      </c>
      <c r="F208" s="114">
        <f t="shared" si="42"/>
        <v>0</v>
      </c>
      <c r="G208" s="114"/>
      <c r="H208" s="114"/>
      <c r="I208" s="114"/>
      <c r="J208" s="114"/>
      <c r="K208" s="114"/>
      <c r="L208" s="114"/>
      <c r="M208" s="114"/>
      <c r="N208" s="114"/>
      <c r="O208" s="114"/>
      <c r="P208" s="697"/>
    </row>
    <row r="209" spans="1:16">
      <c r="A209" s="211" t="str">
        <f>Products!F66</f>
        <v>SMF</v>
      </c>
      <c r="B209" s="95" t="str">
        <f t="shared" si="32"/>
        <v xml:space="preserve">50G </v>
      </c>
      <c r="C209" s="96" t="str">
        <f t="shared" si="32"/>
        <v>40 km</v>
      </c>
      <c r="D209" s="97" t="str">
        <f t="shared" si="32"/>
        <v>all</v>
      </c>
      <c r="E209" s="114">
        <f t="shared" ref="E209:F209" si="43">IF(E39=0,,E39*E124/10^6)</f>
        <v>0</v>
      </c>
      <c r="F209" s="114">
        <f t="shared" si="43"/>
        <v>0</v>
      </c>
      <c r="G209" s="114"/>
      <c r="H209" s="114"/>
      <c r="I209" s="114"/>
      <c r="J209" s="114"/>
      <c r="K209" s="114"/>
      <c r="L209" s="114"/>
      <c r="M209" s="114"/>
      <c r="N209" s="114"/>
      <c r="O209" s="114"/>
      <c r="P209" s="697"/>
    </row>
    <row r="210" spans="1:16">
      <c r="A210" s="211" t="str">
        <f>Products!F67</f>
        <v>SMF</v>
      </c>
      <c r="B210" s="95" t="str">
        <f t="shared" si="32"/>
        <v xml:space="preserve">50G </v>
      </c>
      <c r="C210" s="96" t="str">
        <f t="shared" si="32"/>
        <v>80 km</v>
      </c>
      <c r="D210" s="97" t="str">
        <f t="shared" si="32"/>
        <v>all</v>
      </c>
      <c r="E210" s="114">
        <f t="shared" ref="E210:F210" si="44">IF(E40=0,,E40*E125/10^6)</f>
        <v>0</v>
      </c>
      <c r="F210" s="114">
        <f t="shared" si="44"/>
        <v>0</v>
      </c>
      <c r="G210" s="114"/>
      <c r="H210" s="114"/>
      <c r="I210" s="114"/>
      <c r="J210" s="114"/>
      <c r="K210" s="114"/>
      <c r="L210" s="114"/>
      <c r="M210" s="114"/>
      <c r="N210" s="114"/>
      <c r="O210" s="114"/>
      <c r="P210" s="697"/>
    </row>
    <row r="211" spans="1:16">
      <c r="A211" s="50" t="str">
        <f>Products!F68</f>
        <v>MMF</v>
      </c>
      <c r="B211" s="87" t="str">
        <f t="shared" si="32"/>
        <v>100G SR4</v>
      </c>
      <c r="C211" s="88" t="str">
        <f t="shared" si="32"/>
        <v>100 m</v>
      </c>
      <c r="D211" s="89" t="str">
        <f t="shared" si="32"/>
        <v>CFP</v>
      </c>
      <c r="E211" s="112">
        <f t="shared" ref="E211:F211" si="45">IF(E41=0,,E41*E126/10^6)</f>
        <v>0</v>
      </c>
      <c r="F211" s="112">
        <f t="shared" si="45"/>
        <v>0</v>
      </c>
      <c r="G211" s="112"/>
      <c r="H211" s="112"/>
      <c r="I211" s="112"/>
      <c r="J211" s="112"/>
      <c r="K211" s="112"/>
      <c r="L211" s="112"/>
      <c r="M211" s="112"/>
      <c r="N211" s="112"/>
      <c r="O211" s="112"/>
      <c r="P211" s="697"/>
    </row>
    <row r="212" spans="1:16">
      <c r="A212" s="50" t="str">
        <f>Products!F69</f>
        <v>MMF</v>
      </c>
      <c r="B212" s="95" t="str">
        <f t="shared" si="32"/>
        <v>100G SR4</v>
      </c>
      <c r="C212" s="96" t="str">
        <f t="shared" si="32"/>
        <v>100 m</v>
      </c>
      <c r="D212" s="97" t="str">
        <f t="shared" si="32"/>
        <v>CFP2/4</v>
      </c>
      <c r="E212" s="114">
        <f t="shared" ref="E212:F212" si="46">IF(E42=0,,E42*E127/10^6)</f>
        <v>0</v>
      </c>
      <c r="F212" s="114">
        <f t="shared" si="46"/>
        <v>0</v>
      </c>
      <c r="G212" s="114"/>
      <c r="H212" s="114"/>
      <c r="I212" s="114"/>
      <c r="J212" s="114"/>
      <c r="K212" s="114"/>
      <c r="L212" s="114"/>
      <c r="M212" s="114"/>
      <c r="N212" s="114"/>
      <c r="O212" s="114"/>
      <c r="P212" s="697"/>
    </row>
    <row r="213" spans="1:16">
      <c r="A213" s="50" t="str">
        <f>Products!F70</f>
        <v>MMF</v>
      </c>
      <c r="B213" s="95" t="str">
        <f t="shared" si="32"/>
        <v>100G SR4</v>
      </c>
      <c r="C213" s="96" t="str">
        <f t="shared" si="32"/>
        <v>100 m</v>
      </c>
      <c r="D213" s="97" t="str">
        <f t="shared" si="32"/>
        <v>QSFP28</v>
      </c>
      <c r="E213" s="114">
        <f t="shared" ref="E213:F213" si="47">IF(E43=0,,E43*E128/10^6)</f>
        <v>72.281363999999996</v>
      </c>
      <c r="F213" s="114">
        <f t="shared" si="47"/>
        <v>113.36232738072</v>
      </c>
      <c r="G213" s="114"/>
      <c r="H213" s="114"/>
      <c r="I213" s="114"/>
      <c r="J213" s="114"/>
      <c r="K213" s="114"/>
      <c r="L213" s="114"/>
      <c r="M213" s="114"/>
      <c r="N213" s="114"/>
      <c r="O213" s="114"/>
      <c r="P213" s="697"/>
    </row>
    <row r="214" spans="1:16">
      <c r="A214" s="50" t="str">
        <f>Products!F71</f>
        <v>MMF</v>
      </c>
      <c r="B214" s="95" t="str">
        <f t="shared" si="32"/>
        <v>100G SR2</v>
      </c>
      <c r="C214" s="96" t="str">
        <f t="shared" si="32"/>
        <v>100 m</v>
      </c>
      <c r="D214" s="97" t="str">
        <f t="shared" si="32"/>
        <v>All</v>
      </c>
      <c r="E214" s="114">
        <f t="shared" ref="E214:F214" si="48">IF(E44=0,,E44*E129/10^6)</f>
        <v>0</v>
      </c>
      <c r="F214" s="114">
        <f t="shared" si="48"/>
        <v>0</v>
      </c>
      <c r="G214" s="114"/>
      <c r="H214" s="114"/>
      <c r="I214" s="114"/>
      <c r="J214" s="114"/>
      <c r="K214" s="114"/>
      <c r="L214" s="114"/>
      <c r="M214" s="114"/>
      <c r="N214" s="114"/>
      <c r="O214" s="114"/>
      <c r="P214" s="697"/>
    </row>
    <row r="215" spans="1:16">
      <c r="A215" s="50" t="str">
        <f>Products!F72</f>
        <v>MMF</v>
      </c>
      <c r="B215" s="95" t="str">
        <f t="shared" si="32"/>
        <v>100G MM Duplex</v>
      </c>
      <c r="C215" s="96" t="str">
        <f t="shared" si="32"/>
        <v>100 - 300 m</v>
      </c>
      <c r="D215" s="97" t="str">
        <f t="shared" si="32"/>
        <v>QSFP28</v>
      </c>
      <c r="E215" s="114">
        <f t="shared" ref="E215:F215" si="49">IF(E45=0,,E45*E130/10^6)</f>
        <v>0</v>
      </c>
      <c r="F215" s="114">
        <f t="shared" si="49"/>
        <v>0</v>
      </c>
      <c r="G215" s="114"/>
      <c r="H215" s="114"/>
      <c r="I215" s="114"/>
      <c r="J215" s="114"/>
      <c r="K215" s="114"/>
      <c r="L215" s="114"/>
      <c r="M215" s="114"/>
      <c r="N215" s="114"/>
      <c r="O215" s="114"/>
      <c r="P215" s="697"/>
    </row>
    <row r="216" spans="1:16">
      <c r="A216" s="50" t="str">
        <f>Products!F73</f>
        <v>MMF</v>
      </c>
      <c r="B216" s="95" t="str">
        <f t="shared" si="32"/>
        <v>100G eSR4</v>
      </c>
      <c r="C216" s="96" t="str">
        <f t="shared" si="32"/>
        <v>300 m</v>
      </c>
      <c r="D216" s="97" t="str">
        <f t="shared" si="32"/>
        <v>QSFP28</v>
      </c>
      <c r="E216" s="114">
        <f t="shared" ref="E216:F216" si="50">IF(E46=0,,E46*E131/10^6)</f>
        <v>0</v>
      </c>
      <c r="F216" s="114">
        <f t="shared" si="50"/>
        <v>0</v>
      </c>
      <c r="G216" s="114"/>
      <c r="H216" s="114"/>
      <c r="I216" s="114"/>
      <c r="J216" s="114"/>
      <c r="K216" s="114"/>
      <c r="L216" s="114"/>
      <c r="M216" s="114"/>
      <c r="N216" s="114"/>
      <c r="O216" s="114"/>
      <c r="P216" s="697"/>
    </row>
    <row r="217" spans="1:16">
      <c r="A217" s="50" t="str">
        <f>Products!F74</f>
        <v>SMF</v>
      </c>
      <c r="B217" s="95" t="str">
        <f t="shared" si="32"/>
        <v>100G PSM4</v>
      </c>
      <c r="C217" s="96" t="str">
        <f t="shared" si="32"/>
        <v>500 m</v>
      </c>
      <c r="D217" s="97" t="str">
        <f t="shared" si="32"/>
        <v>QSFP28</v>
      </c>
      <c r="E217" s="114">
        <f t="shared" ref="E217:F217" si="51">IF(E47=0,,E47*E132/10^6)</f>
        <v>67.773890240000014</v>
      </c>
      <c r="F217" s="114">
        <f t="shared" si="51"/>
        <v>158.09400299999999</v>
      </c>
      <c r="G217" s="114"/>
      <c r="H217" s="114"/>
      <c r="I217" s="114"/>
      <c r="J217" s="114"/>
      <c r="K217" s="114"/>
      <c r="L217" s="114"/>
      <c r="M217" s="114"/>
      <c r="N217" s="114"/>
      <c r="O217" s="114"/>
      <c r="P217" s="697"/>
    </row>
    <row r="218" spans="1:16">
      <c r="A218" s="50" t="str">
        <f>Products!F75</f>
        <v>SMF</v>
      </c>
      <c r="B218" s="95" t="str">
        <f t="shared" si="32"/>
        <v>100G DR</v>
      </c>
      <c r="C218" s="96" t="str">
        <f t="shared" si="32"/>
        <v>500m</v>
      </c>
      <c r="D218" s="97" t="str">
        <f t="shared" si="32"/>
        <v>QSFP28</v>
      </c>
      <c r="E218" s="114">
        <f t="shared" ref="E218:F218" si="52">IF(E48=0,,E48*E133/10^6)</f>
        <v>0</v>
      </c>
      <c r="F218" s="114">
        <f t="shared" si="52"/>
        <v>0</v>
      </c>
      <c r="G218" s="114"/>
      <c r="H218" s="114"/>
      <c r="I218" s="114"/>
      <c r="J218" s="114"/>
      <c r="K218" s="114"/>
      <c r="L218" s="114"/>
      <c r="M218" s="114"/>
      <c r="N218" s="114"/>
      <c r="O218" s="114"/>
      <c r="P218" s="697"/>
    </row>
    <row r="219" spans="1:16">
      <c r="A219" s="50" t="str">
        <f>Products!F76</f>
        <v>SMF</v>
      </c>
      <c r="B219" s="95" t="str">
        <f t="shared" ref="B219:D232" si="53">B49</f>
        <v>100G CWDM4-subspec</v>
      </c>
      <c r="C219" s="96" t="str">
        <f t="shared" si="53"/>
        <v>500 m</v>
      </c>
      <c r="D219" s="97" t="str">
        <f t="shared" si="53"/>
        <v>QSFP28</v>
      </c>
      <c r="E219" s="114">
        <f t="shared" ref="E219:F219" si="54">IF(E49=0,,E49*E134/10^6)</f>
        <v>55.125374999999998</v>
      </c>
      <c r="F219" s="114">
        <f t="shared" si="54"/>
        <v>307.53544499999998</v>
      </c>
      <c r="G219" s="114"/>
      <c r="H219" s="114"/>
      <c r="I219" s="114"/>
      <c r="J219" s="114"/>
      <c r="K219" s="114"/>
      <c r="L219" s="114"/>
      <c r="M219" s="114"/>
      <c r="N219" s="114"/>
      <c r="O219" s="114"/>
      <c r="P219" s="697"/>
    </row>
    <row r="220" spans="1:16">
      <c r="A220" s="211" t="str">
        <f>Products!F77</f>
        <v>SMF</v>
      </c>
      <c r="B220" s="95" t="str">
        <f t="shared" si="53"/>
        <v>100G CWDM4</v>
      </c>
      <c r="C220" s="96" t="str">
        <f t="shared" si="53"/>
        <v>2 km</v>
      </c>
      <c r="D220" s="97" t="str">
        <f t="shared" si="53"/>
        <v>QSFP28</v>
      </c>
      <c r="E220" s="114">
        <f t="shared" ref="E220:F220" si="55">IF(E50=0,,E50*E135/10^6)</f>
        <v>25.566254999999995</v>
      </c>
      <c r="F220" s="114">
        <f t="shared" si="55"/>
        <v>190.37908500000003</v>
      </c>
      <c r="G220" s="114"/>
      <c r="H220" s="114"/>
      <c r="I220" s="114"/>
      <c r="J220" s="114"/>
      <c r="K220" s="114"/>
      <c r="L220" s="114"/>
      <c r="M220" s="114"/>
      <c r="N220" s="114"/>
      <c r="O220" s="114"/>
      <c r="P220" s="697"/>
    </row>
    <row r="221" spans="1:16">
      <c r="A221" s="211" t="str">
        <f>Products!F78</f>
        <v>SMF</v>
      </c>
      <c r="B221" s="95" t="str">
        <f t="shared" si="53"/>
        <v>100G FR, DR+</v>
      </c>
      <c r="C221" s="96" t="str">
        <f t="shared" si="53"/>
        <v>2 km</v>
      </c>
      <c r="D221" s="97" t="str">
        <f t="shared" si="53"/>
        <v>QSFP28</v>
      </c>
      <c r="E221" s="114">
        <f t="shared" ref="E221:F221" si="56">IF(E51=0,,E51*E136/10^6)</f>
        <v>0</v>
      </c>
      <c r="F221" s="114">
        <f t="shared" si="56"/>
        <v>0</v>
      </c>
      <c r="G221" s="114"/>
      <c r="H221" s="114"/>
      <c r="I221" s="114"/>
      <c r="J221" s="114"/>
      <c r="K221" s="114"/>
      <c r="L221" s="114"/>
      <c r="M221" s="114"/>
      <c r="N221" s="114"/>
      <c r="O221" s="114"/>
      <c r="P221" s="697"/>
    </row>
    <row r="222" spans="1:16">
      <c r="A222" s="211" t="str">
        <f>Products!F79</f>
        <v>SMF</v>
      </c>
      <c r="B222" s="95" t="str">
        <f t="shared" si="53"/>
        <v>100G LR4</v>
      </c>
      <c r="C222" s="96" t="str">
        <f t="shared" si="53"/>
        <v>10 km</v>
      </c>
      <c r="D222" s="97" t="str">
        <f t="shared" si="53"/>
        <v>CFP</v>
      </c>
      <c r="E222" s="114">
        <f t="shared" ref="E222:F222" si="57">IF(E52=0,,E52*E137/10^6)</f>
        <v>0</v>
      </c>
      <c r="F222" s="114">
        <f t="shared" si="57"/>
        <v>0</v>
      </c>
      <c r="G222" s="114"/>
      <c r="H222" s="114"/>
      <c r="I222" s="114"/>
      <c r="J222" s="114"/>
      <c r="K222" s="114"/>
      <c r="L222" s="114"/>
      <c r="M222" s="114"/>
      <c r="N222" s="114"/>
      <c r="O222" s="114"/>
      <c r="P222" s="697"/>
    </row>
    <row r="223" spans="1:16">
      <c r="A223" s="211" t="str">
        <f>Products!F80</f>
        <v>SMF</v>
      </c>
      <c r="B223" s="95" t="str">
        <f t="shared" si="53"/>
        <v>100G LR4</v>
      </c>
      <c r="C223" s="96" t="str">
        <f t="shared" si="53"/>
        <v>10 km</v>
      </c>
      <c r="D223" s="97" t="str">
        <f t="shared" si="53"/>
        <v>CFP2/4</v>
      </c>
      <c r="E223" s="114">
        <f t="shared" ref="E223:F223" si="58">IF(E53=0,,E53*E138/10^6)</f>
        <v>0</v>
      </c>
      <c r="F223" s="114">
        <f t="shared" si="58"/>
        <v>0</v>
      </c>
      <c r="G223" s="114"/>
      <c r="H223" s="114"/>
      <c r="I223" s="114"/>
      <c r="J223" s="114"/>
      <c r="K223" s="114"/>
      <c r="L223" s="114"/>
      <c r="M223" s="114"/>
      <c r="N223" s="114"/>
      <c r="O223" s="114"/>
      <c r="P223" s="697"/>
    </row>
    <row r="224" spans="1:16">
      <c r="A224" s="211" t="str">
        <f>Products!F81</f>
        <v>SMF</v>
      </c>
      <c r="B224" s="95" t="str">
        <f t="shared" si="53"/>
        <v>100G LR4 and LR1</v>
      </c>
      <c r="C224" s="96" t="str">
        <f t="shared" si="53"/>
        <v>10 km</v>
      </c>
      <c r="D224" s="97" t="str">
        <f t="shared" si="53"/>
        <v>QSFP28</v>
      </c>
      <c r="E224" s="114">
        <f t="shared" ref="E224:F224" si="59">IF(E54=0,,E54*E139/10^6)</f>
        <v>140.2336877730904</v>
      </c>
      <c r="F224" s="114">
        <f t="shared" si="59"/>
        <v>304.37567999999999</v>
      </c>
      <c r="G224" s="114"/>
      <c r="H224" s="114"/>
      <c r="I224" s="114"/>
      <c r="J224" s="114"/>
      <c r="K224" s="114"/>
      <c r="L224" s="114"/>
      <c r="M224" s="114"/>
      <c r="N224" s="114"/>
      <c r="O224" s="114"/>
      <c r="P224" s="697"/>
    </row>
    <row r="225" spans="1:16">
      <c r="A225" s="211" t="str">
        <f>Products!F82</f>
        <v>SMF</v>
      </c>
      <c r="B225" s="95" t="str">
        <f t="shared" si="53"/>
        <v>100G 4WDM10</v>
      </c>
      <c r="C225" s="96" t="str">
        <f t="shared" si="53"/>
        <v>10 km</v>
      </c>
      <c r="D225" s="97" t="str">
        <f t="shared" si="53"/>
        <v>QSFP28</v>
      </c>
      <c r="E225" s="114">
        <f t="shared" ref="E225:F225" si="60">IF(E55=0,,E55*E140/10^6)</f>
        <v>0</v>
      </c>
      <c r="F225" s="114">
        <f t="shared" si="60"/>
        <v>20.25</v>
      </c>
      <c r="G225" s="114"/>
      <c r="H225" s="114"/>
      <c r="I225" s="114"/>
      <c r="J225" s="114"/>
      <c r="K225" s="114"/>
      <c r="L225" s="114"/>
      <c r="M225" s="114"/>
      <c r="N225" s="114"/>
      <c r="O225" s="114"/>
      <c r="P225" s="697"/>
    </row>
    <row r="226" spans="1:16" ht="12.75" customHeight="1">
      <c r="A226" s="211" t="str">
        <f>Products!F83</f>
        <v>SMF</v>
      </c>
      <c r="B226" s="95" t="str">
        <f t="shared" si="53"/>
        <v>100G 4WDM20</v>
      </c>
      <c r="C226" s="96" t="str">
        <f t="shared" si="53"/>
        <v>20 km</v>
      </c>
      <c r="D226" s="97" t="str">
        <f t="shared" si="53"/>
        <v>QSFP28</v>
      </c>
      <c r="E226" s="114">
        <f t="shared" ref="E226:F226" si="61">IF(E56=0,,E56*E141/10^6)</f>
        <v>0</v>
      </c>
      <c r="F226" s="114">
        <f t="shared" si="61"/>
        <v>0</v>
      </c>
      <c r="G226" s="114"/>
      <c r="H226" s="114"/>
      <c r="I226" s="114"/>
      <c r="J226" s="114"/>
      <c r="K226" s="114"/>
      <c r="L226" s="114"/>
      <c r="M226" s="114"/>
      <c r="N226" s="114"/>
      <c r="O226" s="114"/>
      <c r="P226" s="697"/>
    </row>
    <row r="227" spans="1:16" ht="12.75" customHeight="1">
      <c r="A227" s="211" t="str">
        <f>Products!F84</f>
        <v>SMF</v>
      </c>
      <c r="B227" s="95" t="str">
        <f t="shared" si="53"/>
        <v>100G ER4-Lite</v>
      </c>
      <c r="C227" s="96" t="str">
        <f t="shared" si="53"/>
        <v>30 km</v>
      </c>
      <c r="D227" s="97" t="str">
        <f t="shared" si="53"/>
        <v>QSFP28</v>
      </c>
      <c r="E227" s="114">
        <f t="shared" ref="E227:F227" si="62">IF(E57=0,,E57*E142/10^6)</f>
        <v>0</v>
      </c>
      <c r="F227" s="114">
        <f t="shared" si="62"/>
        <v>0</v>
      </c>
      <c r="G227" s="114"/>
      <c r="H227" s="114"/>
      <c r="I227" s="114"/>
      <c r="J227" s="114"/>
      <c r="K227" s="114"/>
      <c r="L227" s="114"/>
      <c r="M227" s="114"/>
      <c r="N227" s="114"/>
      <c r="O227" s="114"/>
      <c r="P227" s="697"/>
    </row>
    <row r="228" spans="1:16" ht="12.75" customHeight="1">
      <c r="A228" s="211" t="str">
        <f>Products!F85</f>
        <v>SMF</v>
      </c>
      <c r="B228" s="95" t="str">
        <f t="shared" si="53"/>
        <v>100G ER4</v>
      </c>
      <c r="C228" s="96" t="str">
        <f t="shared" si="53"/>
        <v>40 km</v>
      </c>
      <c r="D228" s="97" t="str">
        <f t="shared" si="53"/>
        <v>QSFP28</v>
      </c>
      <c r="E228" s="114">
        <f t="shared" ref="E228:F228" si="63">IF(E58=0,,E58*E143/10^6)</f>
        <v>0</v>
      </c>
      <c r="F228" s="114">
        <f t="shared" si="63"/>
        <v>0</v>
      </c>
      <c r="G228" s="114"/>
      <c r="H228" s="114"/>
      <c r="I228" s="114"/>
      <c r="J228" s="114"/>
      <c r="K228" s="114"/>
      <c r="L228" s="114"/>
      <c r="M228" s="114"/>
      <c r="N228" s="114"/>
      <c r="O228" s="114"/>
      <c r="P228" s="697"/>
    </row>
    <row r="229" spans="1:16">
      <c r="A229" s="211" t="str">
        <f>Products!F86</f>
        <v>SMF</v>
      </c>
      <c r="B229" s="91" t="str">
        <f t="shared" si="53"/>
        <v>100G ZR4</v>
      </c>
      <c r="C229" s="92" t="str">
        <f t="shared" si="53"/>
        <v>80 km</v>
      </c>
      <c r="D229" s="93" t="str">
        <f t="shared" si="53"/>
        <v>QSFP28</v>
      </c>
      <c r="E229" s="113">
        <f t="shared" ref="E229:F229" si="64">IF(E59=0,,E59*E144/10^6)</f>
        <v>0</v>
      </c>
      <c r="F229" s="113">
        <f t="shared" si="64"/>
        <v>0</v>
      </c>
      <c r="G229" s="113"/>
      <c r="H229" s="113"/>
      <c r="I229" s="113"/>
      <c r="J229" s="113"/>
      <c r="K229" s="113"/>
      <c r="L229" s="113"/>
      <c r="M229" s="113"/>
      <c r="N229" s="113"/>
      <c r="O229" s="113"/>
      <c r="P229" s="697"/>
    </row>
    <row r="230" spans="1:16">
      <c r="A230" s="50" t="str">
        <f>Products!F87</f>
        <v>MMF</v>
      </c>
      <c r="B230" s="87" t="str">
        <f t="shared" si="53"/>
        <v>200G SR4</v>
      </c>
      <c r="C230" s="88" t="str">
        <f t="shared" si="53"/>
        <v>100 m</v>
      </c>
      <c r="D230" s="89" t="str">
        <f t="shared" si="53"/>
        <v>QSFP56</v>
      </c>
      <c r="E230" s="112">
        <f t="shared" ref="E230:F230" si="65">IF(E60=0,,E60*E145/10^6)</f>
        <v>0</v>
      </c>
      <c r="F230" s="112">
        <f t="shared" si="65"/>
        <v>0</v>
      </c>
      <c r="G230" s="112"/>
      <c r="H230" s="112"/>
      <c r="I230" s="112"/>
      <c r="J230" s="112"/>
      <c r="K230" s="112"/>
      <c r="L230" s="112"/>
      <c r="M230" s="112"/>
      <c r="N230" s="112"/>
      <c r="O230" s="112"/>
      <c r="P230" s="697"/>
    </row>
    <row r="231" spans="1:16">
      <c r="A231" s="211" t="str">
        <f>Products!F88</f>
        <v>SMF</v>
      </c>
      <c r="B231" s="95" t="str">
        <f t="shared" si="53"/>
        <v>200G DR</v>
      </c>
      <c r="C231" s="96" t="str">
        <f t="shared" si="53"/>
        <v>500 m</v>
      </c>
      <c r="D231" s="97" t="str">
        <f t="shared" si="53"/>
        <v>TBD</v>
      </c>
      <c r="E231" s="114">
        <f t="shared" ref="E231:F232" si="66">IF(E61=0,,E61*E146/10^6)</f>
        <v>0</v>
      </c>
      <c r="F231" s="114">
        <f t="shared" si="66"/>
        <v>0</v>
      </c>
      <c r="G231" s="114"/>
      <c r="H231" s="114"/>
      <c r="I231" s="114"/>
      <c r="J231" s="114"/>
      <c r="K231" s="114"/>
      <c r="L231" s="114"/>
      <c r="M231" s="114"/>
      <c r="N231" s="114"/>
      <c r="O231" s="114"/>
      <c r="P231" s="697"/>
    </row>
    <row r="232" spans="1:16">
      <c r="A232" s="211" t="str">
        <f>Products!F89</f>
        <v>SMF</v>
      </c>
      <c r="B232" s="95" t="str">
        <f t="shared" si="53"/>
        <v>200G FR4</v>
      </c>
      <c r="C232" s="96" t="str">
        <f t="shared" si="53"/>
        <v>3 km</v>
      </c>
      <c r="D232" s="97" t="str">
        <f t="shared" si="53"/>
        <v>QSFP56</v>
      </c>
      <c r="E232" s="114">
        <f t="shared" si="66"/>
        <v>0</v>
      </c>
      <c r="F232" s="114">
        <f t="shared" si="66"/>
        <v>0</v>
      </c>
      <c r="G232" s="114"/>
      <c r="H232" s="114"/>
      <c r="I232" s="114"/>
      <c r="J232" s="114"/>
      <c r="K232" s="114"/>
      <c r="L232" s="114"/>
      <c r="M232" s="114"/>
      <c r="N232" s="114"/>
      <c r="O232" s="114"/>
      <c r="P232" s="697"/>
    </row>
    <row r="233" spans="1:16">
      <c r="A233" s="211" t="str">
        <f>Products!F90</f>
        <v>SMF</v>
      </c>
      <c r="B233" s="95" t="str">
        <f t="shared" ref="B233:D233" si="67">B63</f>
        <v>200G LR</v>
      </c>
      <c r="C233" s="96" t="str">
        <f t="shared" si="67"/>
        <v>10 km</v>
      </c>
      <c r="D233" s="97" t="str">
        <f t="shared" si="67"/>
        <v>TBD</v>
      </c>
      <c r="E233" s="114">
        <f t="shared" ref="E233:F233" si="68">IF(E63=0,,E63*E148/10^6)</f>
        <v>0</v>
      </c>
      <c r="F233" s="114">
        <f t="shared" si="68"/>
        <v>0</v>
      </c>
      <c r="G233" s="114"/>
      <c r="H233" s="114"/>
      <c r="I233" s="114"/>
      <c r="J233" s="114"/>
      <c r="K233" s="114"/>
      <c r="L233" s="114"/>
      <c r="M233" s="114"/>
      <c r="N233" s="114"/>
      <c r="O233" s="114"/>
      <c r="P233" s="697"/>
    </row>
    <row r="234" spans="1:16">
      <c r="A234" s="211" t="str">
        <f>Products!F91</f>
        <v>SMF</v>
      </c>
      <c r="B234" s="95" t="str">
        <f t="shared" ref="B234:D234" si="69">B64</f>
        <v>200G ER4</v>
      </c>
      <c r="C234" s="96" t="str">
        <f t="shared" si="69"/>
        <v>40 km</v>
      </c>
      <c r="D234" s="97" t="str">
        <f t="shared" si="69"/>
        <v>TBD</v>
      </c>
      <c r="E234" s="114">
        <f t="shared" ref="E234:F234" si="70">IF(E64=0,,E64*E149/10^6)</f>
        <v>0</v>
      </c>
      <c r="F234" s="114">
        <f t="shared" si="70"/>
        <v>0</v>
      </c>
      <c r="G234" s="114"/>
      <c r="H234" s="114"/>
      <c r="I234" s="114"/>
      <c r="J234" s="114"/>
      <c r="K234" s="114"/>
      <c r="L234" s="114"/>
      <c r="M234" s="114"/>
      <c r="N234" s="114"/>
      <c r="O234" s="114"/>
      <c r="P234" s="697"/>
    </row>
    <row r="235" spans="1:16">
      <c r="A235" s="211" t="str">
        <f>Products!F92</f>
        <v>MMF</v>
      </c>
      <c r="B235" s="87" t="str">
        <f t="shared" ref="B235:D244" si="71">B65</f>
        <v>2x200 (400G-SR8)</v>
      </c>
      <c r="C235" s="88" t="str">
        <f t="shared" si="71"/>
        <v>100 m</v>
      </c>
      <c r="D235" s="89" t="str">
        <f t="shared" si="71"/>
        <v>OSFP, QSFP-DD</v>
      </c>
      <c r="E235" s="112">
        <f t="shared" ref="E235:F235" si="72">IF(E65=0,,E65*E150/10^6)</f>
        <v>0</v>
      </c>
      <c r="F235" s="112">
        <f t="shared" si="72"/>
        <v>0</v>
      </c>
      <c r="G235" s="112"/>
      <c r="H235" s="112"/>
      <c r="I235" s="112"/>
      <c r="J235" s="112"/>
      <c r="K235" s="112"/>
      <c r="L235" s="112"/>
      <c r="M235" s="112"/>
      <c r="N235" s="112"/>
      <c r="O235" s="112"/>
      <c r="P235" s="697"/>
    </row>
    <row r="236" spans="1:16">
      <c r="A236" s="50" t="str">
        <f>Products!F93</f>
        <v>MMF</v>
      </c>
      <c r="B236" s="95" t="str">
        <f t="shared" si="71"/>
        <v>400G SR4</v>
      </c>
      <c r="C236" s="96" t="str">
        <f t="shared" si="71"/>
        <v>100 m</v>
      </c>
      <c r="D236" s="97" t="str">
        <f t="shared" si="71"/>
        <v>OSFP112, QSFP112</v>
      </c>
      <c r="E236" s="114">
        <f t="shared" ref="E236:F236" si="73">IF(E66=0,,E66*E151/10^6)</f>
        <v>0</v>
      </c>
      <c r="F236" s="114">
        <f t="shared" si="73"/>
        <v>0</v>
      </c>
      <c r="G236" s="114"/>
      <c r="H236" s="114"/>
      <c r="I236" s="114"/>
      <c r="J236" s="114"/>
      <c r="K236" s="114"/>
      <c r="L236" s="114"/>
      <c r="M236" s="114"/>
      <c r="N236" s="114"/>
      <c r="O236" s="114"/>
      <c r="P236" s="697"/>
    </row>
    <row r="237" spans="1:16">
      <c r="A237" s="211" t="str">
        <f>Products!F94</f>
        <v>SMF</v>
      </c>
      <c r="B237" s="95" t="str">
        <f t="shared" si="71"/>
        <v>400G DR4</v>
      </c>
      <c r="C237" s="96" t="str">
        <f t="shared" si="71"/>
        <v>500 m</v>
      </c>
      <c r="D237" s="97" t="str">
        <f t="shared" si="71"/>
        <v>OSFP, QSFP-DD, QSFP112</v>
      </c>
      <c r="E237" s="114">
        <f t="shared" ref="E237:F237" si="74">IF(E67=0,,E67*E152/10^6)</f>
        <v>0</v>
      </c>
      <c r="F237" s="114">
        <f t="shared" si="74"/>
        <v>0</v>
      </c>
      <c r="G237" s="114"/>
      <c r="H237" s="114"/>
      <c r="I237" s="114"/>
      <c r="J237" s="114"/>
      <c r="K237" s="114"/>
      <c r="L237" s="114"/>
      <c r="M237" s="114"/>
      <c r="N237" s="114"/>
      <c r="O237" s="114"/>
      <c r="P237" s="697"/>
    </row>
    <row r="238" spans="1:16">
      <c r="A238" s="211" t="str">
        <f>Products!F95</f>
        <v>SMF</v>
      </c>
      <c r="B238" s="95" t="str">
        <f t="shared" si="71"/>
        <v>2x(200G FR4)</v>
      </c>
      <c r="C238" s="96" t="str">
        <f t="shared" si="71"/>
        <v>2 km</v>
      </c>
      <c r="D238" s="97" t="str">
        <f t="shared" si="71"/>
        <v>OSFP</v>
      </c>
      <c r="E238" s="114">
        <f t="shared" ref="E238:F238" si="75">IF(E68=0,,E68*E153/10^6)</f>
        <v>0</v>
      </c>
      <c r="F238" s="114">
        <f t="shared" si="75"/>
        <v>0</v>
      </c>
      <c r="G238" s="114"/>
      <c r="H238" s="114"/>
      <c r="I238" s="114"/>
      <c r="J238" s="114"/>
      <c r="K238" s="114"/>
      <c r="L238" s="114"/>
      <c r="M238" s="114"/>
      <c r="N238" s="114"/>
      <c r="O238" s="114"/>
      <c r="P238" s="697"/>
    </row>
    <row r="239" spans="1:16">
      <c r="A239" s="211" t="str">
        <f>Products!F96</f>
        <v>SMF</v>
      </c>
      <c r="B239" s="95" t="str">
        <f t="shared" si="71"/>
        <v>400G FR4</v>
      </c>
      <c r="C239" s="96" t="str">
        <f t="shared" si="71"/>
        <v>2 km</v>
      </c>
      <c r="D239" s="97" t="str">
        <f t="shared" si="71"/>
        <v>OSFP, QSFP-DD, QSFP112</v>
      </c>
      <c r="E239" s="114">
        <f t="shared" ref="E239:F239" si="76">IF(E69=0,,E69*E154/10^6)</f>
        <v>0</v>
      </c>
      <c r="F239" s="114">
        <f t="shared" si="76"/>
        <v>0</v>
      </c>
      <c r="G239" s="114"/>
      <c r="H239" s="114"/>
      <c r="I239" s="114"/>
      <c r="J239" s="114"/>
      <c r="K239" s="114"/>
      <c r="L239" s="114"/>
      <c r="M239" s="114"/>
      <c r="N239" s="114"/>
      <c r="O239" s="114"/>
      <c r="P239" s="697"/>
    </row>
    <row r="240" spans="1:16">
      <c r="A240" s="211" t="str">
        <f>Products!F97</f>
        <v>SMF</v>
      </c>
      <c r="B240" s="95" t="str">
        <f t="shared" si="71"/>
        <v>400G LR8, LR4</v>
      </c>
      <c r="C240" s="96" t="str">
        <f t="shared" si="71"/>
        <v>10 km</v>
      </c>
      <c r="D240" s="97" t="str">
        <f t="shared" si="71"/>
        <v>OSFP, QSFP-DD, QSFP112</v>
      </c>
      <c r="E240" s="114">
        <f t="shared" ref="E240:F241" si="77">IF(E70=0,,E70*E155/10^6)</f>
        <v>0</v>
      </c>
      <c r="F240" s="114">
        <f t="shared" si="77"/>
        <v>0</v>
      </c>
      <c r="G240" s="114"/>
      <c r="H240" s="114"/>
      <c r="I240" s="114"/>
      <c r="J240" s="114"/>
      <c r="K240" s="114"/>
      <c r="L240" s="114"/>
      <c r="M240" s="114"/>
      <c r="N240" s="114"/>
      <c r="O240" s="114"/>
      <c r="P240" s="697"/>
    </row>
    <row r="241" spans="1:16">
      <c r="A241" s="211" t="str">
        <f>Products!F98</f>
        <v>SMF</v>
      </c>
      <c r="B241" s="91" t="str">
        <f t="shared" si="71"/>
        <v>400G ER4</v>
      </c>
      <c r="C241" s="92" t="str">
        <f t="shared" si="71"/>
        <v>40 km</v>
      </c>
      <c r="D241" s="93" t="str">
        <f t="shared" si="71"/>
        <v>TBD</v>
      </c>
      <c r="E241" s="113">
        <f t="shared" si="77"/>
        <v>0</v>
      </c>
      <c r="F241" s="113">
        <f t="shared" si="77"/>
        <v>0</v>
      </c>
      <c r="G241" s="113"/>
      <c r="H241" s="113"/>
      <c r="I241" s="113"/>
      <c r="J241" s="113"/>
      <c r="K241" s="113"/>
      <c r="L241" s="113"/>
      <c r="M241" s="113"/>
      <c r="N241" s="113"/>
      <c r="O241" s="113"/>
      <c r="P241" s="697"/>
    </row>
    <row r="242" spans="1:16" s="100" customFormat="1">
      <c r="A242" s="268" t="str">
        <f>Products!F99</f>
        <v>MMF</v>
      </c>
      <c r="B242" s="95" t="str">
        <f t="shared" si="71"/>
        <v>800G SR8</v>
      </c>
      <c r="C242" s="96" t="str">
        <f t="shared" si="71"/>
        <v>50 m</v>
      </c>
      <c r="D242" s="97" t="str">
        <f t="shared" si="71"/>
        <v>OSFP, QSFP-DD800</v>
      </c>
      <c r="E242" s="114">
        <f t="shared" ref="E242:F242" si="78">IF(E72=0,,E72*E157/10^6)</f>
        <v>0</v>
      </c>
      <c r="F242" s="114">
        <f t="shared" si="78"/>
        <v>0</v>
      </c>
      <c r="G242" s="114"/>
      <c r="H242" s="114"/>
      <c r="I242" s="114"/>
      <c r="J242" s="114"/>
      <c r="K242" s="114"/>
      <c r="L242" s="114"/>
      <c r="M242" s="114"/>
      <c r="N242" s="114"/>
      <c r="O242" s="114"/>
      <c r="P242" s="697"/>
    </row>
    <row r="243" spans="1:16" s="100" customFormat="1">
      <c r="A243" s="490" t="str">
        <f>Products!F100</f>
        <v>SMF</v>
      </c>
      <c r="B243" s="95" t="str">
        <f t="shared" si="71"/>
        <v>800G DR8, DR4</v>
      </c>
      <c r="C243" s="96" t="str">
        <f t="shared" si="71"/>
        <v>500 m</v>
      </c>
      <c r="D243" s="97" t="str">
        <f t="shared" si="71"/>
        <v>OSFP, QSFP-DD800</v>
      </c>
      <c r="E243" s="114">
        <f t="shared" ref="E243:F243" si="79">IF(E73=0,,E73*E158/10^6)</f>
        <v>0</v>
      </c>
      <c r="F243" s="114">
        <f t="shared" si="79"/>
        <v>0</v>
      </c>
      <c r="G243" s="114"/>
      <c r="H243" s="114"/>
      <c r="I243" s="114"/>
      <c r="J243" s="114"/>
      <c r="K243" s="114"/>
      <c r="L243" s="114"/>
      <c r="M243" s="114"/>
      <c r="N243" s="114"/>
      <c r="O243" s="114"/>
      <c r="P243" s="697"/>
    </row>
    <row r="244" spans="1:16" s="100" customFormat="1">
      <c r="A244" s="490" t="str">
        <f>Products!F101</f>
        <v>SMF</v>
      </c>
      <c r="B244" s="95" t="str">
        <f t="shared" si="71"/>
        <v>2x(400G FR4), 800G FR4</v>
      </c>
      <c r="C244" s="96" t="str">
        <f t="shared" si="71"/>
        <v>2 km</v>
      </c>
      <c r="D244" s="97" t="str">
        <f t="shared" si="71"/>
        <v>OSFP, QSFP-DD800</v>
      </c>
      <c r="E244" s="114">
        <f t="shared" ref="E244:F244" si="80">IF(E74=0,,E74*E159/10^6)</f>
        <v>0</v>
      </c>
      <c r="F244" s="114">
        <f t="shared" si="80"/>
        <v>0</v>
      </c>
      <c r="G244" s="114"/>
      <c r="H244" s="114"/>
      <c r="I244" s="114"/>
      <c r="J244" s="114"/>
      <c r="K244" s="114"/>
      <c r="L244" s="114"/>
      <c r="M244" s="114"/>
      <c r="N244" s="114"/>
      <c r="O244" s="114"/>
      <c r="P244" s="697"/>
    </row>
    <row r="245" spans="1:16" s="100" customFormat="1">
      <c r="A245" s="490" t="str">
        <f>Products!F102</f>
        <v>SMF</v>
      </c>
      <c r="B245" s="95" t="str">
        <f t="shared" ref="B245:D257" si="81">B75</f>
        <v>800G LR8, LR4</v>
      </c>
      <c r="C245" s="96" t="str">
        <f t="shared" si="81"/>
        <v>6, 10 km</v>
      </c>
      <c r="D245" s="97" t="str">
        <f t="shared" si="81"/>
        <v>TBD</v>
      </c>
      <c r="E245" s="114">
        <f t="shared" ref="E245:F245" si="82">IF(E75=0,,E75*E160/10^6)</f>
        <v>0</v>
      </c>
      <c r="F245" s="114">
        <f t="shared" si="82"/>
        <v>0</v>
      </c>
      <c r="G245" s="114"/>
      <c r="H245" s="114"/>
      <c r="I245" s="114"/>
      <c r="J245" s="114"/>
      <c r="K245" s="114"/>
      <c r="L245" s="114"/>
      <c r="M245" s="114"/>
      <c r="N245" s="114"/>
      <c r="O245" s="114"/>
      <c r="P245" s="697"/>
    </row>
    <row r="246" spans="1:16" s="100" customFormat="1">
      <c r="A246" s="490" t="str">
        <f>Products!F103</f>
        <v>SMF</v>
      </c>
      <c r="B246" s="95" t="str">
        <f t="shared" si="81"/>
        <v>800G ZRlite</v>
      </c>
      <c r="C246" s="96" t="str">
        <f t="shared" si="81"/>
        <v>10 km, 20 km</v>
      </c>
      <c r="D246" s="97" t="str">
        <f t="shared" si="81"/>
        <v>TBD</v>
      </c>
      <c r="E246" s="114">
        <f t="shared" ref="E246:F246" si="83">IF(E76=0,,E76*E161/10^6)</f>
        <v>0</v>
      </c>
      <c r="F246" s="114">
        <f t="shared" si="83"/>
        <v>0</v>
      </c>
      <c r="G246" s="114"/>
      <c r="H246" s="114"/>
      <c r="I246" s="114"/>
      <c r="J246" s="114"/>
      <c r="K246" s="114"/>
      <c r="L246" s="114"/>
      <c r="M246" s="114"/>
      <c r="N246" s="114"/>
      <c r="O246" s="114"/>
      <c r="P246" s="697"/>
    </row>
    <row r="247" spans="1:16" s="100" customFormat="1">
      <c r="A247" s="490" t="str">
        <f>Products!F104</f>
        <v>SMF</v>
      </c>
      <c r="B247" s="91" t="str">
        <f t="shared" si="81"/>
        <v>800G ER4</v>
      </c>
      <c r="C247" s="92" t="str">
        <f t="shared" si="81"/>
        <v>40 km</v>
      </c>
      <c r="D247" s="93" t="str">
        <f t="shared" si="81"/>
        <v>TBD</v>
      </c>
      <c r="E247" s="113">
        <f t="shared" ref="E247:F247" si="84">IF(E77=0,,E77*E162/10^6)</f>
        <v>0</v>
      </c>
      <c r="F247" s="113">
        <f t="shared" si="84"/>
        <v>0</v>
      </c>
      <c r="G247" s="113"/>
      <c r="H247" s="113"/>
      <c r="I247" s="113"/>
      <c r="J247" s="113"/>
      <c r="K247" s="113"/>
      <c r="L247" s="113"/>
      <c r="M247" s="113"/>
      <c r="N247" s="113"/>
      <c r="O247" s="113"/>
      <c r="P247" s="697"/>
    </row>
    <row r="248" spans="1:16" s="100" customFormat="1">
      <c r="A248" s="268" t="str">
        <f>Products!F105</f>
        <v>MMF</v>
      </c>
      <c r="B248" s="95" t="str">
        <f t="shared" si="81"/>
        <v>1.6T SR16</v>
      </c>
      <c r="C248" s="96" t="str">
        <f t="shared" si="81"/>
        <v>100 m</v>
      </c>
      <c r="D248" s="97" t="str">
        <f t="shared" si="81"/>
        <v>OSFP-XD and TBD</v>
      </c>
      <c r="E248" s="114">
        <f t="shared" ref="E248:F248" si="85">IF(E78=0,,E78*E163/10^6)</f>
        <v>0</v>
      </c>
      <c r="F248" s="114">
        <f t="shared" si="85"/>
        <v>0</v>
      </c>
      <c r="G248" s="114"/>
      <c r="H248" s="114"/>
      <c r="I248" s="114"/>
      <c r="J248" s="114"/>
      <c r="K248" s="114"/>
      <c r="L248" s="114"/>
      <c r="M248" s="114"/>
      <c r="N248" s="114"/>
      <c r="O248" s="114"/>
      <c r="P248" s="697"/>
    </row>
    <row r="249" spans="1:16" s="100" customFormat="1">
      <c r="A249" s="490" t="str">
        <f>Products!F106</f>
        <v>SMF</v>
      </c>
      <c r="B249" s="95" t="str">
        <f t="shared" si="81"/>
        <v>1.6T DR8</v>
      </c>
      <c r="C249" s="96" t="str">
        <f t="shared" si="81"/>
        <v>500 m</v>
      </c>
      <c r="D249" s="97" t="str">
        <f t="shared" si="81"/>
        <v>OSFP-XD and TBD</v>
      </c>
      <c r="E249" s="114">
        <f t="shared" ref="E249:F249" si="86">IF(E79=0,,E79*E164/10^6)</f>
        <v>0</v>
      </c>
      <c r="F249" s="114">
        <f t="shared" si="86"/>
        <v>0</v>
      </c>
      <c r="G249" s="114"/>
      <c r="H249" s="114"/>
      <c r="I249" s="114"/>
      <c r="J249" s="114"/>
      <c r="K249" s="114"/>
      <c r="L249" s="114"/>
      <c r="M249" s="114"/>
      <c r="N249" s="114"/>
      <c r="O249" s="114"/>
      <c r="P249" s="697"/>
    </row>
    <row r="250" spans="1:16" s="100" customFormat="1">
      <c r="A250" s="490" t="str">
        <f>Products!F107</f>
        <v>SMF</v>
      </c>
      <c r="B250" s="95" t="str">
        <f t="shared" si="81"/>
        <v>1.6T FR8</v>
      </c>
      <c r="C250" s="96" t="str">
        <f t="shared" si="81"/>
        <v>2 km</v>
      </c>
      <c r="D250" s="97" t="str">
        <f t="shared" si="81"/>
        <v>OSFP-XD and TBD</v>
      </c>
      <c r="E250" s="114">
        <f t="shared" ref="E250:F250" si="87">IF(E80=0,,E80*E165/10^6)</f>
        <v>0</v>
      </c>
      <c r="F250" s="114">
        <f t="shared" si="87"/>
        <v>0</v>
      </c>
      <c r="G250" s="114"/>
      <c r="H250" s="114"/>
      <c r="I250" s="114"/>
      <c r="J250" s="114"/>
      <c r="K250" s="114"/>
      <c r="L250" s="114"/>
      <c r="M250" s="114"/>
      <c r="N250" s="114"/>
      <c r="O250" s="114"/>
      <c r="P250" s="697"/>
    </row>
    <row r="251" spans="1:16" s="100" customFormat="1">
      <c r="A251" s="490" t="str">
        <f>Products!F108</f>
        <v>SMF</v>
      </c>
      <c r="B251" s="95" t="str">
        <f t="shared" si="81"/>
        <v>1.6T LR8</v>
      </c>
      <c r="C251" s="96" t="str">
        <f t="shared" si="81"/>
        <v>10 km</v>
      </c>
      <c r="D251" s="97" t="str">
        <f t="shared" si="81"/>
        <v>OSFP-XD and TBD</v>
      </c>
      <c r="E251" s="114">
        <f t="shared" ref="E251:F251" si="88">IF(E81=0,,E81*E166/10^6)</f>
        <v>0</v>
      </c>
      <c r="F251" s="114">
        <f t="shared" si="88"/>
        <v>0</v>
      </c>
      <c r="G251" s="114"/>
      <c r="H251" s="114"/>
      <c r="I251" s="114"/>
      <c r="J251" s="114"/>
      <c r="K251" s="114"/>
      <c r="L251" s="114"/>
      <c r="M251" s="114"/>
      <c r="N251" s="114"/>
      <c r="O251" s="114"/>
      <c r="P251" s="697"/>
    </row>
    <row r="252" spans="1:16" s="100" customFormat="1">
      <c r="A252" s="490" t="str">
        <f>Products!F109</f>
        <v>SMF</v>
      </c>
      <c r="B252" s="91" t="str">
        <f t="shared" si="81"/>
        <v>1.6T ER8</v>
      </c>
      <c r="C252" s="92" t="str">
        <f t="shared" si="81"/>
        <v>&gt;10 km</v>
      </c>
      <c r="D252" s="93" t="str">
        <f t="shared" si="81"/>
        <v>OSFP-XD and TBD</v>
      </c>
      <c r="E252" s="113">
        <f t="shared" ref="E252:F252" si="89">IF(E82=0,,E82*E167/10^6)</f>
        <v>0</v>
      </c>
      <c r="F252" s="113">
        <f t="shared" si="89"/>
        <v>0</v>
      </c>
      <c r="G252" s="113"/>
      <c r="H252" s="113"/>
      <c r="I252" s="113"/>
      <c r="J252" s="113"/>
      <c r="K252" s="113"/>
      <c r="L252" s="113"/>
      <c r="M252" s="113"/>
      <c r="N252" s="113"/>
      <c r="O252" s="113"/>
      <c r="P252" s="697"/>
    </row>
    <row r="253" spans="1:16" s="100" customFormat="1">
      <c r="A253" s="490" t="str">
        <f>Products!F110</f>
        <v>MMF</v>
      </c>
      <c r="B253" s="95" t="str">
        <f t="shared" si="81"/>
        <v>3.2T SR</v>
      </c>
      <c r="C253" s="96" t="str">
        <f t="shared" si="81"/>
        <v>100 m</v>
      </c>
      <c r="D253" s="97" t="str">
        <f t="shared" si="81"/>
        <v>OSFP-XD and TBD</v>
      </c>
      <c r="E253" s="114">
        <f t="shared" ref="E253:F253" si="90">IF(E83=0,,E83*E168/10^6)</f>
        <v>0</v>
      </c>
      <c r="F253" s="114">
        <f t="shared" si="90"/>
        <v>0</v>
      </c>
      <c r="G253" s="114"/>
      <c r="H253" s="114"/>
      <c r="I253" s="114"/>
      <c r="J253" s="114"/>
      <c r="K253" s="114"/>
      <c r="L253" s="114"/>
      <c r="M253" s="114"/>
      <c r="N253" s="114"/>
      <c r="O253" s="114"/>
      <c r="P253" s="697"/>
    </row>
    <row r="254" spans="1:16" s="100" customFormat="1">
      <c r="A254" s="490" t="str">
        <f>Products!F111</f>
        <v>SMF</v>
      </c>
      <c r="B254" s="95" t="str">
        <f t="shared" si="81"/>
        <v>3.2T DR</v>
      </c>
      <c r="C254" s="96" t="str">
        <f t="shared" si="81"/>
        <v>500 m</v>
      </c>
      <c r="D254" s="97" t="str">
        <f t="shared" si="81"/>
        <v>OSFP-XD and TBD</v>
      </c>
      <c r="E254" s="114">
        <f t="shared" ref="E254:F254" si="91">IF(E84=0,,E84*E169/10^6)</f>
        <v>0</v>
      </c>
      <c r="F254" s="114">
        <f t="shared" si="91"/>
        <v>0</v>
      </c>
      <c r="G254" s="114"/>
      <c r="H254" s="114"/>
      <c r="I254" s="114"/>
      <c r="J254" s="114"/>
      <c r="K254" s="114"/>
      <c r="L254" s="114"/>
      <c r="M254" s="114"/>
      <c r="N254" s="114"/>
      <c r="O254" s="114"/>
      <c r="P254" s="697"/>
    </row>
    <row r="255" spans="1:16" s="100" customFormat="1">
      <c r="A255" s="490" t="str">
        <f>Products!F112</f>
        <v>SMF</v>
      </c>
      <c r="B255" s="95" t="str">
        <f t="shared" si="81"/>
        <v>3.2T FR</v>
      </c>
      <c r="C255" s="96" t="str">
        <f t="shared" si="81"/>
        <v>2 km</v>
      </c>
      <c r="D255" s="97" t="str">
        <f t="shared" si="81"/>
        <v>OSFP-XD and TBD</v>
      </c>
      <c r="E255" s="114">
        <f t="shared" ref="E255:F255" si="92">IF(E85=0,,E85*E170/10^6)</f>
        <v>0</v>
      </c>
      <c r="F255" s="114">
        <f t="shared" si="92"/>
        <v>0</v>
      </c>
      <c r="G255" s="114"/>
      <c r="H255" s="114"/>
      <c r="I255" s="114"/>
      <c r="J255" s="114"/>
      <c r="K255" s="114"/>
      <c r="L255" s="114"/>
      <c r="M255" s="114"/>
      <c r="N255" s="114"/>
      <c r="O255" s="114"/>
      <c r="P255" s="697"/>
    </row>
    <row r="256" spans="1:16" s="100" customFormat="1">
      <c r="A256" s="490" t="str">
        <f>Products!F113</f>
        <v>SMF</v>
      </c>
      <c r="B256" s="95" t="str">
        <f t="shared" si="81"/>
        <v>3.2T LR</v>
      </c>
      <c r="C256" s="96" t="str">
        <f t="shared" si="81"/>
        <v>10 km</v>
      </c>
      <c r="D256" s="97" t="str">
        <f t="shared" si="81"/>
        <v>OSFP-XD and TBD</v>
      </c>
      <c r="E256" s="114">
        <f t="shared" ref="E256:F256" si="93">IF(E86=0,,E86*E171/10^6)</f>
        <v>0</v>
      </c>
      <c r="F256" s="114">
        <f t="shared" si="93"/>
        <v>0</v>
      </c>
      <c r="G256" s="114"/>
      <c r="H256" s="114"/>
      <c r="I256" s="114"/>
      <c r="J256" s="114"/>
      <c r="K256" s="114"/>
      <c r="L256" s="114"/>
      <c r="M256" s="114"/>
      <c r="N256" s="114"/>
      <c r="O256" s="114"/>
      <c r="P256" s="697"/>
    </row>
    <row r="257" spans="1:16" s="100" customFormat="1">
      <c r="A257" s="490" t="str">
        <f>Products!F114</f>
        <v>SMF</v>
      </c>
      <c r="B257" s="95" t="str">
        <f t="shared" si="81"/>
        <v>3.2T ER</v>
      </c>
      <c r="C257" s="96" t="str">
        <f t="shared" si="81"/>
        <v>&gt;10 km</v>
      </c>
      <c r="D257" s="97" t="str">
        <f t="shared" si="81"/>
        <v>OSFP-XD and TBD</v>
      </c>
      <c r="E257" s="114">
        <f t="shared" ref="E257:F257" si="94">IF(E87=0,,E87*E172/10^6)</f>
        <v>0</v>
      </c>
      <c r="F257" s="114">
        <f t="shared" si="94"/>
        <v>0</v>
      </c>
      <c r="G257" s="114"/>
      <c r="H257" s="114"/>
      <c r="I257" s="114"/>
      <c r="J257" s="114"/>
      <c r="K257" s="114"/>
      <c r="L257" s="114"/>
      <c r="M257" s="114"/>
      <c r="N257" s="114"/>
      <c r="O257" s="114"/>
      <c r="P257" s="697"/>
    </row>
    <row r="258" spans="1:16" s="100" customFormat="1">
      <c r="A258" s="490"/>
      <c r="B258" s="95"/>
      <c r="C258" s="96"/>
      <c r="D258" s="97"/>
      <c r="E258" s="114"/>
      <c r="F258" s="114"/>
      <c r="G258" s="114"/>
      <c r="H258" s="114"/>
      <c r="I258" s="114"/>
      <c r="J258" s="114"/>
      <c r="K258" s="114"/>
      <c r="L258" s="114"/>
      <c r="M258" s="114"/>
      <c r="N258" s="114"/>
      <c r="O258" s="114"/>
      <c r="P258" s="697"/>
    </row>
    <row r="259" spans="1:16">
      <c r="B259" s="51" t="s">
        <v>20</v>
      </c>
      <c r="C259" s="52"/>
      <c r="D259" s="53"/>
      <c r="E259" s="106">
        <f t="shared" ref="E259:F259" si="95">SUM(E179:E258)</f>
        <v>1117.8845272480094</v>
      </c>
      <c r="F259" s="106">
        <f t="shared" si="95"/>
        <v>1907.8960712813273</v>
      </c>
      <c r="G259" s="106"/>
      <c r="H259" s="106"/>
      <c r="I259" s="106"/>
      <c r="J259" s="106"/>
      <c r="K259" s="106"/>
      <c r="L259" s="106"/>
      <c r="M259" s="106"/>
      <c r="N259" s="106"/>
      <c r="O259" s="106"/>
      <c r="P259" s="697"/>
    </row>
  </sheetData>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O341"/>
  <sheetViews>
    <sheetView showGridLines="0" zoomScale="70" zoomScaleNormal="70" zoomScalePageLayoutView="80" workbookViewId="0"/>
  </sheetViews>
  <sheetFormatPr defaultColWidth="8.77734375" defaultRowHeight="13.8" outlineLevelRow="1"/>
  <cols>
    <col min="1" max="1" width="4.44140625" style="133" customWidth="1"/>
    <col min="2" max="2" width="25.44140625" style="133" customWidth="1"/>
    <col min="3" max="3" width="13.44140625" style="133" customWidth="1"/>
    <col min="4" max="7" width="14.44140625" style="133" customWidth="1"/>
    <col min="8" max="9" width="14.44140625" style="133" bestFit="1" customWidth="1"/>
    <col min="10" max="13" width="14.44140625" style="133" customWidth="1"/>
    <col min="14" max="14" width="13.77734375" style="133" customWidth="1"/>
    <col min="15" max="15" width="10" style="133" customWidth="1"/>
    <col min="16" max="16384" width="8.77734375" style="133"/>
  </cols>
  <sheetData>
    <row r="2" spans="1:7" ht="18">
      <c r="A2" s="62"/>
      <c r="B2" s="6" t="str">
        <f>Introduction!$B$2</f>
        <v>LightCounting Ethernet Transceivers Forecast</v>
      </c>
    </row>
    <row r="3" spans="1:7" ht="18">
      <c r="B3" s="353" t="str">
        <f>Introduction!B3</f>
        <v>September 2021 - Sample template for illustrative purposes only</v>
      </c>
    </row>
    <row r="4" spans="1:7" ht="18">
      <c r="A4" s="62"/>
      <c r="B4" s="6" t="s">
        <v>111</v>
      </c>
      <c r="C4" s="132"/>
      <c r="D4" s="132"/>
      <c r="E4" s="132"/>
      <c r="F4" s="132"/>
      <c r="G4" s="132"/>
    </row>
    <row r="5" spans="1:7" ht="21">
      <c r="A5" s="137"/>
      <c r="B5" s="199"/>
      <c r="C5" s="132"/>
      <c r="D5" s="132"/>
    </row>
    <row r="7" spans="1:7" ht="21">
      <c r="B7" s="17" t="s">
        <v>142</v>
      </c>
    </row>
    <row r="9" spans="1:7">
      <c r="A9" s="50"/>
      <c r="B9" s="50"/>
      <c r="C9" s="50"/>
      <c r="D9" s="50"/>
      <c r="E9" s="50"/>
      <c r="F9" s="50"/>
      <c r="G9" s="50"/>
    </row>
    <row r="10" spans="1:7">
      <c r="A10" s="50"/>
      <c r="B10" s="50"/>
      <c r="C10" s="50"/>
      <c r="D10" s="50"/>
      <c r="E10" s="50"/>
      <c r="F10" s="50"/>
      <c r="G10" s="50"/>
    </row>
    <row r="11" spans="1:7">
      <c r="A11" s="50"/>
      <c r="B11" s="50"/>
      <c r="C11" s="50"/>
      <c r="D11" s="50"/>
      <c r="E11" s="50"/>
      <c r="F11" s="50"/>
      <c r="G11" s="50"/>
    </row>
    <row r="12" spans="1:7">
      <c r="A12" s="50"/>
      <c r="B12" s="50"/>
      <c r="C12" s="50"/>
      <c r="D12" s="50"/>
      <c r="E12" s="50"/>
      <c r="F12" s="50"/>
      <c r="G12" s="50"/>
    </row>
    <row r="13" spans="1:7">
      <c r="A13" s="50"/>
      <c r="B13" s="50"/>
      <c r="C13" s="50"/>
      <c r="D13" s="50"/>
      <c r="E13" s="50"/>
      <c r="F13" s="50"/>
      <c r="G13" s="50"/>
    </row>
    <row r="14" spans="1:7">
      <c r="A14" s="50"/>
      <c r="B14" s="50"/>
      <c r="C14" s="50"/>
      <c r="D14" s="50"/>
      <c r="E14" s="50"/>
      <c r="F14" s="50"/>
      <c r="G14" s="50"/>
    </row>
    <row r="15" spans="1:7">
      <c r="A15" s="50"/>
      <c r="B15" s="50"/>
      <c r="C15" s="50"/>
      <c r="D15" s="50"/>
      <c r="E15" s="50"/>
      <c r="F15" s="50"/>
      <c r="G15" s="50"/>
    </row>
    <row r="16" spans="1:7">
      <c r="A16" s="50"/>
      <c r="B16" s="50"/>
      <c r="C16" s="50"/>
      <c r="D16" s="50"/>
      <c r="E16" s="50"/>
      <c r="F16" s="50"/>
      <c r="G16" s="50"/>
    </row>
    <row r="17" spans="1:14">
      <c r="A17" s="50"/>
      <c r="B17" s="50"/>
      <c r="C17" s="50"/>
      <c r="D17" s="50"/>
      <c r="E17" s="50"/>
      <c r="F17" s="50"/>
      <c r="G17" s="50"/>
    </row>
    <row r="18" spans="1:14">
      <c r="A18" s="50"/>
      <c r="B18" s="50"/>
      <c r="C18" s="50"/>
      <c r="D18" s="50"/>
      <c r="E18" s="50"/>
      <c r="F18" s="50"/>
      <c r="G18" s="50"/>
    </row>
    <row r="19" spans="1:14">
      <c r="A19" s="50"/>
      <c r="B19" s="50"/>
      <c r="C19" s="50"/>
      <c r="D19" s="50"/>
      <c r="E19" s="50"/>
      <c r="F19" s="50"/>
      <c r="G19" s="50"/>
    </row>
    <row r="20" spans="1:14">
      <c r="A20" s="50"/>
      <c r="B20" s="50"/>
      <c r="C20" s="50"/>
      <c r="D20" s="50"/>
      <c r="E20" s="50"/>
      <c r="F20" s="50"/>
      <c r="G20" s="50"/>
    </row>
    <row r="21" spans="1:14">
      <c r="A21" s="50"/>
      <c r="B21" s="50"/>
      <c r="C21" s="50"/>
      <c r="D21" s="50"/>
      <c r="E21" s="50"/>
      <c r="F21" s="50"/>
      <c r="G21" s="50"/>
    </row>
    <row r="22" spans="1:14">
      <c r="A22" s="50"/>
      <c r="B22" s="50"/>
      <c r="C22" s="50"/>
      <c r="D22" s="50"/>
      <c r="E22" s="50"/>
      <c r="F22" s="50"/>
      <c r="G22" s="50"/>
    </row>
    <row r="23" spans="1:14">
      <c r="A23" s="50"/>
      <c r="B23" s="50"/>
      <c r="C23" s="50"/>
      <c r="D23" s="50"/>
      <c r="E23" s="50"/>
      <c r="F23" s="50"/>
      <c r="G23" s="50"/>
    </row>
    <row r="24" spans="1:14">
      <c r="A24" s="50"/>
      <c r="B24" s="50"/>
      <c r="C24" s="50"/>
      <c r="D24" s="50"/>
      <c r="E24" s="50"/>
      <c r="F24" s="50"/>
      <c r="G24" s="50"/>
    </row>
    <row r="25" spans="1:14">
      <c r="A25" s="50"/>
      <c r="B25" s="50"/>
      <c r="C25" s="50"/>
      <c r="D25" s="50"/>
      <c r="E25" s="50"/>
      <c r="F25" s="50"/>
      <c r="G25" s="50"/>
    </row>
    <row r="26" spans="1:14">
      <c r="A26" s="50"/>
      <c r="B26" s="50"/>
      <c r="C26" s="50"/>
      <c r="D26" s="50"/>
      <c r="E26" s="50"/>
      <c r="F26" s="50"/>
      <c r="G26" s="50"/>
    </row>
    <row r="27" spans="1:14">
      <c r="A27" s="50"/>
      <c r="B27" s="50"/>
      <c r="C27" s="50"/>
      <c r="D27" s="50"/>
      <c r="E27" s="50"/>
      <c r="F27" s="50"/>
      <c r="G27" s="50"/>
    </row>
    <row r="28" spans="1:14">
      <c r="A28" s="50"/>
      <c r="B28" s="50"/>
      <c r="C28" s="50"/>
      <c r="D28" s="50"/>
      <c r="E28" s="50"/>
      <c r="F28" s="50"/>
      <c r="G28" s="50"/>
    </row>
    <row r="29" spans="1:14">
      <c r="A29" s="50"/>
      <c r="C29" s="50"/>
      <c r="D29" s="50"/>
      <c r="E29" s="50"/>
      <c r="F29" s="50"/>
      <c r="G29" s="50"/>
    </row>
    <row r="30" spans="1:14" ht="21">
      <c r="A30" s="50"/>
      <c r="B30" s="17" t="s">
        <v>100</v>
      </c>
      <c r="C30" s="50"/>
      <c r="D30" s="50"/>
      <c r="E30" s="50"/>
      <c r="F30" s="50"/>
      <c r="G30" s="50"/>
    </row>
    <row r="31" spans="1:14">
      <c r="C31" s="200">
        <v>2016</v>
      </c>
      <c r="D31" s="143">
        <v>2017</v>
      </c>
      <c r="E31" s="143">
        <v>2018</v>
      </c>
      <c r="F31" s="143">
        <v>2019</v>
      </c>
      <c r="G31" s="143">
        <v>2020</v>
      </c>
      <c r="H31" s="143">
        <v>2021</v>
      </c>
      <c r="I31" s="143">
        <v>2022</v>
      </c>
      <c r="J31" s="143">
        <v>2023</v>
      </c>
      <c r="K31" s="143">
        <v>2024</v>
      </c>
      <c r="L31" s="143">
        <v>2025</v>
      </c>
      <c r="M31" s="143">
        <v>2026</v>
      </c>
      <c r="N31" s="327" t="s">
        <v>390</v>
      </c>
    </row>
    <row r="32" spans="1:14">
      <c r="B32" s="197" t="s">
        <v>92</v>
      </c>
      <c r="C32" s="140">
        <f>Telecom!E89</f>
        <v>4496664.3535132017</v>
      </c>
      <c r="D32" s="141">
        <f>Telecom!F89</f>
        <v>3902185.0984692555</v>
      </c>
      <c r="E32" s="141">
        <f>Telecom!G89</f>
        <v>0</v>
      </c>
      <c r="F32" s="141">
        <f>Telecom!H89</f>
        <v>0</v>
      </c>
      <c r="G32" s="141">
        <f>Telecom!I89</f>
        <v>0</v>
      </c>
      <c r="H32" s="141">
        <f>Telecom!J89</f>
        <v>0</v>
      </c>
      <c r="I32" s="141">
        <f>Telecom!K89</f>
        <v>0</v>
      </c>
      <c r="J32" s="141">
        <f>Telecom!L89</f>
        <v>0</v>
      </c>
      <c r="K32" s="141">
        <f>Telecom!M89</f>
        <v>0</v>
      </c>
      <c r="L32" s="141">
        <f>Telecom!N89</f>
        <v>0</v>
      </c>
      <c r="M32" s="141">
        <f>Telecom!O89</f>
        <v>0</v>
      </c>
      <c r="N32" s="132">
        <f>SUM(H32:M32)</f>
        <v>0</v>
      </c>
    </row>
    <row r="33" spans="1:15">
      <c r="B33" s="280" t="s">
        <v>134</v>
      </c>
      <c r="C33" s="138">
        <f>Cloud!E89</f>
        <v>10649308.537719864</v>
      </c>
      <c r="D33" s="139">
        <f>Cloud!F89</f>
        <v>13336049.134659462</v>
      </c>
      <c r="E33" s="139">
        <f>Cloud!G89</f>
        <v>0</v>
      </c>
      <c r="F33" s="139">
        <f>Cloud!H89</f>
        <v>0</v>
      </c>
      <c r="G33" s="139">
        <f>Cloud!I89</f>
        <v>0</v>
      </c>
      <c r="H33" s="139">
        <f>Cloud!J89</f>
        <v>0</v>
      </c>
      <c r="I33" s="139">
        <f>Cloud!K89</f>
        <v>0</v>
      </c>
      <c r="J33" s="139">
        <f>Cloud!L89</f>
        <v>0</v>
      </c>
      <c r="K33" s="139">
        <f>Cloud!M89</f>
        <v>0</v>
      </c>
      <c r="L33" s="139">
        <f>Cloud!N89</f>
        <v>0</v>
      </c>
      <c r="M33" s="139">
        <f>Cloud!O89</f>
        <v>0</v>
      </c>
      <c r="N33" s="132">
        <f>SUM(H33:M33)</f>
        <v>0</v>
      </c>
    </row>
    <row r="34" spans="1:15" ht="13.5" customHeight="1">
      <c r="B34" s="280" t="s">
        <v>107</v>
      </c>
      <c r="C34" s="138">
        <f>Enterprise!E89</f>
        <v>21287441.14376694</v>
      </c>
      <c r="D34" s="139">
        <f>Enterprise!F89</f>
        <v>20863877.916871279</v>
      </c>
      <c r="E34" s="139">
        <f>Enterprise!G89</f>
        <v>0</v>
      </c>
      <c r="F34" s="139">
        <f>Enterprise!H89</f>
        <v>0</v>
      </c>
      <c r="G34" s="139">
        <f>Enterprise!I89</f>
        <v>0</v>
      </c>
      <c r="H34" s="139">
        <f>Enterprise!J89</f>
        <v>0</v>
      </c>
      <c r="I34" s="139">
        <f>Enterprise!K89</f>
        <v>0</v>
      </c>
      <c r="J34" s="139">
        <f>Enterprise!L89</f>
        <v>0</v>
      </c>
      <c r="K34" s="139">
        <f>Enterprise!M89</f>
        <v>0</v>
      </c>
      <c r="L34" s="139">
        <f>Enterprise!N89</f>
        <v>0</v>
      </c>
      <c r="M34" s="139">
        <f>Enterprise!O89</f>
        <v>0</v>
      </c>
      <c r="N34" s="132">
        <f>SUM(H34:M34)</f>
        <v>0</v>
      </c>
    </row>
    <row r="35" spans="1:15">
      <c r="B35" s="144" t="s">
        <v>13</v>
      </c>
      <c r="C35" s="157">
        <f t="shared" ref="C35:L35" si="0">SUM(C32:C34)</f>
        <v>36433414.035000004</v>
      </c>
      <c r="D35" s="158">
        <f t="shared" si="0"/>
        <v>38102112.149999999</v>
      </c>
      <c r="E35" s="158">
        <f t="shared" si="0"/>
        <v>0</v>
      </c>
      <c r="F35" s="158">
        <f t="shared" si="0"/>
        <v>0</v>
      </c>
      <c r="G35" s="158">
        <f t="shared" si="0"/>
        <v>0</v>
      </c>
      <c r="H35" s="158">
        <f t="shared" si="0"/>
        <v>0</v>
      </c>
      <c r="I35" s="158">
        <f t="shared" si="0"/>
        <v>0</v>
      </c>
      <c r="J35" s="158">
        <f t="shared" si="0"/>
        <v>0</v>
      </c>
      <c r="K35" s="158">
        <f t="shared" si="0"/>
        <v>0</v>
      </c>
      <c r="L35" s="158">
        <f t="shared" si="0"/>
        <v>0</v>
      </c>
      <c r="M35" s="158">
        <f t="shared" ref="M35" si="1">SUM(M32:M34)</f>
        <v>0</v>
      </c>
    </row>
    <row r="36" spans="1:15">
      <c r="B36" s="177" t="s">
        <v>86</v>
      </c>
      <c r="C36" s="178"/>
      <c r="D36" s="178">
        <f t="shared" ref="D36:L36" si="2">D35/C35-1</f>
        <v>4.5801310670390283E-2</v>
      </c>
      <c r="E36" s="178">
        <f t="shared" si="2"/>
        <v>-1</v>
      </c>
      <c r="F36" s="178" t="e">
        <f t="shared" si="2"/>
        <v>#DIV/0!</v>
      </c>
      <c r="G36" s="178" t="e">
        <f t="shared" si="2"/>
        <v>#DIV/0!</v>
      </c>
      <c r="H36" s="178" t="e">
        <f t="shared" si="2"/>
        <v>#DIV/0!</v>
      </c>
      <c r="I36" s="178" t="e">
        <f t="shared" si="2"/>
        <v>#DIV/0!</v>
      </c>
      <c r="J36" s="178" t="e">
        <f t="shared" si="2"/>
        <v>#DIV/0!</v>
      </c>
      <c r="K36" s="178" t="e">
        <f t="shared" si="2"/>
        <v>#DIV/0!</v>
      </c>
      <c r="L36" s="178" t="e">
        <f t="shared" si="2"/>
        <v>#DIV/0!</v>
      </c>
      <c r="M36" s="178" t="e">
        <f t="shared" ref="M36" si="3">M35/L35-1</f>
        <v>#DIV/0!</v>
      </c>
      <c r="N36" s="68"/>
    </row>
    <row r="37" spans="1:15" ht="14.4">
      <c r="B37" s="16"/>
      <c r="C37" s="68"/>
      <c r="D37" s="68"/>
      <c r="E37" s="68"/>
      <c r="F37" s="68"/>
      <c r="G37" s="68"/>
      <c r="H37" s="68"/>
      <c r="I37" s="68"/>
      <c r="J37" s="68"/>
      <c r="K37" s="68"/>
      <c r="L37" s="68"/>
      <c r="M37" s="68"/>
      <c r="N37" s="68"/>
    </row>
    <row r="38" spans="1:15" ht="14.4">
      <c r="B38" s="16"/>
      <c r="N38" s="68"/>
    </row>
    <row r="39" spans="1:15" ht="21">
      <c r="A39" s="50"/>
      <c r="B39" s="17" t="s">
        <v>101</v>
      </c>
    </row>
    <row r="40" spans="1:15">
      <c r="C40" s="200">
        <v>2016</v>
      </c>
      <c r="D40" s="143">
        <v>2017</v>
      </c>
      <c r="E40" s="143">
        <v>2018</v>
      </c>
      <c r="F40" s="143">
        <v>2019</v>
      </c>
      <c r="G40" s="143">
        <v>2020</v>
      </c>
      <c r="H40" s="143">
        <v>2021</v>
      </c>
      <c r="I40" s="143">
        <v>2022</v>
      </c>
      <c r="J40" s="143">
        <v>2023</v>
      </c>
      <c r="K40" s="143">
        <v>2024</v>
      </c>
      <c r="L40" s="143">
        <v>2025</v>
      </c>
      <c r="M40" s="143">
        <v>2026</v>
      </c>
      <c r="N40" s="327" t="str">
        <f>N31</f>
        <v>6-yr total</v>
      </c>
    </row>
    <row r="41" spans="1:15">
      <c r="B41" s="197" t="str">
        <f>B32</f>
        <v>Telecom</v>
      </c>
      <c r="C41" s="146">
        <f>Telecom!E259</f>
        <v>970.95883262807854</v>
      </c>
      <c r="D41" s="147">
        <f>Telecom!F259</f>
        <v>686.97300036965203</v>
      </c>
      <c r="E41" s="147">
        <f>Telecom!G259</f>
        <v>0</v>
      </c>
      <c r="F41" s="147">
        <f>Telecom!H259</f>
        <v>0</v>
      </c>
      <c r="G41" s="147">
        <f>Telecom!I259</f>
        <v>0</v>
      </c>
      <c r="H41" s="147">
        <f>Telecom!J259</f>
        <v>0</v>
      </c>
      <c r="I41" s="147">
        <f>Telecom!K259</f>
        <v>0</v>
      </c>
      <c r="J41" s="147">
        <f>Telecom!L259</f>
        <v>0</v>
      </c>
      <c r="K41" s="147">
        <f>Telecom!M259</f>
        <v>0</v>
      </c>
      <c r="L41" s="147">
        <f>Telecom!N259</f>
        <v>0</v>
      </c>
      <c r="M41" s="147">
        <f>Telecom!O259</f>
        <v>0</v>
      </c>
      <c r="N41" s="135">
        <f>SUM(H41:M41)</f>
        <v>0</v>
      </c>
    </row>
    <row r="42" spans="1:15">
      <c r="B42" s="198" t="str">
        <f>B33</f>
        <v>Cloud</v>
      </c>
      <c r="C42" s="148">
        <f>Cloud!E259</f>
        <v>1117.8845272480094</v>
      </c>
      <c r="D42" s="149">
        <f>Cloud!F259</f>
        <v>1907.8960712813273</v>
      </c>
      <c r="E42" s="149">
        <f>Cloud!G259</f>
        <v>0</v>
      </c>
      <c r="F42" s="149">
        <f>Cloud!H259</f>
        <v>0</v>
      </c>
      <c r="G42" s="149">
        <f>Cloud!I259</f>
        <v>0</v>
      </c>
      <c r="H42" s="149">
        <f>Cloud!J259</f>
        <v>0</v>
      </c>
      <c r="I42" s="149">
        <f>Cloud!K259</f>
        <v>0</v>
      </c>
      <c r="J42" s="149">
        <f>Cloud!L259</f>
        <v>0</v>
      </c>
      <c r="K42" s="149">
        <f>Cloud!M259</f>
        <v>0</v>
      </c>
      <c r="L42" s="149">
        <f>Cloud!N259</f>
        <v>0</v>
      </c>
      <c r="M42" s="149">
        <f>Cloud!O259</f>
        <v>0</v>
      </c>
      <c r="N42" s="135">
        <f>SUM(H42:M42)</f>
        <v>0</v>
      </c>
    </row>
    <row r="43" spans="1:15">
      <c r="B43" s="198" t="str">
        <f>B34</f>
        <v>Enterprise</v>
      </c>
      <c r="C43" s="148">
        <f>Enterprise!E259</f>
        <v>598.77204776909878</v>
      </c>
      <c r="D43" s="149">
        <f>Enterprise!F259</f>
        <v>583.36292043779542</v>
      </c>
      <c r="E43" s="149">
        <f>Enterprise!G259</f>
        <v>0</v>
      </c>
      <c r="F43" s="149">
        <f>Enterprise!H259</f>
        <v>0</v>
      </c>
      <c r="G43" s="149">
        <f>Enterprise!I259</f>
        <v>0</v>
      </c>
      <c r="H43" s="149">
        <f>Enterprise!J259</f>
        <v>0</v>
      </c>
      <c r="I43" s="149">
        <f>Enterprise!K259</f>
        <v>0</v>
      </c>
      <c r="J43" s="149">
        <f>Enterprise!L259</f>
        <v>0</v>
      </c>
      <c r="K43" s="149">
        <f>Enterprise!M259</f>
        <v>0</v>
      </c>
      <c r="L43" s="149">
        <f>Enterprise!N259</f>
        <v>0</v>
      </c>
      <c r="M43" s="149">
        <f>Enterprise!O259</f>
        <v>0</v>
      </c>
      <c r="N43" s="135">
        <f>SUM(H43:M43)</f>
        <v>0</v>
      </c>
    </row>
    <row r="44" spans="1:15">
      <c r="B44" s="144" t="str">
        <f>B35</f>
        <v>Total</v>
      </c>
      <c r="C44" s="159">
        <f t="shared" ref="C44:L44" si="4">SUM(C41:C43)</f>
        <v>2687.6154076451867</v>
      </c>
      <c r="D44" s="160">
        <f t="shared" si="4"/>
        <v>3178.2319920887744</v>
      </c>
      <c r="E44" s="160">
        <f t="shared" si="4"/>
        <v>0</v>
      </c>
      <c r="F44" s="160">
        <f t="shared" si="4"/>
        <v>0</v>
      </c>
      <c r="G44" s="160">
        <f t="shared" si="4"/>
        <v>0</v>
      </c>
      <c r="H44" s="160">
        <f t="shared" si="4"/>
        <v>0</v>
      </c>
      <c r="I44" s="160">
        <f t="shared" si="4"/>
        <v>0</v>
      </c>
      <c r="J44" s="160">
        <f t="shared" si="4"/>
        <v>0</v>
      </c>
      <c r="K44" s="160">
        <f t="shared" si="4"/>
        <v>0</v>
      </c>
      <c r="L44" s="160">
        <f t="shared" si="4"/>
        <v>0</v>
      </c>
      <c r="M44" s="160">
        <f t="shared" ref="M44" si="5">SUM(M41:M43)</f>
        <v>0</v>
      </c>
      <c r="N44" s="135">
        <f>SUM(H44:M44)</f>
        <v>0</v>
      </c>
      <c r="O44" s="624"/>
    </row>
    <row r="45" spans="1:15">
      <c r="B45" s="177" t="s">
        <v>86</v>
      </c>
      <c r="C45" s="178"/>
      <c r="D45" s="178">
        <f>D44/C44-1</f>
        <v>0.18254716915522229</v>
      </c>
      <c r="E45" s="178">
        <f>E44/D44-1</f>
        <v>-1</v>
      </c>
      <c r="F45" s="178" t="e">
        <f t="shared" ref="F45:L45" si="6">F44/E44-1</f>
        <v>#DIV/0!</v>
      </c>
      <c r="G45" s="178" t="e">
        <f t="shared" si="6"/>
        <v>#DIV/0!</v>
      </c>
      <c r="H45" s="178" t="e">
        <f t="shared" si="6"/>
        <v>#DIV/0!</v>
      </c>
      <c r="I45" s="178" t="e">
        <f t="shared" si="6"/>
        <v>#DIV/0!</v>
      </c>
      <c r="J45" s="178" t="e">
        <f t="shared" si="6"/>
        <v>#DIV/0!</v>
      </c>
      <c r="K45" s="178" t="e">
        <f t="shared" si="6"/>
        <v>#DIV/0!</v>
      </c>
      <c r="L45" s="178" t="e">
        <f t="shared" si="6"/>
        <v>#DIV/0!</v>
      </c>
      <c r="M45" s="178" t="e">
        <f t="shared" ref="M45" si="7">M44/L44-1</f>
        <v>#DIV/0!</v>
      </c>
      <c r="N45" s="156"/>
    </row>
    <row r="46" spans="1:15" ht="14.4">
      <c r="B46" s="16"/>
      <c r="C46" s="324"/>
      <c r="D46" s="324"/>
      <c r="E46" s="324"/>
      <c r="F46" s="324"/>
      <c r="G46" s="324"/>
      <c r="H46" s="324"/>
      <c r="I46" s="324"/>
      <c r="J46" s="324"/>
      <c r="K46" s="324"/>
      <c r="L46" s="324"/>
      <c r="M46" s="324"/>
      <c r="N46" s="156"/>
    </row>
    <row r="47" spans="1:15">
      <c r="N47" s="156"/>
    </row>
    <row r="48" spans="1:15"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spans="1:7" outlineLevel="1"/>
    <row r="82" spans="1:7" outlineLevel="1"/>
    <row r="83" spans="1:7" outlineLevel="1"/>
    <row r="84" spans="1:7" outlineLevel="1"/>
    <row r="85" spans="1:7" outlineLevel="1"/>
    <row r="86" spans="1:7" outlineLevel="1"/>
    <row r="87" spans="1:7" outlineLevel="1"/>
    <row r="88" spans="1:7" outlineLevel="1"/>
    <row r="89" spans="1:7" outlineLevel="1"/>
    <row r="90" spans="1:7" outlineLevel="1"/>
    <row r="91" spans="1:7" outlineLevel="1"/>
    <row r="93" spans="1:7" ht="21">
      <c r="B93" s="437" t="s">
        <v>61</v>
      </c>
    </row>
    <row r="95" spans="1:7">
      <c r="A95" s="50"/>
      <c r="B95" s="50"/>
      <c r="C95" s="50"/>
      <c r="D95" s="50"/>
      <c r="E95" s="50"/>
      <c r="F95" s="50"/>
      <c r="G95" s="50"/>
    </row>
    <row r="96" spans="1:7">
      <c r="A96" s="50"/>
      <c r="B96" s="50"/>
      <c r="C96" s="50"/>
      <c r="D96" s="50"/>
      <c r="E96" s="50"/>
      <c r="F96" s="50"/>
      <c r="G96" s="50"/>
    </row>
    <row r="97" spans="1:7">
      <c r="A97" s="50"/>
      <c r="B97" s="50"/>
      <c r="C97" s="50"/>
      <c r="D97" s="50"/>
      <c r="E97" s="50"/>
      <c r="F97" s="50"/>
      <c r="G97" s="50"/>
    </row>
    <row r="98" spans="1:7">
      <c r="A98" s="50"/>
      <c r="B98" s="50"/>
      <c r="C98" s="50"/>
      <c r="D98" s="50"/>
      <c r="E98" s="50"/>
      <c r="F98" s="50"/>
      <c r="G98" s="50"/>
    </row>
    <row r="99" spans="1:7">
      <c r="A99" s="50"/>
      <c r="B99" s="50"/>
      <c r="C99" s="50"/>
      <c r="D99" s="50"/>
      <c r="E99" s="50"/>
      <c r="F99" s="50"/>
      <c r="G99" s="50"/>
    </row>
    <row r="100" spans="1:7">
      <c r="A100" s="50"/>
      <c r="B100" s="50"/>
      <c r="C100" s="50"/>
      <c r="D100" s="50"/>
      <c r="E100" s="50"/>
      <c r="F100" s="50"/>
      <c r="G100" s="50"/>
    </row>
    <row r="101" spans="1:7">
      <c r="A101" s="50"/>
      <c r="B101" s="50"/>
      <c r="C101" s="50"/>
      <c r="D101" s="50"/>
      <c r="E101" s="50"/>
      <c r="F101" s="50"/>
      <c r="G101" s="50"/>
    </row>
    <row r="102" spans="1:7">
      <c r="A102" s="50"/>
      <c r="B102" s="50"/>
      <c r="C102" s="50"/>
      <c r="D102" s="50"/>
      <c r="E102" s="50"/>
      <c r="F102" s="50"/>
      <c r="G102" s="50"/>
    </row>
    <row r="103" spans="1:7">
      <c r="A103" s="50"/>
      <c r="B103" s="50"/>
      <c r="C103" s="50"/>
      <c r="D103" s="50"/>
      <c r="E103" s="50"/>
      <c r="F103" s="50"/>
      <c r="G103" s="50"/>
    </row>
    <row r="104" spans="1:7">
      <c r="A104" s="50"/>
      <c r="B104" s="50"/>
      <c r="C104" s="50"/>
      <c r="D104" s="50"/>
      <c r="E104" s="50"/>
      <c r="F104" s="50"/>
      <c r="G104" s="50"/>
    </row>
    <row r="105" spans="1:7">
      <c r="A105" s="50"/>
      <c r="B105" s="50"/>
      <c r="C105" s="50"/>
      <c r="D105" s="50"/>
      <c r="E105" s="50"/>
      <c r="F105" s="50"/>
      <c r="G105" s="50"/>
    </row>
    <row r="106" spans="1:7">
      <c r="A106" s="50"/>
      <c r="B106" s="50"/>
      <c r="C106" s="50"/>
      <c r="D106" s="50"/>
      <c r="E106" s="50"/>
      <c r="F106" s="50"/>
      <c r="G106" s="50"/>
    </row>
    <row r="107" spans="1:7">
      <c r="A107" s="50"/>
      <c r="B107" s="50"/>
      <c r="C107" s="50"/>
      <c r="D107" s="50"/>
      <c r="E107" s="50"/>
      <c r="F107" s="50"/>
      <c r="G107" s="50"/>
    </row>
    <row r="108" spans="1:7">
      <c r="A108" s="50"/>
      <c r="B108" s="50"/>
      <c r="C108" s="50"/>
      <c r="D108" s="50"/>
      <c r="E108" s="50"/>
      <c r="F108" s="50"/>
      <c r="G108" s="50"/>
    </row>
    <row r="109" spans="1:7">
      <c r="A109" s="50"/>
      <c r="B109" s="50"/>
      <c r="C109" s="50"/>
      <c r="D109" s="50"/>
      <c r="E109" s="50"/>
      <c r="F109" s="50"/>
      <c r="G109" s="50"/>
    </row>
    <row r="110" spans="1:7">
      <c r="A110" s="50"/>
      <c r="B110" s="50"/>
      <c r="C110" s="50"/>
      <c r="D110" s="50"/>
      <c r="E110" s="50"/>
      <c r="F110" s="50"/>
      <c r="G110" s="50"/>
    </row>
    <row r="111" spans="1:7">
      <c r="A111" s="50"/>
      <c r="B111" s="50"/>
      <c r="C111" s="50"/>
      <c r="D111" s="50"/>
      <c r="E111" s="50"/>
      <c r="F111" s="50"/>
      <c r="G111" s="50"/>
    </row>
    <row r="112" spans="1:7">
      <c r="A112" s="50"/>
      <c r="B112" s="50"/>
      <c r="C112" s="50"/>
      <c r="D112" s="50"/>
      <c r="E112" s="50"/>
      <c r="F112" s="50"/>
      <c r="G112" s="50"/>
    </row>
    <row r="113" spans="1:13">
      <c r="A113" s="50"/>
      <c r="B113" s="50"/>
      <c r="C113" s="50"/>
      <c r="D113" s="50"/>
      <c r="E113" s="50"/>
      <c r="F113" s="50"/>
      <c r="G113" s="50"/>
    </row>
    <row r="114" spans="1:13">
      <c r="A114" s="50"/>
      <c r="B114" s="50"/>
      <c r="C114" s="50"/>
      <c r="D114" s="50"/>
      <c r="E114" s="50"/>
      <c r="F114" s="50"/>
      <c r="G114" s="50"/>
    </row>
    <row r="115" spans="1:13">
      <c r="A115" s="50"/>
      <c r="C115" s="50"/>
      <c r="D115" s="50"/>
      <c r="E115" s="50"/>
      <c r="F115" s="50"/>
      <c r="G115" s="50"/>
    </row>
    <row r="116" spans="1:13" ht="21">
      <c r="A116" s="50"/>
      <c r="B116" s="17" t="s">
        <v>100</v>
      </c>
      <c r="C116" s="50"/>
      <c r="D116" s="50"/>
      <c r="E116" s="50"/>
      <c r="F116" s="50"/>
      <c r="G116" s="50"/>
    </row>
    <row r="117" spans="1:13">
      <c r="C117" s="142">
        <v>2016</v>
      </c>
      <c r="D117" s="143">
        <v>2017</v>
      </c>
      <c r="E117" s="143">
        <v>2018</v>
      </c>
      <c r="F117" s="143">
        <v>2019</v>
      </c>
      <c r="G117" s="143">
        <v>2020</v>
      </c>
      <c r="H117" s="143">
        <v>2021</v>
      </c>
      <c r="I117" s="143">
        <v>2022</v>
      </c>
      <c r="J117" s="143">
        <v>2023</v>
      </c>
      <c r="K117" s="143">
        <v>2024</v>
      </c>
      <c r="L117" s="143">
        <v>2025</v>
      </c>
      <c r="M117" s="143">
        <v>2026</v>
      </c>
    </row>
    <row r="118" spans="1:13">
      <c r="B118" s="207" t="s">
        <v>92</v>
      </c>
      <c r="C118" s="140">
        <f>SUM(Telecom!E41:E59)</f>
        <v>245415.4</v>
      </c>
      <c r="D118" s="141">
        <f>SUM(Telecom!F41:F59)</f>
        <v>271656.19999999995</v>
      </c>
      <c r="E118" s="141">
        <f>SUM(Telecom!G41:G59)</f>
        <v>0</v>
      </c>
      <c r="F118" s="141">
        <f>SUM(Telecom!H41:H59)</f>
        <v>0</v>
      </c>
      <c r="G118" s="141">
        <f>SUM(Telecom!I41:I59)</f>
        <v>0</v>
      </c>
      <c r="H118" s="141">
        <f>SUM(Telecom!J41:J59)</f>
        <v>0</v>
      </c>
      <c r="I118" s="141">
        <f>SUM(Telecom!K41:K59)</f>
        <v>0</v>
      </c>
      <c r="J118" s="141">
        <f>SUM(Telecom!L41:L59)</f>
        <v>0</v>
      </c>
      <c r="K118" s="141">
        <f>SUM(Telecom!M41:M59)</f>
        <v>0</v>
      </c>
      <c r="L118" s="141">
        <f>SUM(Telecom!N41:N59)</f>
        <v>0</v>
      </c>
      <c r="M118" s="141">
        <f>SUM(Telecom!O41:O59)</f>
        <v>0</v>
      </c>
    </row>
    <row r="119" spans="1:13">
      <c r="B119" s="289" t="s">
        <v>134</v>
      </c>
      <c r="C119" s="138">
        <f>SUM(Cloud!E41:E59)</f>
        <v>672463.4</v>
      </c>
      <c r="D119" s="139">
        <f>SUM(Cloud!F41:F59)</f>
        <v>2603279.4</v>
      </c>
      <c r="E119" s="139">
        <f>SUM(Cloud!G41:G59)</f>
        <v>0</v>
      </c>
      <c r="F119" s="139">
        <f>SUM(Cloud!H41:H59)</f>
        <v>0</v>
      </c>
      <c r="G119" s="139">
        <f>SUM(Cloud!I41:I59)</f>
        <v>0</v>
      </c>
      <c r="H119" s="139">
        <f>SUM(Cloud!J41:J59)</f>
        <v>0</v>
      </c>
      <c r="I119" s="139">
        <f>SUM(Cloud!K41:K59)</f>
        <v>0</v>
      </c>
      <c r="J119" s="139">
        <f>SUM(Cloud!L41:L59)</f>
        <v>0</v>
      </c>
      <c r="K119" s="139">
        <f>SUM(Cloud!M41:M59)</f>
        <v>0</v>
      </c>
      <c r="L119" s="139">
        <f>SUM(Cloud!N41:N59)</f>
        <v>0</v>
      </c>
      <c r="M119" s="139">
        <f>SUM(Cloud!O41:O59)</f>
        <v>0</v>
      </c>
    </row>
    <row r="120" spans="1:13" ht="13.5" customHeight="1">
      <c r="B120" s="374" t="s">
        <v>107</v>
      </c>
      <c r="C120" s="212">
        <f>SUM(Enterprise!E41:E59)</f>
        <v>1491.1999999999996</v>
      </c>
      <c r="D120" s="213">
        <f>SUM(Enterprise!F41:F59)</f>
        <v>6554.3999999999987</v>
      </c>
      <c r="E120" s="213">
        <f>SUM(Enterprise!G41:G59)</f>
        <v>0</v>
      </c>
      <c r="F120" s="213">
        <f>SUM(Enterprise!H41:H59)</f>
        <v>0</v>
      </c>
      <c r="G120" s="213">
        <f>SUM(Enterprise!I41:I59)</f>
        <v>0</v>
      </c>
      <c r="H120" s="213">
        <f>SUM(Enterprise!J41:J59)</f>
        <v>0</v>
      </c>
      <c r="I120" s="213">
        <f>SUM(Enterprise!K41:K59)</f>
        <v>0</v>
      </c>
      <c r="J120" s="213">
        <f>SUM(Enterprise!L41:L59)</f>
        <v>0</v>
      </c>
      <c r="K120" s="213">
        <f>SUM(Enterprise!M41:M59)</f>
        <v>0</v>
      </c>
      <c r="L120" s="213">
        <f>SUM(Enterprise!N41:N59)</f>
        <v>0</v>
      </c>
      <c r="M120" s="213">
        <f>SUM(Enterprise!O41:O59)</f>
        <v>0</v>
      </c>
    </row>
    <row r="121" spans="1:13">
      <c r="B121" s="144" t="s">
        <v>13</v>
      </c>
      <c r="C121" s="157">
        <f t="shared" ref="C121:I121" si="8">SUM(C118:C120)</f>
        <v>919370</v>
      </c>
      <c r="D121" s="158">
        <f t="shared" si="8"/>
        <v>2881489.9999999995</v>
      </c>
      <c r="E121" s="158">
        <f t="shared" si="8"/>
        <v>0</v>
      </c>
      <c r="F121" s="158">
        <f t="shared" si="8"/>
        <v>0</v>
      </c>
      <c r="G121" s="158">
        <f t="shared" si="8"/>
        <v>0</v>
      </c>
      <c r="H121" s="158">
        <f t="shared" si="8"/>
        <v>0</v>
      </c>
      <c r="I121" s="158">
        <f t="shared" si="8"/>
        <v>0</v>
      </c>
      <c r="J121" s="158">
        <f>SUM(J118:J120)</f>
        <v>0</v>
      </c>
      <c r="K121" s="158">
        <f>SUM(K118:K120)</f>
        <v>0</v>
      </c>
      <c r="L121" s="158">
        <f>SUM(L118:L120)</f>
        <v>0</v>
      </c>
      <c r="M121" s="158">
        <f t="shared" ref="M121" si="9">SUM(M118:M120)</f>
        <v>0</v>
      </c>
    </row>
    <row r="122" spans="1:13">
      <c r="B122" s="177" t="s">
        <v>86</v>
      </c>
      <c r="C122" s="178"/>
      <c r="D122" s="178">
        <f t="shared" ref="D122:L122" si="10">D121/C121-1</f>
        <v>2.1342005938849424</v>
      </c>
      <c r="E122" s="178">
        <f t="shared" si="10"/>
        <v>-1</v>
      </c>
      <c r="F122" s="178" t="e">
        <f t="shared" si="10"/>
        <v>#DIV/0!</v>
      </c>
      <c r="G122" s="178" t="e">
        <f t="shared" si="10"/>
        <v>#DIV/0!</v>
      </c>
      <c r="H122" s="178" t="e">
        <f t="shared" si="10"/>
        <v>#DIV/0!</v>
      </c>
      <c r="I122" s="178" t="e">
        <f t="shared" si="10"/>
        <v>#DIV/0!</v>
      </c>
      <c r="J122" s="178" t="e">
        <f t="shared" si="10"/>
        <v>#DIV/0!</v>
      </c>
      <c r="K122" s="178" t="e">
        <f t="shared" si="10"/>
        <v>#DIV/0!</v>
      </c>
      <c r="L122" s="178" t="e">
        <f t="shared" si="10"/>
        <v>#DIV/0!</v>
      </c>
      <c r="M122" s="178" t="e">
        <f t="shared" ref="M122" si="11">M121/L121-1</f>
        <v>#DIV/0!</v>
      </c>
    </row>
    <row r="123" spans="1:13" ht="14.4">
      <c r="B123" s="16"/>
      <c r="C123" s="73"/>
      <c r="D123" s="73"/>
      <c r="E123" s="73"/>
      <c r="F123" s="73"/>
      <c r="G123" s="73"/>
      <c r="H123" s="73"/>
      <c r="I123" s="73"/>
      <c r="J123" s="73"/>
      <c r="K123" s="73"/>
      <c r="L123" s="73"/>
      <c r="M123" s="73"/>
    </row>
    <row r="125" spans="1:13" ht="21">
      <c r="A125" s="50"/>
      <c r="B125" s="17" t="s">
        <v>101</v>
      </c>
    </row>
    <row r="126" spans="1:13">
      <c r="C126" s="142">
        <v>2016</v>
      </c>
      <c r="D126" s="143">
        <v>2017</v>
      </c>
      <c r="E126" s="143">
        <v>2018</v>
      </c>
      <c r="F126" s="143">
        <v>2019</v>
      </c>
      <c r="G126" s="143">
        <v>2020</v>
      </c>
      <c r="H126" s="143">
        <v>2021</v>
      </c>
      <c r="I126" s="143">
        <v>2022</v>
      </c>
      <c r="J126" s="143">
        <v>2023</v>
      </c>
      <c r="K126" s="143">
        <v>2024</v>
      </c>
      <c r="L126" s="143">
        <v>2025</v>
      </c>
      <c r="M126" s="143">
        <v>2026</v>
      </c>
    </row>
    <row r="127" spans="1:13">
      <c r="B127" s="207" t="str">
        <f>B118</f>
        <v>Telecom</v>
      </c>
      <c r="C127" s="140">
        <f>SUM(Telecom!E211:E229)</f>
        <v>768.76898354972968</v>
      </c>
      <c r="D127" s="141">
        <f>SUM(Telecom!F211:F229)</f>
        <v>545.28903131270965</v>
      </c>
      <c r="E127" s="141">
        <f>SUM(Telecom!G211:G229)</f>
        <v>0</v>
      </c>
      <c r="F127" s="141">
        <f>SUM(Telecom!H211:H229)</f>
        <v>0</v>
      </c>
      <c r="G127" s="141">
        <f>SUM(Telecom!I211:I229)</f>
        <v>0</v>
      </c>
      <c r="H127" s="141">
        <f>SUM(Telecom!J211:J229)</f>
        <v>0</v>
      </c>
      <c r="I127" s="141">
        <f>SUM(Telecom!K211:K229)</f>
        <v>0</v>
      </c>
      <c r="J127" s="141">
        <f>SUM(Telecom!L211:L229)</f>
        <v>0</v>
      </c>
      <c r="K127" s="141">
        <f>SUM(Telecom!M211:M229)</f>
        <v>0</v>
      </c>
      <c r="L127" s="141">
        <f>SUM(Telecom!N211:N229)</f>
        <v>0</v>
      </c>
      <c r="M127" s="141">
        <f>SUM(Telecom!O211:O229)</f>
        <v>0</v>
      </c>
    </row>
    <row r="128" spans="1:13">
      <c r="B128" s="435" t="str">
        <f>B119</f>
        <v>Cloud</v>
      </c>
      <c r="C128" s="138">
        <f>SUM(Cloud!E211:E229)</f>
        <v>360.98057201309041</v>
      </c>
      <c r="D128" s="139">
        <f>SUM(Cloud!F211:F229)</f>
        <v>1093.99654038072</v>
      </c>
      <c r="E128" s="139">
        <f>SUM(Cloud!G211:G229)</f>
        <v>0</v>
      </c>
      <c r="F128" s="139">
        <f>SUM(Cloud!H211:H229)</f>
        <v>0</v>
      </c>
      <c r="G128" s="139">
        <f>SUM(Cloud!I211:I229)</f>
        <v>0</v>
      </c>
      <c r="H128" s="139">
        <f>SUM(Cloud!J211:J229)</f>
        <v>0</v>
      </c>
      <c r="I128" s="139">
        <f>SUM(Cloud!K211:K229)</f>
        <v>0</v>
      </c>
      <c r="J128" s="139">
        <f>SUM(Cloud!L211:L229)</f>
        <v>0</v>
      </c>
      <c r="K128" s="139">
        <f>SUM(Cloud!M211:M229)</f>
        <v>0</v>
      </c>
      <c r="L128" s="139">
        <f>SUM(Cloud!N211:N229)</f>
        <v>0</v>
      </c>
      <c r="M128" s="139">
        <f>SUM(Cloud!O211:O229)</f>
        <v>0</v>
      </c>
    </row>
    <row r="129" spans="1:13">
      <c r="B129" s="208" t="str">
        <f>B120</f>
        <v>Enterprise</v>
      </c>
      <c r="C129" s="212">
        <f>SUM(Enterprise!E211:E229)</f>
        <v>13.409407906828156</v>
      </c>
      <c r="D129" s="213">
        <f>SUM(Enterprise!F211:F229)</f>
        <v>14.688820280724084</v>
      </c>
      <c r="E129" s="213">
        <f>SUM(Enterprise!G211:G229)</f>
        <v>0</v>
      </c>
      <c r="F129" s="213">
        <f>SUM(Enterprise!H211:H229)</f>
        <v>0</v>
      </c>
      <c r="G129" s="213">
        <f>SUM(Enterprise!I211:I229)</f>
        <v>0</v>
      </c>
      <c r="H129" s="213">
        <f>SUM(Enterprise!J211:J229)</f>
        <v>0</v>
      </c>
      <c r="I129" s="213">
        <f>SUM(Enterprise!K211:K229)</f>
        <v>0</v>
      </c>
      <c r="J129" s="213">
        <f>SUM(Enterprise!L211:L229)</f>
        <v>0</v>
      </c>
      <c r="K129" s="213">
        <f>SUM(Enterprise!M211:M229)</f>
        <v>0</v>
      </c>
      <c r="L129" s="213">
        <f>SUM(Enterprise!N211:N229)</f>
        <v>0</v>
      </c>
      <c r="M129" s="213">
        <f>SUM(Enterprise!O211:O229)</f>
        <v>0</v>
      </c>
    </row>
    <row r="130" spans="1:13">
      <c r="B130" s="144" t="str">
        <f>B121</f>
        <v>Total</v>
      </c>
      <c r="C130" s="159">
        <f t="shared" ref="C130:L130" si="12">SUM(C127:C129)</f>
        <v>1143.1589634696484</v>
      </c>
      <c r="D130" s="160">
        <f t="shared" si="12"/>
        <v>1653.9743919741536</v>
      </c>
      <c r="E130" s="160">
        <f t="shared" si="12"/>
        <v>0</v>
      </c>
      <c r="F130" s="160">
        <f t="shared" si="12"/>
        <v>0</v>
      </c>
      <c r="G130" s="160">
        <f t="shared" si="12"/>
        <v>0</v>
      </c>
      <c r="H130" s="160">
        <f t="shared" si="12"/>
        <v>0</v>
      </c>
      <c r="I130" s="160">
        <f t="shared" si="12"/>
        <v>0</v>
      </c>
      <c r="J130" s="160">
        <f t="shared" si="12"/>
        <v>0</v>
      </c>
      <c r="K130" s="160">
        <f t="shared" si="12"/>
        <v>0</v>
      </c>
      <c r="L130" s="160">
        <f t="shared" si="12"/>
        <v>0</v>
      </c>
      <c r="M130" s="160">
        <f t="shared" ref="M130" si="13">SUM(M127:M129)</f>
        <v>0</v>
      </c>
    </row>
    <row r="131" spans="1:13">
      <c r="B131" s="177" t="s">
        <v>86</v>
      </c>
      <c r="C131" s="178"/>
      <c r="D131" s="178">
        <f t="shared" ref="D131:L131" si="14">D130/C130-1</f>
        <v>0.44684549115908467</v>
      </c>
      <c r="E131" s="178">
        <f t="shared" si="14"/>
        <v>-1</v>
      </c>
      <c r="F131" s="178" t="e">
        <f t="shared" si="14"/>
        <v>#DIV/0!</v>
      </c>
      <c r="G131" s="178" t="e">
        <f t="shared" si="14"/>
        <v>#DIV/0!</v>
      </c>
      <c r="H131" s="178" t="e">
        <f t="shared" si="14"/>
        <v>#DIV/0!</v>
      </c>
      <c r="I131" s="178" t="e">
        <f t="shared" si="14"/>
        <v>#DIV/0!</v>
      </c>
      <c r="J131" s="178" t="e">
        <f t="shared" si="14"/>
        <v>#DIV/0!</v>
      </c>
      <c r="K131" s="178" t="e">
        <f t="shared" si="14"/>
        <v>#DIV/0!</v>
      </c>
      <c r="L131" s="178" t="e">
        <f t="shared" si="14"/>
        <v>#DIV/0!</v>
      </c>
      <c r="M131" s="178" t="e">
        <f t="shared" ref="M131" si="15">M130/L130-1</f>
        <v>#DIV/0!</v>
      </c>
    </row>
    <row r="132" spans="1:13" ht="14.4">
      <c r="B132" s="16"/>
      <c r="C132" s="324"/>
      <c r="D132" s="324"/>
      <c r="E132" s="324"/>
      <c r="F132" s="324"/>
      <c r="G132" s="324"/>
      <c r="H132" s="324"/>
      <c r="I132" s="324"/>
      <c r="J132" s="324"/>
      <c r="K132" s="324"/>
      <c r="L132" s="324"/>
      <c r="M132" s="324"/>
    </row>
    <row r="135" spans="1:13" ht="21">
      <c r="B135" s="437" t="s">
        <v>126</v>
      </c>
    </row>
    <row r="137" spans="1:13">
      <c r="A137" s="50"/>
      <c r="B137" s="50"/>
      <c r="C137" s="50"/>
      <c r="D137" s="50"/>
      <c r="E137" s="50"/>
      <c r="F137" s="50"/>
      <c r="G137" s="50"/>
    </row>
    <row r="138" spans="1:13">
      <c r="A138" s="50"/>
      <c r="B138" s="50"/>
      <c r="C138" s="50"/>
      <c r="D138" s="50"/>
      <c r="E138" s="50"/>
      <c r="F138" s="50"/>
      <c r="G138" s="50"/>
    </row>
    <row r="139" spans="1:13">
      <c r="A139" s="50"/>
      <c r="B139" s="50"/>
      <c r="C139" s="50"/>
      <c r="D139" s="50"/>
      <c r="E139" s="50"/>
      <c r="F139" s="50"/>
      <c r="G139" s="50"/>
    </row>
    <row r="140" spans="1:13">
      <c r="A140" s="50"/>
      <c r="B140" s="50"/>
      <c r="C140" s="50"/>
      <c r="D140" s="50"/>
      <c r="E140" s="50"/>
      <c r="F140" s="50"/>
      <c r="G140" s="50"/>
    </row>
    <row r="141" spans="1:13">
      <c r="A141" s="50"/>
      <c r="B141" s="50"/>
      <c r="C141" s="50"/>
      <c r="D141" s="50"/>
      <c r="E141" s="50"/>
      <c r="F141" s="50"/>
      <c r="G141" s="50"/>
    </row>
    <row r="142" spans="1:13">
      <c r="A142" s="50"/>
      <c r="B142" s="50"/>
      <c r="C142" s="50"/>
      <c r="D142" s="50"/>
      <c r="E142" s="50"/>
      <c r="F142" s="50"/>
      <c r="G142" s="50"/>
    </row>
    <row r="143" spans="1:13">
      <c r="A143" s="50"/>
      <c r="B143" s="50"/>
      <c r="C143" s="50"/>
      <c r="D143" s="50"/>
      <c r="E143" s="50"/>
      <c r="F143" s="50"/>
      <c r="G143" s="50"/>
    </row>
    <row r="144" spans="1:13">
      <c r="A144" s="50"/>
      <c r="B144" s="50"/>
      <c r="C144" s="50"/>
      <c r="D144" s="50"/>
      <c r="E144" s="50"/>
      <c r="F144" s="50"/>
      <c r="G144" s="50"/>
    </row>
    <row r="145" spans="1:13">
      <c r="A145" s="50"/>
      <c r="B145" s="50"/>
      <c r="C145" s="50"/>
      <c r="D145" s="50"/>
      <c r="E145" s="50"/>
      <c r="F145" s="50"/>
      <c r="G145" s="50"/>
    </row>
    <row r="146" spans="1:13">
      <c r="A146" s="50"/>
      <c r="B146" s="50"/>
      <c r="C146" s="50"/>
      <c r="D146" s="50"/>
      <c r="E146" s="50"/>
      <c r="F146" s="50"/>
      <c r="G146" s="50"/>
    </row>
    <row r="147" spans="1:13">
      <c r="A147" s="50"/>
      <c r="B147" s="50"/>
      <c r="C147" s="50"/>
      <c r="D147" s="50"/>
      <c r="E147" s="50"/>
      <c r="F147" s="50"/>
      <c r="G147" s="50"/>
    </row>
    <row r="148" spans="1:13">
      <c r="A148" s="50"/>
      <c r="B148" s="50"/>
      <c r="C148" s="50"/>
      <c r="D148" s="50"/>
      <c r="E148" s="50"/>
      <c r="F148" s="50"/>
      <c r="G148" s="50"/>
    </row>
    <row r="149" spans="1:13">
      <c r="A149" s="50"/>
      <c r="B149" s="50"/>
      <c r="C149" s="50"/>
      <c r="D149" s="50"/>
      <c r="E149" s="50"/>
      <c r="F149" s="50"/>
      <c r="G149" s="50"/>
    </row>
    <row r="150" spans="1:13">
      <c r="A150" s="50"/>
      <c r="B150" s="50"/>
      <c r="C150" s="50"/>
      <c r="D150" s="50"/>
      <c r="E150" s="50"/>
      <c r="F150" s="50"/>
      <c r="G150" s="50"/>
    </row>
    <row r="151" spans="1:13">
      <c r="A151" s="50"/>
      <c r="B151" s="50"/>
      <c r="C151" s="50"/>
      <c r="D151" s="50"/>
      <c r="E151" s="50"/>
      <c r="F151" s="50"/>
      <c r="G151" s="50"/>
    </row>
    <row r="152" spans="1:13">
      <c r="A152" s="50"/>
      <c r="B152" s="50"/>
      <c r="C152" s="50"/>
      <c r="D152" s="50"/>
      <c r="E152" s="50"/>
      <c r="F152" s="50"/>
      <c r="G152" s="50"/>
    </row>
    <row r="153" spans="1:13">
      <c r="A153" s="50"/>
      <c r="B153" s="50"/>
      <c r="C153" s="50"/>
      <c r="D153" s="50"/>
      <c r="E153" s="50"/>
      <c r="F153" s="50"/>
      <c r="G153" s="50"/>
    </row>
    <row r="154" spans="1:13">
      <c r="A154" s="50"/>
      <c r="B154" s="50"/>
      <c r="C154" s="50"/>
      <c r="D154" s="50"/>
      <c r="E154" s="50"/>
      <c r="F154" s="50"/>
      <c r="G154" s="50"/>
    </row>
    <row r="155" spans="1:13">
      <c r="A155" s="50"/>
      <c r="B155" s="50"/>
      <c r="C155" s="50"/>
      <c r="D155" s="50"/>
      <c r="E155" s="50"/>
      <c r="F155" s="50"/>
      <c r="G155" s="50"/>
    </row>
    <row r="156" spans="1:13">
      <c r="A156" s="50"/>
      <c r="B156" s="50"/>
      <c r="C156" s="50"/>
      <c r="D156" s="50"/>
      <c r="E156" s="50"/>
      <c r="F156" s="50"/>
      <c r="G156" s="50"/>
    </row>
    <row r="157" spans="1:13">
      <c r="A157" s="50"/>
      <c r="C157" s="50"/>
      <c r="D157" s="50"/>
      <c r="E157" s="50"/>
      <c r="F157" s="50"/>
      <c r="G157" s="50"/>
    </row>
    <row r="158" spans="1:13" ht="21">
      <c r="A158" s="50"/>
      <c r="B158" s="17" t="s">
        <v>100</v>
      </c>
      <c r="C158" s="50"/>
      <c r="D158" s="50"/>
      <c r="E158" s="50"/>
      <c r="F158" s="50"/>
      <c r="G158" s="50"/>
    </row>
    <row r="159" spans="1:13">
      <c r="C159" s="200">
        <v>2016</v>
      </c>
      <c r="D159" s="201">
        <v>2017</v>
      </c>
      <c r="E159" s="201">
        <v>2018</v>
      </c>
      <c r="F159" s="201">
        <v>2019</v>
      </c>
      <c r="G159" s="201">
        <v>2020</v>
      </c>
      <c r="H159" s="201">
        <v>2021</v>
      </c>
      <c r="I159" s="201">
        <v>2022</v>
      </c>
      <c r="J159" s="201">
        <v>2023</v>
      </c>
      <c r="K159" s="201">
        <v>2024</v>
      </c>
      <c r="L159" s="201">
        <v>2025</v>
      </c>
      <c r="M159" s="201">
        <v>2026</v>
      </c>
    </row>
    <row r="160" spans="1:13">
      <c r="B160" s="207" t="s">
        <v>92</v>
      </c>
      <c r="C160" s="140">
        <f>SUM(Telecom!E60:E68)</f>
        <v>0</v>
      </c>
      <c r="D160" s="141">
        <f>SUM(Telecom!F60:F68)</f>
        <v>0</v>
      </c>
      <c r="E160" s="134">
        <f>SUM(Telecom!G60:G68)</f>
        <v>0</v>
      </c>
      <c r="F160" s="134">
        <f>SUM(Telecom!H60:H68)</f>
        <v>0</v>
      </c>
      <c r="G160" s="134">
        <f>SUM(Telecom!I60:I68)</f>
        <v>0</v>
      </c>
      <c r="H160" s="134">
        <f>SUM(Telecom!J60:J68)</f>
        <v>0</v>
      </c>
      <c r="I160" s="134">
        <f>SUM(Telecom!K60:K68)</f>
        <v>0</v>
      </c>
      <c r="J160" s="134">
        <f>SUM(Telecom!L60:L68)</f>
        <v>0</v>
      </c>
      <c r="K160" s="134">
        <f>SUM(Telecom!M60:M68)</f>
        <v>0</v>
      </c>
      <c r="L160" s="134">
        <f>SUM(Telecom!N60:N68)</f>
        <v>0</v>
      </c>
      <c r="M160" s="134">
        <f>SUM(Telecom!O60:O68)</f>
        <v>0</v>
      </c>
    </row>
    <row r="161" spans="1:13">
      <c r="B161" s="289" t="s">
        <v>134</v>
      </c>
      <c r="C161" s="138">
        <f>SUM(Cloud!E60:E68)</f>
        <v>0</v>
      </c>
      <c r="D161" s="139">
        <f>SUM(Cloud!F60:F68)</f>
        <v>0</v>
      </c>
      <c r="E161" s="134">
        <f>SUM(Cloud!G60:G68)</f>
        <v>0</v>
      </c>
      <c r="F161" s="134">
        <f>SUM(Cloud!H60:H68)</f>
        <v>0</v>
      </c>
      <c r="G161" s="134">
        <f>SUM(Cloud!I60:I68)</f>
        <v>0</v>
      </c>
      <c r="H161" s="134">
        <f>SUM(Cloud!J60:J68)</f>
        <v>0</v>
      </c>
      <c r="I161" s="134">
        <f>SUM(Cloud!K60:K68)</f>
        <v>0</v>
      </c>
      <c r="J161" s="134">
        <f>SUM(Cloud!L60:L68)</f>
        <v>0</v>
      </c>
      <c r="K161" s="134">
        <f>SUM(Cloud!M60:M68)</f>
        <v>0</v>
      </c>
      <c r="L161" s="134">
        <f>SUM(Cloud!N60:N68)</f>
        <v>0</v>
      </c>
      <c r="M161" s="134">
        <f>SUM(Cloud!O60:O68)</f>
        <v>0</v>
      </c>
    </row>
    <row r="162" spans="1:13" ht="13.5" customHeight="1">
      <c r="B162" s="374" t="s">
        <v>107</v>
      </c>
      <c r="C162" s="212">
        <f>SUM(Enterprise!E60:E68)</f>
        <v>0</v>
      </c>
      <c r="D162" s="213">
        <f>SUM(Enterprise!F60:F68)</f>
        <v>0</v>
      </c>
      <c r="E162" s="134">
        <f>SUM(Enterprise!G60:G68)</f>
        <v>0</v>
      </c>
      <c r="F162" s="134">
        <f>SUM(Enterprise!H60:H68)</f>
        <v>0</v>
      </c>
      <c r="G162" s="134">
        <f>SUM(Enterprise!I60:I68)</f>
        <v>0</v>
      </c>
      <c r="H162" s="134">
        <f>SUM(Enterprise!J60:J68)</f>
        <v>0</v>
      </c>
      <c r="I162" s="134">
        <f>SUM(Enterprise!K60:K68)</f>
        <v>0</v>
      </c>
      <c r="J162" s="134">
        <f>SUM(Enterprise!L60:L68)</f>
        <v>0</v>
      </c>
      <c r="K162" s="134">
        <f>SUM(Enterprise!M60:M68)</f>
        <v>0</v>
      </c>
      <c r="L162" s="134">
        <f>SUM(Enterprise!N60:N68)</f>
        <v>0</v>
      </c>
      <c r="M162" s="134">
        <f>SUM(Enterprise!O60:O68)</f>
        <v>0</v>
      </c>
    </row>
    <row r="163" spans="1:13">
      <c r="B163" s="144" t="s">
        <v>13</v>
      </c>
      <c r="C163" s="157">
        <f t="shared" ref="C163:I163" si="16">SUM(C160:C162)</f>
        <v>0</v>
      </c>
      <c r="D163" s="158">
        <f t="shared" si="16"/>
        <v>0</v>
      </c>
      <c r="E163" s="158">
        <f t="shared" si="16"/>
        <v>0</v>
      </c>
      <c r="F163" s="158">
        <f t="shared" si="16"/>
        <v>0</v>
      </c>
      <c r="G163" s="158">
        <f t="shared" si="16"/>
        <v>0</v>
      </c>
      <c r="H163" s="158">
        <f t="shared" si="16"/>
        <v>0</v>
      </c>
      <c r="I163" s="158">
        <f t="shared" si="16"/>
        <v>0</v>
      </c>
      <c r="J163" s="158">
        <f>SUM(J160:J162)</f>
        <v>0</v>
      </c>
      <c r="K163" s="158">
        <f>SUM(K160:K162)</f>
        <v>0</v>
      </c>
      <c r="L163" s="158">
        <f>SUM(L160:L162)</f>
        <v>0</v>
      </c>
      <c r="M163" s="158">
        <f t="shared" ref="M163" si="17">SUM(M160:M162)</f>
        <v>0</v>
      </c>
    </row>
    <row r="164" spans="1:13">
      <c r="B164" s="177" t="s">
        <v>86</v>
      </c>
      <c r="C164" s="178"/>
      <c r="D164" s="178"/>
      <c r="E164" s="178"/>
      <c r="F164" s="178" t="e">
        <f t="shared" ref="F164:L164" si="18">F163/E163-1</f>
        <v>#DIV/0!</v>
      </c>
      <c r="G164" s="178" t="e">
        <f t="shared" si="18"/>
        <v>#DIV/0!</v>
      </c>
      <c r="H164" s="178" t="e">
        <f t="shared" si="18"/>
        <v>#DIV/0!</v>
      </c>
      <c r="I164" s="178" t="e">
        <f t="shared" si="18"/>
        <v>#DIV/0!</v>
      </c>
      <c r="J164" s="178" t="e">
        <f t="shared" si="18"/>
        <v>#DIV/0!</v>
      </c>
      <c r="K164" s="178" t="e">
        <f t="shared" si="18"/>
        <v>#DIV/0!</v>
      </c>
      <c r="L164" s="178" t="e">
        <f t="shared" si="18"/>
        <v>#DIV/0!</v>
      </c>
      <c r="M164" s="178" t="e">
        <f t="shared" ref="M164" si="19">M163/L163-1</f>
        <v>#DIV/0!</v>
      </c>
    </row>
    <row r="165" spans="1:13" ht="14.4">
      <c r="B165" s="16"/>
      <c r="C165" s="73"/>
      <c r="D165" s="73"/>
      <c r="E165" s="73"/>
      <c r="F165" s="73"/>
      <c r="G165" s="73"/>
      <c r="H165" s="73"/>
      <c r="I165" s="73"/>
      <c r="J165" s="73"/>
      <c r="K165" s="73"/>
      <c r="L165" s="73"/>
      <c r="M165" s="73"/>
    </row>
    <row r="167" spans="1:13" ht="21">
      <c r="A167" s="50"/>
      <c r="B167" s="17" t="s">
        <v>101</v>
      </c>
    </row>
    <row r="168" spans="1:13">
      <c r="C168" s="142">
        <v>2016</v>
      </c>
      <c r="D168" s="143">
        <v>2017</v>
      </c>
      <c r="E168" s="143">
        <v>2018</v>
      </c>
      <c r="F168" s="143">
        <v>2019</v>
      </c>
      <c r="G168" s="143">
        <v>2020</v>
      </c>
      <c r="H168" s="143">
        <v>2021</v>
      </c>
      <c r="I168" s="143">
        <v>2022</v>
      </c>
      <c r="J168" s="143">
        <v>2023</v>
      </c>
      <c r="K168" s="143">
        <v>2024</v>
      </c>
      <c r="L168" s="143">
        <v>2025</v>
      </c>
      <c r="M168" s="143">
        <v>2026</v>
      </c>
    </row>
    <row r="169" spans="1:13">
      <c r="B169" s="207" t="str">
        <f>B160</f>
        <v>Telecom</v>
      </c>
      <c r="C169" s="146">
        <f>SUM(Telecom!E230:E238)</f>
        <v>0</v>
      </c>
      <c r="D169" s="147">
        <f>SUM(Telecom!F230:F238)</f>
        <v>0</v>
      </c>
      <c r="E169" s="147">
        <f>SUM(Telecom!G230:G238)</f>
        <v>0</v>
      </c>
      <c r="F169" s="147">
        <f>SUM(Telecom!H230:H238)</f>
        <v>0</v>
      </c>
      <c r="G169" s="147">
        <f>SUM(Telecom!I230:I238)</f>
        <v>0</v>
      </c>
      <c r="H169" s="147">
        <f>SUM(Telecom!J230:J238)</f>
        <v>0</v>
      </c>
      <c r="I169" s="147">
        <f>SUM(Telecom!K230:K238)</f>
        <v>0</v>
      </c>
      <c r="J169" s="147">
        <f>SUM(Telecom!L230:L238)</f>
        <v>0</v>
      </c>
      <c r="K169" s="147">
        <f>SUM(Telecom!M230:M238)</f>
        <v>0</v>
      </c>
      <c r="L169" s="147">
        <f>SUM(Telecom!N230:N238)</f>
        <v>0</v>
      </c>
      <c r="M169" s="147">
        <f>SUM(Telecom!O230:O238)</f>
        <v>0</v>
      </c>
    </row>
    <row r="170" spans="1:13">
      <c r="B170" s="435" t="str">
        <f>B161</f>
        <v>Cloud</v>
      </c>
      <c r="C170" s="148">
        <f>SUM(Cloud!E230:E238)</f>
        <v>0</v>
      </c>
      <c r="D170" s="149">
        <f>SUM(Cloud!F230:F238)</f>
        <v>0</v>
      </c>
      <c r="E170" s="149">
        <f>SUM(Cloud!G230:G238)</f>
        <v>0</v>
      </c>
      <c r="F170" s="149">
        <f>SUM(Cloud!H230:H238)</f>
        <v>0</v>
      </c>
      <c r="G170" s="149">
        <f>SUM(Cloud!I230:I238)</f>
        <v>0</v>
      </c>
      <c r="H170" s="149">
        <f>SUM(Cloud!J230:J238)</f>
        <v>0</v>
      </c>
      <c r="I170" s="149">
        <f>SUM(Cloud!K230:K238)</f>
        <v>0</v>
      </c>
      <c r="J170" s="149">
        <f>SUM(Cloud!L230:L238)</f>
        <v>0</v>
      </c>
      <c r="K170" s="149">
        <f>SUM(Cloud!M230:M238)</f>
        <v>0</v>
      </c>
      <c r="L170" s="149">
        <f>SUM(Cloud!N230:N238)</f>
        <v>0</v>
      </c>
      <c r="M170" s="149">
        <f>SUM(Cloud!O230:O238)</f>
        <v>0</v>
      </c>
    </row>
    <row r="171" spans="1:13">
      <c r="B171" s="208" t="str">
        <f>B162</f>
        <v>Enterprise</v>
      </c>
      <c r="C171" s="542">
        <f>SUM(Enterprise!E230:E238)</f>
        <v>0</v>
      </c>
      <c r="D171" s="436">
        <f>SUM(Enterprise!F230:F238)</f>
        <v>0</v>
      </c>
      <c r="E171" s="436">
        <f>SUM(Enterprise!G230:G238)</f>
        <v>0</v>
      </c>
      <c r="F171" s="436">
        <f>SUM(Enterprise!H230:H238)</f>
        <v>0</v>
      </c>
      <c r="G171" s="436">
        <f>SUM(Enterprise!I230:I238)</f>
        <v>0</v>
      </c>
      <c r="H171" s="436">
        <f>SUM(Enterprise!J230:J238)</f>
        <v>0</v>
      </c>
      <c r="I171" s="436">
        <f>SUM(Enterprise!K230:K238)</f>
        <v>0</v>
      </c>
      <c r="J171" s="436">
        <f>SUM(Enterprise!L230:L238)</f>
        <v>0</v>
      </c>
      <c r="K171" s="436">
        <f>SUM(Enterprise!M230:M238)</f>
        <v>0</v>
      </c>
      <c r="L171" s="436">
        <f>SUM(Enterprise!N230:N238)</f>
        <v>0</v>
      </c>
      <c r="M171" s="436">
        <f>SUM(Enterprise!O230:O238)</f>
        <v>0</v>
      </c>
    </row>
    <row r="172" spans="1:13">
      <c r="B172" s="144" t="str">
        <f>B163</f>
        <v>Total</v>
      </c>
      <c r="C172" s="159">
        <f t="shared" ref="C172:I172" si="20">SUM(C169:C171)</f>
        <v>0</v>
      </c>
      <c r="D172" s="160">
        <f t="shared" si="20"/>
        <v>0</v>
      </c>
      <c r="E172" s="160">
        <f t="shared" si="20"/>
        <v>0</v>
      </c>
      <c r="F172" s="160">
        <f t="shared" si="20"/>
        <v>0</v>
      </c>
      <c r="G172" s="160">
        <f t="shared" si="20"/>
        <v>0</v>
      </c>
      <c r="H172" s="160">
        <f t="shared" si="20"/>
        <v>0</v>
      </c>
      <c r="I172" s="160">
        <f t="shared" si="20"/>
        <v>0</v>
      </c>
      <c r="J172" s="160">
        <f>SUM(J169:J171)</f>
        <v>0</v>
      </c>
      <c r="K172" s="160">
        <f>SUM(K169:K171)</f>
        <v>0</v>
      </c>
      <c r="L172" s="160">
        <f>SUM(L169:L171)</f>
        <v>0</v>
      </c>
      <c r="M172" s="160">
        <f t="shared" ref="M172" si="21">SUM(M169:M171)</f>
        <v>0</v>
      </c>
    </row>
    <row r="173" spans="1:13">
      <c r="B173" s="177" t="s">
        <v>86</v>
      </c>
      <c r="C173" s="178"/>
      <c r="D173" s="178"/>
      <c r="E173" s="178"/>
      <c r="F173" s="178" t="e">
        <f t="shared" ref="F173:L173" si="22">F172/E172-1</f>
        <v>#DIV/0!</v>
      </c>
      <c r="G173" s="178" t="e">
        <f t="shared" si="22"/>
        <v>#DIV/0!</v>
      </c>
      <c r="H173" s="178" t="e">
        <f t="shared" si="22"/>
        <v>#DIV/0!</v>
      </c>
      <c r="I173" s="178" t="e">
        <f t="shared" si="22"/>
        <v>#DIV/0!</v>
      </c>
      <c r="J173" s="178" t="e">
        <f t="shared" si="22"/>
        <v>#DIV/0!</v>
      </c>
      <c r="K173" s="178" t="e">
        <f t="shared" si="22"/>
        <v>#DIV/0!</v>
      </c>
      <c r="L173" s="178" t="e">
        <f t="shared" si="22"/>
        <v>#DIV/0!</v>
      </c>
      <c r="M173" s="178" t="e">
        <f t="shared" ref="M173" si="23">M172/L172-1</f>
        <v>#DIV/0!</v>
      </c>
    </row>
    <row r="174" spans="1:13" ht="14.4">
      <c r="B174" s="16"/>
      <c r="C174" s="324"/>
      <c r="D174" s="324"/>
      <c r="E174" s="324"/>
      <c r="F174" s="324"/>
      <c r="G174" s="324"/>
      <c r="H174" s="324"/>
      <c r="I174" s="324"/>
      <c r="J174" s="324"/>
      <c r="K174" s="324"/>
      <c r="L174" s="324"/>
      <c r="M174" s="324"/>
    </row>
    <row r="177" spans="1:7" ht="21">
      <c r="B177" s="437" t="s">
        <v>115</v>
      </c>
    </row>
    <row r="179" spans="1:7">
      <c r="A179" s="50"/>
      <c r="B179" s="50"/>
      <c r="C179" s="50"/>
      <c r="D179" s="50"/>
      <c r="E179" s="50"/>
      <c r="F179" s="50"/>
      <c r="G179" s="50"/>
    </row>
    <row r="180" spans="1:7">
      <c r="A180" s="50"/>
      <c r="B180" s="50"/>
      <c r="C180" s="50"/>
      <c r="D180" s="50"/>
      <c r="E180" s="50"/>
      <c r="F180" s="50"/>
      <c r="G180" s="50"/>
    </row>
    <row r="181" spans="1:7">
      <c r="A181" s="50"/>
      <c r="B181" s="50"/>
      <c r="C181" s="50"/>
      <c r="D181" s="50"/>
      <c r="E181" s="50"/>
      <c r="F181" s="50"/>
      <c r="G181" s="50"/>
    </row>
    <row r="182" spans="1:7">
      <c r="A182" s="50"/>
      <c r="B182" s="50"/>
      <c r="C182" s="50"/>
      <c r="D182" s="50"/>
      <c r="E182" s="50"/>
      <c r="F182" s="50"/>
      <c r="G182" s="50"/>
    </row>
    <row r="183" spans="1:7">
      <c r="A183" s="50"/>
      <c r="B183" s="50"/>
      <c r="C183" s="50"/>
      <c r="D183" s="50"/>
      <c r="E183" s="50"/>
      <c r="F183" s="50"/>
      <c r="G183" s="50"/>
    </row>
    <row r="184" spans="1:7">
      <c r="A184" s="50"/>
      <c r="B184" s="50"/>
      <c r="C184" s="50"/>
      <c r="D184" s="50"/>
      <c r="E184" s="50"/>
      <c r="F184" s="50"/>
      <c r="G184" s="50"/>
    </row>
    <row r="185" spans="1:7">
      <c r="A185" s="50"/>
      <c r="B185" s="50"/>
      <c r="C185" s="50"/>
      <c r="D185" s="50"/>
      <c r="E185" s="50"/>
      <c r="F185" s="50"/>
      <c r="G185" s="50"/>
    </row>
    <row r="186" spans="1:7">
      <c r="A186" s="50"/>
      <c r="B186" s="50"/>
      <c r="C186" s="50"/>
      <c r="D186" s="50"/>
      <c r="E186" s="50"/>
      <c r="F186" s="50"/>
      <c r="G186" s="50"/>
    </row>
    <row r="187" spans="1:7">
      <c r="A187" s="50"/>
      <c r="B187" s="50"/>
      <c r="C187" s="50"/>
      <c r="D187" s="50"/>
      <c r="E187" s="50"/>
      <c r="F187" s="50"/>
      <c r="G187" s="50"/>
    </row>
    <row r="188" spans="1:7">
      <c r="A188" s="50"/>
      <c r="B188" s="50"/>
      <c r="C188" s="50"/>
      <c r="D188" s="50"/>
      <c r="E188" s="50"/>
      <c r="F188" s="50"/>
      <c r="G188" s="50"/>
    </row>
    <row r="189" spans="1:7">
      <c r="A189" s="50"/>
      <c r="B189" s="50"/>
      <c r="C189" s="50"/>
      <c r="D189" s="50"/>
      <c r="E189" s="50"/>
      <c r="F189" s="50"/>
      <c r="G189" s="50"/>
    </row>
    <row r="190" spans="1:7">
      <c r="A190" s="50"/>
      <c r="B190" s="50"/>
      <c r="C190" s="50"/>
      <c r="D190" s="50"/>
      <c r="E190" s="50"/>
      <c r="F190" s="50"/>
      <c r="G190" s="50"/>
    </row>
    <row r="191" spans="1:7">
      <c r="A191" s="50"/>
      <c r="B191" s="50"/>
      <c r="C191" s="50"/>
      <c r="D191" s="50"/>
      <c r="E191" s="50"/>
      <c r="F191" s="50"/>
      <c r="G191" s="50"/>
    </row>
    <row r="192" spans="1:7">
      <c r="A192" s="50"/>
      <c r="B192" s="50"/>
      <c r="C192" s="50"/>
      <c r="D192" s="50"/>
      <c r="E192" s="50"/>
      <c r="F192" s="50"/>
      <c r="G192" s="50"/>
    </row>
    <row r="193" spans="1:13">
      <c r="A193" s="50"/>
      <c r="B193" s="50"/>
      <c r="C193" s="50"/>
      <c r="D193" s="50"/>
      <c r="E193" s="50"/>
      <c r="F193" s="50"/>
      <c r="G193" s="50"/>
    </row>
    <row r="194" spans="1:13">
      <c r="A194" s="50"/>
      <c r="B194" s="50"/>
      <c r="C194" s="50"/>
      <c r="D194" s="50"/>
      <c r="E194" s="50"/>
      <c r="F194" s="50"/>
      <c r="G194" s="50"/>
    </row>
    <row r="195" spans="1:13">
      <c r="A195" s="50"/>
      <c r="B195" s="50"/>
      <c r="C195" s="50"/>
      <c r="D195" s="50"/>
      <c r="E195" s="50"/>
      <c r="F195" s="50"/>
      <c r="G195" s="50"/>
    </row>
    <row r="196" spans="1:13">
      <c r="A196" s="50"/>
      <c r="B196" s="50"/>
      <c r="C196" s="50"/>
      <c r="D196" s="50"/>
      <c r="E196" s="50"/>
      <c r="F196" s="50"/>
      <c r="G196" s="50"/>
    </row>
    <row r="197" spans="1:13">
      <c r="A197" s="50"/>
      <c r="B197" s="50"/>
      <c r="C197" s="50"/>
      <c r="D197" s="50"/>
      <c r="E197" s="50"/>
      <c r="F197" s="50"/>
      <c r="G197" s="50"/>
    </row>
    <row r="198" spans="1:13">
      <c r="A198" s="50"/>
      <c r="B198" s="50"/>
      <c r="C198" s="50"/>
      <c r="D198" s="50"/>
      <c r="E198" s="50"/>
      <c r="F198" s="50"/>
      <c r="G198" s="50"/>
    </row>
    <row r="199" spans="1:13">
      <c r="A199" s="50"/>
      <c r="C199" s="50"/>
      <c r="D199" s="50"/>
      <c r="E199" s="50"/>
      <c r="F199" s="50"/>
      <c r="G199" s="50"/>
    </row>
    <row r="200" spans="1:13" ht="21">
      <c r="A200" s="50"/>
      <c r="B200" s="17" t="s">
        <v>100</v>
      </c>
      <c r="C200" s="50"/>
      <c r="D200" s="50"/>
      <c r="E200" s="50"/>
      <c r="F200" s="50"/>
      <c r="G200" s="50"/>
    </row>
    <row r="201" spans="1:13">
      <c r="C201" s="142">
        <v>2016</v>
      </c>
      <c r="D201" s="143">
        <v>2017</v>
      </c>
      <c r="E201" s="143">
        <v>2018</v>
      </c>
      <c r="F201" s="143">
        <v>2019</v>
      </c>
      <c r="G201" s="143">
        <v>2020</v>
      </c>
      <c r="H201" s="143">
        <v>2021</v>
      </c>
      <c r="I201" s="143">
        <v>2022</v>
      </c>
      <c r="J201" s="143">
        <v>2023</v>
      </c>
      <c r="K201" s="143">
        <v>2024</v>
      </c>
      <c r="L201" s="143">
        <v>2025</v>
      </c>
      <c r="M201" s="143">
        <v>2026</v>
      </c>
    </row>
    <row r="202" spans="1:13">
      <c r="B202" s="207" t="s">
        <v>92</v>
      </c>
      <c r="C202" s="140">
        <f>SUM(Telecom!E66:E70)</f>
        <v>0</v>
      </c>
      <c r="D202" s="141">
        <f>SUM(Telecom!F66:F70)</f>
        <v>82</v>
      </c>
      <c r="E202" s="141">
        <f>SUM(Telecom!G66:G70)</f>
        <v>0</v>
      </c>
      <c r="F202" s="141">
        <f>SUM(Telecom!H66:H70)</f>
        <v>0</v>
      </c>
      <c r="G202" s="141">
        <f>SUM(Telecom!I66:I70)</f>
        <v>0</v>
      </c>
      <c r="H202" s="141">
        <f>SUM(Telecom!J66:J70)</f>
        <v>0</v>
      </c>
      <c r="I202" s="141">
        <f>SUM(Telecom!K66:K70)</f>
        <v>0</v>
      </c>
      <c r="J202" s="141">
        <f>SUM(Telecom!L66:L70)</f>
        <v>0</v>
      </c>
      <c r="K202" s="141">
        <f>SUM(Telecom!M66:M70)</f>
        <v>0</v>
      </c>
      <c r="L202" s="141">
        <f>SUM(Telecom!N66:N70)</f>
        <v>0</v>
      </c>
      <c r="M202" s="141">
        <f>SUM(Telecom!O66:O70)</f>
        <v>0</v>
      </c>
    </row>
    <row r="203" spans="1:13">
      <c r="B203" s="289" t="s">
        <v>134</v>
      </c>
      <c r="C203" s="138">
        <f>SUM(Cloud!E66:E70)</f>
        <v>0</v>
      </c>
      <c r="D203" s="139">
        <f>SUM(Cloud!F66:F70)</f>
        <v>0</v>
      </c>
      <c r="E203" s="139">
        <f>SUM(Cloud!G66:G70)</f>
        <v>0</v>
      </c>
      <c r="F203" s="139">
        <f>SUM(Cloud!H66:H70)</f>
        <v>0</v>
      </c>
      <c r="G203" s="139">
        <f>SUM(Cloud!I66:I70)</f>
        <v>0</v>
      </c>
      <c r="H203" s="139">
        <f>SUM(Cloud!J66:J70)</f>
        <v>0</v>
      </c>
      <c r="I203" s="139">
        <f>SUM(Cloud!K66:K70)</f>
        <v>0</v>
      </c>
      <c r="J203" s="139">
        <f>SUM(Cloud!L66:L70)</f>
        <v>0</v>
      </c>
      <c r="K203" s="139">
        <f>SUM(Cloud!M66:M70)</f>
        <v>0</v>
      </c>
      <c r="L203" s="139">
        <f>SUM(Cloud!N66:N70)</f>
        <v>0</v>
      </c>
      <c r="M203" s="139">
        <f>SUM(Cloud!O66:O70)</f>
        <v>0</v>
      </c>
    </row>
    <row r="204" spans="1:13" ht="13.5" customHeight="1">
      <c r="B204" s="374" t="s">
        <v>107</v>
      </c>
      <c r="C204" s="212">
        <f>SUM(Enterprise!E66:E70)</f>
        <v>0</v>
      </c>
      <c r="D204" s="213">
        <f>SUM(Enterprise!F66:F70)</f>
        <v>0</v>
      </c>
      <c r="E204" s="213">
        <f>SUM(Enterprise!G66:G70)</f>
        <v>0</v>
      </c>
      <c r="F204" s="213">
        <f>SUM(Enterprise!H66:H70)</f>
        <v>0</v>
      </c>
      <c r="G204" s="213">
        <f>SUM(Enterprise!I66:I70)</f>
        <v>0</v>
      </c>
      <c r="H204" s="213">
        <f>SUM(Enterprise!J66:J70)</f>
        <v>0</v>
      </c>
      <c r="I204" s="213">
        <f>SUM(Enterprise!K66:K70)</f>
        <v>0</v>
      </c>
      <c r="J204" s="213">
        <f>SUM(Enterprise!L66:L70)</f>
        <v>0</v>
      </c>
      <c r="K204" s="213">
        <f>SUM(Enterprise!M66:M70)</f>
        <v>0</v>
      </c>
      <c r="L204" s="213">
        <f>SUM(Enterprise!N66:N70)</f>
        <v>0</v>
      </c>
      <c r="M204" s="213">
        <f>SUM(Enterprise!O66:O70)</f>
        <v>0</v>
      </c>
    </row>
    <row r="205" spans="1:13">
      <c r="B205" s="144" t="s">
        <v>13</v>
      </c>
      <c r="C205" s="157">
        <f t="shared" ref="C205:I205" si="24">SUM(C202:C204)</f>
        <v>0</v>
      </c>
      <c r="D205" s="158">
        <f t="shared" si="24"/>
        <v>82</v>
      </c>
      <c r="E205" s="158">
        <f t="shared" si="24"/>
        <v>0</v>
      </c>
      <c r="F205" s="158">
        <f t="shared" si="24"/>
        <v>0</v>
      </c>
      <c r="G205" s="158">
        <f t="shared" si="24"/>
        <v>0</v>
      </c>
      <c r="H205" s="158">
        <f t="shared" si="24"/>
        <v>0</v>
      </c>
      <c r="I205" s="158">
        <f t="shared" si="24"/>
        <v>0</v>
      </c>
      <c r="J205" s="158">
        <f>SUM(J202:J204)</f>
        <v>0</v>
      </c>
      <c r="K205" s="158">
        <f>SUM(K202:K204)</f>
        <v>0</v>
      </c>
      <c r="L205" s="158">
        <f>SUM(L202:L204)</f>
        <v>0</v>
      </c>
      <c r="M205" s="158">
        <f t="shared" ref="M205" si="25">SUM(M202:M204)</f>
        <v>0</v>
      </c>
    </row>
    <row r="206" spans="1:13">
      <c r="B206" s="177" t="s">
        <v>86</v>
      </c>
      <c r="C206" s="178"/>
      <c r="D206" s="178"/>
      <c r="E206" s="178"/>
      <c r="F206" s="178" t="e">
        <f t="shared" ref="F206:L206" si="26">F205/E205-1</f>
        <v>#DIV/0!</v>
      </c>
      <c r="G206" s="178" t="e">
        <f t="shared" si="26"/>
        <v>#DIV/0!</v>
      </c>
      <c r="H206" s="178" t="e">
        <f t="shared" si="26"/>
        <v>#DIV/0!</v>
      </c>
      <c r="I206" s="178" t="e">
        <f t="shared" si="26"/>
        <v>#DIV/0!</v>
      </c>
      <c r="J206" s="178" t="e">
        <f t="shared" si="26"/>
        <v>#DIV/0!</v>
      </c>
      <c r="K206" s="178" t="e">
        <f t="shared" si="26"/>
        <v>#DIV/0!</v>
      </c>
      <c r="L206" s="178" t="e">
        <f t="shared" si="26"/>
        <v>#DIV/0!</v>
      </c>
      <c r="M206" s="178" t="e">
        <f t="shared" ref="M206" si="27">M205/L205-1</f>
        <v>#DIV/0!</v>
      </c>
    </row>
    <row r="207" spans="1:13" ht="14.4">
      <c r="B207" s="16"/>
      <c r="C207" s="73"/>
      <c r="D207" s="73"/>
      <c r="E207" s="73"/>
      <c r="F207" s="73"/>
      <c r="G207" s="73"/>
      <c r="H207" s="73"/>
      <c r="I207" s="73"/>
      <c r="J207" s="73"/>
      <c r="K207" s="73"/>
      <c r="L207" s="73"/>
      <c r="M207" s="73"/>
    </row>
    <row r="209" spans="1:13" ht="21">
      <c r="A209" s="50"/>
      <c r="B209" s="17" t="s">
        <v>101</v>
      </c>
    </row>
    <row r="210" spans="1:13">
      <c r="C210" s="142">
        <v>2016</v>
      </c>
      <c r="D210" s="143">
        <v>2017</v>
      </c>
      <c r="E210" s="143">
        <v>2018</v>
      </c>
      <c r="F210" s="143">
        <v>2019</v>
      </c>
      <c r="G210" s="143">
        <v>2020</v>
      </c>
      <c r="H210" s="143">
        <v>2021</v>
      </c>
      <c r="I210" s="143">
        <v>2022</v>
      </c>
      <c r="J210" s="143">
        <v>2023</v>
      </c>
      <c r="K210" s="143">
        <v>2024</v>
      </c>
      <c r="L210" s="143">
        <v>2025</v>
      </c>
      <c r="M210" s="143">
        <v>2026</v>
      </c>
    </row>
    <row r="211" spans="1:13">
      <c r="B211" s="207" t="str">
        <f>B202</f>
        <v>Telecom</v>
      </c>
      <c r="C211" s="140">
        <f>SUM(Telecom!E236:E240)</f>
        <v>0</v>
      </c>
      <c r="D211" s="141">
        <f>SUM(Telecom!F236:F240)</f>
        <v>1.2669999999999999</v>
      </c>
      <c r="E211" s="141">
        <f>SUM(Telecom!G236:G240)</f>
        <v>0</v>
      </c>
      <c r="F211" s="141">
        <f>SUM(Telecom!H236:H240)</f>
        <v>0</v>
      </c>
      <c r="G211" s="141">
        <f>SUM(Telecom!I236:I240)</f>
        <v>0</v>
      </c>
      <c r="H211" s="141">
        <f>SUM(Telecom!J236:J240)</f>
        <v>0</v>
      </c>
      <c r="I211" s="141">
        <f>SUM(Telecom!K236:K240)</f>
        <v>0</v>
      </c>
      <c r="J211" s="141">
        <f>SUM(Telecom!L236:L240)</f>
        <v>0</v>
      </c>
      <c r="K211" s="141">
        <f>SUM(Telecom!M236:M240)</f>
        <v>0</v>
      </c>
      <c r="L211" s="141">
        <f>SUM(Telecom!N236:N240)</f>
        <v>0</v>
      </c>
      <c r="M211" s="141">
        <f>SUM(Telecom!O236:O240)</f>
        <v>0</v>
      </c>
    </row>
    <row r="212" spans="1:13">
      <c r="B212" s="435" t="str">
        <f>B203</f>
        <v>Cloud</v>
      </c>
      <c r="C212" s="138">
        <f>SUM(Cloud!E236:E240)</f>
        <v>0</v>
      </c>
      <c r="D212" s="139">
        <f>SUM(Cloud!F236:F240)</f>
        <v>0</v>
      </c>
      <c r="E212" s="139">
        <f>SUM(Cloud!G236:G240)</f>
        <v>0</v>
      </c>
      <c r="F212" s="139">
        <f>SUM(Cloud!H236:H240)</f>
        <v>0</v>
      </c>
      <c r="G212" s="139">
        <f>SUM(Cloud!I236:I240)</f>
        <v>0</v>
      </c>
      <c r="H212" s="139">
        <f>SUM(Cloud!J236:J240)</f>
        <v>0</v>
      </c>
      <c r="I212" s="139">
        <f>SUM(Cloud!K236:K240)</f>
        <v>0</v>
      </c>
      <c r="J212" s="139">
        <f>SUM(Cloud!L236:L240)</f>
        <v>0</v>
      </c>
      <c r="K212" s="139">
        <f>SUM(Cloud!M236:M240)</f>
        <v>0</v>
      </c>
      <c r="L212" s="139">
        <f>SUM(Cloud!N236:N240)</f>
        <v>0</v>
      </c>
      <c r="M212" s="139">
        <f>SUM(Cloud!O236:O240)</f>
        <v>0</v>
      </c>
    </row>
    <row r="213" spans="1:13">
      <c r="B213" s="208" t="str">
        <f>B204</f>
        <v>Enterprise</v>
      </c>
      <c r="C213" s="212">
        <f>SUM(Enterprise!E236:E240)</f>
        <v>0</v>
      </c>
      <c r="D213" s="213">
        <f>SUM(Enterprise!F236:F240)</f>
        <v>0</v>
      </c>
      <c r="E213" s="213">
        <f>SUM(Enterprise!G236:G240)</f>
        <v>0</v>
      </c>
      <c r="F213" s="213">
        <f>SUM(Enterprise!H236:H240)</f>
        <v>0</v>
      </c>
      <c r="G213" s="213">
        <f>SUM(Enterprise!I236:I240)</f>
        <v>0</v>
      </c>
      <c r="H213" s="213">
        <f>SUM(Enterprise!J236:J240)</f>
        <v>0</v>
      </c>
      <c r="I213" s="213">
        <f>SUM(Enterprise!K236:K240)</f>
        <v>0</v>
      </c>
      <c r="J213" s="213">
        <f>SUM(Enterprise!L236:L240)</f>
        <v>0</v>
      </c>
      <c r="K213" s="213">
        <f>SUM(Enterprise!M236:M240)</f>
        <v>0</v>
      </c>
      <c r="L213" s="213">
        <f>SUM(Enterprise!N236:N240)</f>
        <v>0</v>
      </c>
      <c r="M213" s="213">
        <f>SUM(Enterprise!O236:O240)</f>
        <v>0</v>
      </c>
    </row>
    <row r="214" spans="1:13">
      <c r="B214" s="144" t="str">
        <f>B205</f>
        <v>Total</v>
      </c>
      <c r="C214" s="159">
        <f t="shared" ref="C214:L214" si="28">SUM(C211:C213)</f>
        <v>0</v>
      </c>
      <c r="D214" s="160">
        <f t="shared" si="28"/>
        <v>1.2669999999999999</v>
      </c>
      <c r="E214" s="160">
        <f t="shared" si="28"/>
        <v>0</v>
      </c>
      <c r="F214" s="160">
        <f t="shared" si="28"/>
        <v>0</v>
      </c>
      <c r="G214" s="160">
        <f t="shared" si="28"/>
        <v>0</v>
      </c>
      <c r="H214" s="160">
        <f t="shared" si="28"/>
        <v>0</v>
      </c>
      <c r="I214" s="160">
        <f t="shared" si="28"/>
        <v>0</v>
      </c>
      <c r="J214" s="160">
        <f t="shared" si="28"/>
        <v>0</v>
      </c>
      <c r="K214" s="160">
        <f t="shared" si="28"/>
        <v>0</v>
      </c>
      <c r="L214" s="160">
        <f t="shared" si="28"/>
        <v>0</v>
      </c>
      <c r="M214" s="160">
        <f t="shared" ref="M214" si="29">SUM(M211:M213)</f>
        <v>0</v>
      </c>
    </row>
    <row r="215" spans="1:13">
      <c r="B215" s="177" t="s">
        <v>86</v>
      </c>
      <c r="C215" s="178"/>
      <c r="D215" s="178"/>
      <c r="E215" s="178"/>
      <c r="F215" s="178" t="e">
        <f t="shared" ref="F215:L215" si="30">F214/E214-1</f>
        <v>#DIV/0!</v>
      </c>
      <c r="G215" s="178" t="e">
        <f t="shared" si="30"/>
        <v>#DIV/0!</v>
      </c>
      <c r="H215" s="178" t="e">
        <f t="shared" si="30"/>
        <v>#DIV/0!</v>
      </c>
      <c r="I215" s="178" t="e">
        <f t="shared" si="30"/>
        <v>#DIV/0!</v>
      </c>
      <c r="J215" s="178" t="e">
        <f t="shared" si="30"/>
        <v>#DIV/0!</v>
      </c>
      <c r="K215" s="178" t="e">
        <f t="shared" si="30"/>
        <v>#DIV/0!</v>
      </c>
      <c r="L215" s="178" t="e">
        <f t="shared" si="30"/>
        <v>#DIV/0!</v>
      </c>
      <c r="M215" s="178" t="e">
        <f t="shared" ref="M215" si="31">M214/L214-1</f>
        <v>#DIV/0!</v>
      </c>
    </row>
    <row r="216" spans="1:13" ht="14.4">
      <c r="B216" s="16"/>
      <c r="C216" s="324"/>
      <c r="D216" s="324"/>
      <c r="E216" s="324"/>
      <c r="F216" s="324"/>
      <c r="G216" s="324"/>
      <c r="H216" s="324"/>
      <c r="I216" s="324"/>
      <c r="J216" s="324"/>
      <c r="K216" s="324"/>
      <c r="L216" s="324"/>
      <c r="M216" s="324"/>
    </row>
    <row r="220" spans="1:13" ht="21">
      <c r="B220" s="17" t="s">
        <v>105</v>
      </c>
    </row>
    <row r="222" spans="1:13">
      <c r="A222" s="50"/>
      <c r="B222" s="50"/>
      <c r="C222" s="50"/>
      <c r="D222" s="50"/>
      <c r="E222" s="50"/>
      <c r="F222" s="50"/>
      <c r="G222" s="50"/>
    </row>
    <row r="223" spans="1:13">
      <c r="A223" s="50"/>
      <c r="B223" s="50"/>
      <c r="C223" s="50"/>
      <c r="D223" s="50"/>
      <c r="E223" s="50"/>
      <c r="F223" s="50"/>
      <c r="G223" s="50"/>
    </row>
    <row r="224" spans="1:13">
      <c r="A224" s="50"/>
      <c r="B224" s="50"/>
      <c r="C224" s="50"/>
      <c r="D224" s="50"/>
      <c r="E224" s="50"/>
      <c r="F224" s="50"/>
      <c r="G224" s="50"/>
    </row>
    <row r="225" spans="1:7">
      <c r="A225" s="50"/>
      <c r="B225" s="50"/>
      <c r="C225" s="50"/>
      <c r="D225" s="50"/>
      <c r="E225" s="50"/>
      <c r="F225" s="50"/>
      <c r="G225" s="50"/>
    </row>
    <row r="226" spans="1:7">
      <c r="A226" s="50"/>
      <c r="B226" s="50"/>
      <c r="C226" s="50"/>
      <c r="D226" s="50"/>
      <c r="E226" s="50"/>
      <c r="F226" s="50"/>
      <c r="G226" s="50"/>
    </row>
    <row r="227" spans="1:7">
      <c r="A227" s="50"/>
      <c r="B227" s="50"/>
      <c r="C227" s="50"/>
      <c r="D227" s="50"/>
      <c r="E227" s="50"/>
      <c r="F227" s="50"/>
      <c r="G227" s="50"/>
    </row>
    <row r="228" spans="1:7">
      <c r="A228" s="50"/>
      <c r="B228" s="50"/>
      <c r="C228" s="50"/>
      <c r="D228" s="50"/>
      <c r="E228" s="50"/>
      <c r="F228" s="50"/>
      <c r="G228" s="50"/>
    </row>
    <row r="229" spans="1:7">
      <c r="A229" s="50"/>
      <c r="B229" s="50"/>
      <c r="C229" s="50"/>
      <c r="D229" s="50"/>
      <c r="E229" s="50"/>
      <c r="F229" s="50"/>
      <c r="G229" s="50"/>
    </row>
    <row r="230" spans="1:7">
      <c r="A230" s="50"/>
      <c r="B230" s="50"/>
      <c r="C230" s="50"/>
      <c r="D230" s="50"/>
      <c r="E230" s="50"/>
      <c r="F230" s="50"/>
      <c r="G230" s="50"/>
    </row>
    <row r="231" spans="1:7">
      <c r="A231" s="50"/>
      <c r="B231" s="50"/>
      <c r="C231" s="50"/>
      <c r="D231" s="50"/>
      <c r="E231" s="50"/>
      <c r="F231" s="50"/>
      <c r="G231" s="50"/>
    </row>
    <row r="232" spans="1:7">
      <c r="A232" s="50"/>
      <c r="B232" s="50"/>
      <c r="C232" s="50"/>
      <c r="D232" s="50"/>
      <c r="E232" s="50"/>
      <c r="F232" s="50"/>
      <c r="G232" s="50"/>
    </row>
    <row r="233" spans="1:7">
      <c r="A233" s="50"/>
      <c r="B233" s="50"/>
      <c r="C233" s="50"/>
      <c r="D233" s="50"/>
      <c r="E233" s="50"/>
      <c r="F233" s="50"/>
      <c r="G233" s="50"/>
    </row>
    <row r="234" spans="1:7">
      <c r="A234" s="50"/>
      <c r="B234" s="50"/>
      <c r="C234" s="50"/>
      <c r="D234" s="50"/>
      <c r="E234" s="50"/>
      <c r="F234" s="50"/>
      <c r="G234" s="50"/>
    </row>
    <row r="235" spans="1:7">
      <c r="A235" s="50"/>
      <c r="B235" s="50"/>
      <c r="C235" s="50"/>
      <c r="D235" s="50"/>
      <c r="E235" s="50"/>
      <c r="F235" s="50"/>
      <c r="G235" s="50"/>
    </row>
    <row r="236" spans="1:7">
      <c r="A236" s="50"/>
      <c r="B236" s="50"/>
      <c r="C236" s="50"/>
      <c r="D236" s="50"/>
      <c r="E236" s="50"/>
      <c r="F236" s="50"/>
      <c r="G236" s="50"/>
    </row>
    <row r="237" spans="1:7">
      <c r="A237" s="50"/>
      <c r="B237" s="50"/>
      <c r="C237" s="50"/>
      <c r="D237" s="50"/>
      <c r="E237" s="50"/>
      <c r="F237" s="50"/>
      <c r="G237" s="50"/>
    </row>
    <row r="238" spans="1:7">
      <c r="A238" s="50"/>
      <c r="B238" s="50"/>
      <c r="C238" s="50"/>
      <c r="D238" s="50"/>
      <c r="E238" s="50"/>
      <c r="F238" s="50"/>
      <c r="G238" s="50"/>
    </row>
    <row r="239" spans="1:7">
      <c r="A239" s="50"/>
      <c r="B239" s="50"/>
      <c r="C239" s="50"/>
      <c r="D239" s="50"/>
      <c r="E239" s="50"/>
      <c r="F239" s="50"/>
      <c r="G239" s="50"/>
    </row>
    <row r="240" spans="1:7">
      <c r="A240" s="50"/>
      <c r="B240" s="50"/>
      <c r="C240" s="50"/>
      <c r="D240" s="50"/>
      <c r="E240" s="50"/>
      <c r="F240" s="50"/>
      <c r="G240" s="50"/>
    </row>
    <row r="241" spans="1:14">
      <c r="A241" s="50"/>
      <c r="B241" s="50"/>
      <c r="C241" s="50"/>
      <c r="D241" s="50"/>
      <c r="E241" s="50"/>
      <c r="F241" s="50"/>
      <c r="G241" s="50"/>
    </row>
    <row r="242" spans="1:14">
      <c r="A242" s="50"/>
      <c r="C242" s="50"/>
      <c r="D242" s="50"/>
      <c r="E242" s="50"/>
      <c r="F242" s="50"/>
      <c r="G242" s="50"/>
    </row>
    <row r="243" spans="1:14" ht="21">
      <c r="A243" s="50"/>
      <c r="B243" s="17" t="s">
        <v>22</v>
      </c>
      <c r="C243" s="50"/>
      <c r="D243" s="50"/>
      <c r="E243" s="50"/>
      <c r="F243" s="50"/>
      <c r="G243" s="50"/>
    </row>
    <row r="244" spans="1:14">
      <c r="C244" s="200">
        <v>2016</v>
      </c>
      <c r="D244" s="201">
        <v>2017</v>
      </c>
      <c r="E244" s="201">
        <v>2018</v>
      </c>
      <c r="F244" s="201">
        <v>2019</v>
      </c>
      <c r="G244" s="201">
        <v>2020</v>
      </c>
      <c r="H244" s="201">
        <v>2021</v>
      </c>
      <c r="I244" s="201">
        <v>2022</v>
      </c>
      <c r="J244" s="201">
        <v>2023</v>
      </c>
      <c r="K244" s="201">
        <v>2024</v>
      </c>
      <c r="L244" s="201">
        <v>2025</v>
      </c>
      <c r="M244" s="201">
        <v>2026</v>
      </c>
    </row>
    <row r="245" spans="1:14">
      <c r="B245" s="207" t="s">
        <v>98</v>
      </c>
      <c r="C245" s="139">
        <v>17803446.030000001</v>
      </c>
      <c r="D245" s="139">
        <v>19708933</v>
      </c>
      <c r="E245" s="139"/>
      <c r="F245" s="139"/>
      <c r="G245" s="139"/>
      <c r="H245" s="139"/>
      <c r="I245" s="139"/>
      <c r="J245" s="139"/>
      <c r="K245" s="139"/>
      <c r="L245" s="139"/>
      <c r="M245" s="139"/>
    </row>
    <row r="246" spans="1:14">
      <c r="B246" s="208" t="s">
        <v>99</v>
      </c>
      <c r="C246" s="213">
        <v>18629968.005000003</v>
      </c>
      <c r="D246" s="213">
        <v>18393179.149999999</v>
      </c>
      <c r="E246" s="213"/>
      <c r="F246" s="213"/>
      <c r="G246" s="213"/>
      <c r="H246" s="213"/>
      <c r="I246" s="213"/>
      <c r="J246" s="213"/>
      <c r="K246" s="213"/>
      <c r="L246" s="213"/>
      <c r="M246" s="213"/>
    </row>
    <row r="247" spans="1:14">
      <c r="B247" s="144" t="s">
        <v>13</v>
      </c>
      <c r="C247" s="157">
        <f t="shared" ref="C247:D247" si="32">SUM(C245:C246)</f>
        <v>36433414.035000004</v>
      </c>
      <c r="D247" s="213">
        <f t="shared" si="32"/>
        <v>38102112.149999999</v>
      </c>
      <c r="E247" s="213"/>
      <c r="F247" s="213"/>
      <c r="G247" s="213"/>
      <c r="H247" s="213"/>
      <c r="I247" s="213"/>
      <c r="J247" s="213"/>
      <c r="K247" s="213"/>
      <c r="L247" s="213"/>
      <c r="M247" s="213"/>
    </row>
    <row r="248" spans="1:14">
      <c r="B248" s="177" t="s">
        <v>86</v>
      </c>
      <c r="C248" s="178"/>
      <c r="D248" s="178">
        <f t="shared" ref="D248:L248" si="33">D247/C247-1</f>
        <v>4.5801310670390283E-2</v>
      </c>
      <c r="E248" s="178">
        <f t="shared" si="33"/>
        <v>-1</v>
      </c>
      <c r="F248" s="178" t="e">
        <f t="shared" si="33"/>
        <v>#DIV/0!</v>
      </c>
      <c r="G248" s="178" t="e">
        <f t="shared" si="33"/>
        <v>#DIV/0!</v>
      </c>
      <c r="H248" s="178" t="e">
        <f t="shared" si="33"/>
        <v>#DIV/0!</v>
      </c>
      <c r="I248" s="178" t="e">
        <f t="shared" si="33"/>
        <v>#DIV/0!</v>
      </c>
      <c r="J248" s="178" t="e">
        <f t="shared" si="33"/>
        <v>#DIV/0!</v>
      </c>
      <c r="K248" s="178" t="e">
        <f t="shared" si="33"/>
        <v>#DIV/0!</v>
      </c>
      <c r="L248" s="178" t="e">
        <f t="shared" si="33"/>
        <v>#DIV/0!</v>
      </c>
      <c r="M248" s="178" t="e">
        <f t="shared" ref="M248" si="34">M247/L247-1</f>
        <v>#DIV/0!</v>
      </c>
    </row>
    <row r="249" spans="1:14" ht="14.4">
      <c r="B249" s="16"/>
      <c r="C249" s="73"/>
      <c r="D249" s="73"/>
      <c r="E249" s="73"/>
      <c r="F249" s="73"/>
      <c r="G249" s="73"/>
      <c r="H249" s="73"/>
      <c r="I249" s="73"/>
      <c r="J249" s="73"/>
      <c r="K249" s="73"/>
      <c r="L249" s="73"/>
      <c r="M249" s="73"/>
    </row>
    <row r="251" spans="1:14" ht="21">
      <c r="A251" s="50"/>
      <c r="B251" s="17" t="s">
        <v>15</v>
      </c>
    </row>
    <row r="252" spans="1:14">
      <c r="C252" s="200">
        <v>2016</v>
      </c>
      <c r="D252" s="201">
        <v>2017</v>
      </c>
      <c r="E252" s="201">
        <v>2018</v>
      </c>
      <c r="F252" s="201">
        <v>2019</v>
      </c>
      <c r="G252" s="201">
        <v>2020</v>
      </c>
      <c r="H252" s="201">
        <v>2021</v>
      </c>
      <c r="I252" s="201">
        <v>2022</v>
      </c>
      <c r="J252" s="201">
        <v>2023</v>
      </c>
      <c r="K252" s="201">
        <v>2024</v>
      </c>
      <c r="L252" s="201">
        <v>2025</v>
      </c>
      <c r="M252" s="201">
        <v>2026</v>
      </c>
    </row>
    <row r="253" spans="1:14">
      <c r="B253" s="197" t="str">
        <f>B245</f>
        <v>MMF</v>
      </c>
      <c r="C253" s="148">
        <v>610.03238004067839</v>
      </c>
      <c r="D253" s="149">
        <v>659.13780041341568</v>
      </c>
      <c r="E253" s="149"/>
      <c r="F253" s="149"/>
      <c r="G253" s="149"/>
      <c r="H253" s="149"/>
      <c r="I253" s="149"/>
      <c r="J253" s="149"/>
      <c r="K253" s="149"/>
      <c r="L253" s="149"/>
      <c r="M253" s="149"/>
    </row>
    <row r="254" spans="1:14">
      <c r="B254" s="198" t="str">
        <f>B246</f>
        <v>SMF</v>
      </c>
      <c r="C254" s="148">
        <v>2077.5830276045085</v>
      </c>
      <c r="D254" s="149">
        <v>2519.175491675358</v>
      </c>
      <c r="E254" s="149"/>
      <c r="F254" s="149"/>
      <c r="G254" s="149"/>
      <c r="H254" s="149"/>
      <c r="I254" s="149"/>
      <c r="J254" s="149"/>
      <c r="K254" s="149"/>
      <c r="L254" s="149"/>
      <c r="M254" s="149"/>
    </row>
    <row r="255" spans="1:14">
      <c r="B255" s="144" t="str">
        <f>B247</f>
        <v>Total</v>
      </c>
      <c r="C255" s="159">
        <f t="shared" ref="C255:D255" si="35">SUM(C253:C254)</f>
        <v>2687.6154076451867</v>
      </c>
      <c r="D255" s="160">
        <f t="shared" si="35"/>
        <v>3178.3132920887738</v>
      </c>
      <c r="E255" s="160"/>
      <c r="F255" s="160"/>
      <c r="G255" s="160"/>
      <c r="H255" s="160"/>
      <c r="I255" s="160"/>
      <c r="J255" s="160"/>
      <c r="K255" s="160"/>
      <c r="L255" s="160"/>
      <c r="M255" s="160"/>
    </row>
    <row r="256" spans="1:14">
      <c r="B256" s="177" t="s">
        <v>86</v>
      </c>
      <c r="C256" s="178"/>
      <c r="D256" s="178">
        <f t="shared" ref="D256:L256" si="36">D255/C255-1</f>
        <v>0.1825774190190117</v>
      </c>
      <c r="E256" s="178">
        <f t="shared" si="36"/>
        <v>-1</v>
      </c>
      <c r="F256" s="178" t="e">
        <f t="shared" si="36"/>
        <v>#DIV/0!</v>
      </c>
      <c r="G256" s="178" t="e">
        <f t="shared" si="36"/>
        <v>#DIV/0!</v>
      </c>
      <c r="H256" s="178" t="e">
        <f t="shared" si="36"/>
        <v>#DIV/0!</v>
      </c>
      <c r="I256" s="178" t="e">
        <f t="shared" si="36"/>
        <v>#DIV/0!</v>
      </c>
      <c r="J256" s="178" t="e">
        <f t="shared" si="36"/>
        <v>#DIV/0!</v>
      </c>
      <c r="K256" s="178" t="e">
        <f t="shared" si="36"/>
        <v>#DIV/0!</v>
      </c>
      <c r="L256" s="178" t="e">
        <f t="shared" si="36"/>
        <v>#DIV/0!</v>
      </c>
      <c r="M256" s="178" t="e">
        <f t="shared" ref="M256" si="37">M255/L255-1</f>
        <v>#DIV/0!</v>
      </c>
      <c r="N256" s="214"/>
    </row>
    <row r="257" spans="2:14" ht="14.4">
      <c r="B257" s="16"/>
      <c r="C257" s="73"/>
      <c r="D257" s="73"/>
      <c r="E257" s="73"/>
      <c r="F257" s="73"/>
      <c r="G257" s="73"/>
      <c r="H257" s="73"/>
      <c r="I257" s="73"/>
      <c r="J257" s="73"/>
      <c r="K257" s="73"/>
      <c r="L257" s="73"/>
      <c r="M257" s="73"/>
      <c r="N257" s="209"/>
    </row>
    <row r="259" spans="2:14" ht="21">
      <c r="B259" s="17" t="s">
        <v>94</v>
      </c>
    </row>
    <row r="281" spans="2:13">
      <c r="B281" s="195" t="s">
        <v>95</v>
      </c>
      <c r="C281" s="200">
        <v>2016</v>
      </c>
      <c r="D281" s="143">
        <v>2017</v>
      </c>
      <c r="E281" s="143">
        <v>2018</v>
      </c>
      <c r="F281" s="143">
        <v>2019</v>
      </c>
      <c r="G281" s="143">
        <v>2020</v>
      </c>
      <c r="H281" s="143">
        <v>2021</v>
      </c>
      <c r="I281" s="143">
        <v>2022</v>
      </c>
      <c r="J281" s="143">
        <v>2023</v>
      </c>
      <c r="K281" s="143">
        <v>2024</v>
      </c>
      <c r="L281" s="143">
        <v>2025</v>
      </c>
      <c r="M281" s="143">
        <v>2026</v>
      </c>
    </row>
    <row r="282" spans="2:13">
      <c r="B282" s="145" t="str">
        <f>B33</f>
        <v>Cloud</v>
      </c>
      <c r="C282" s="216">
        <f>SUM(Cloud!E9:E12)+10*SUM(Cloud!E14:E22)+25*SUM(Cloud!E24:E25)+40*SUM(Cloud!E27:E35)+50*SUM(Cloud!E36:E38)+100*SUM(Cloud!E41:E59)+200*SUM(Cloud!E60:E68)+400*SUM(Cloud!E66:E70)</f>
        <v>232995621.73119861</v>
      </c>
      <c r="D282" s="215">
        <f>SUM(Cloud!F9:F12)+10*SUM(Cloud!F14:F22)+25*SUM(Cloud!F24:F25)+40*SUM(Cloud!F27:F35)+50*SUM(Cloud!F36:F38)+100*SUM(Cloud!F41:F59)+200*SUM(Cloud!F60:F68)+400*SUM(Cloud!F66:F70)</f>
        <v>450323322.48659462</v>
      </c>
      <c r="E282" s="215"/>
      <c r="F282" s="215"/>
      <c r="G282" s="215"/>
      <c r="H282" s="215"/>
      <c r="I282" s="215"/>
      <c r="J282" s="215"/>
      <c r="K282" s="215"/>
      <c r="L282" s="215"/>
      <c r="M282" s="215"/>
    </row>
    <row r="283" spans="2:13">
      <c r="B283" s="205" t="str">
        <f>B34</f>
        <v>Enterprise</v>
      </c>
      <c r="C283" s="202">
        <f>SUM(Enterprise!E9:E12)+10*SUM(Enterprise!E14:E22)+25*SUM(Enterprise!E24:E25)+40*SUM(Enterprise!E27:E35)+50*SUM(Enterprise!E38:E38)+100*SUM(Enterprise!E41:E59)+200*SUM(Enterprise!E60:E68)+400*SUM(Enterprise!E66:E70)</f>
        <v>137655219.92276934</v>
      </c>
      <c r="D283" s="203">
        <f>SUM(Enterprise!F9:F12)+10*SUM(Enterprise!F14:F22)+25*SUM(Enterprise!F24:F25)+40*SUM(Enterprise!F27:F35)+50*SUM(Enterprise!F38:F38)+100*SUM(Enterprise!F41:F59)+200*SUM(Enterprise!F60:F68)+400*SUM(Enterprise!F66:F70)</f>
        <v>157450008.08871284</v>
      </c>
      <c r="E283" s="203"/>
      <c r="F283" s="203"/>
      <c r="G283" s="203"/>
      <c r="H283" s="203"/>
      <c r="I283" s="203"/>
      <c r="J283" s="203"/>
      <c r="K283" s="203"/>
      <c r="L283" s="203"/>
      <c r="M283" s="203"/>
    </row>
    <row r="285" spans="2:13">
      <c r="B285" s="195" t="s">
        <v>96</v>
      </c>
      <c r="C285" s="200">
        <v>2016</v>
      </c>
      <c r="D285" s="201">
        <v>2017</v>
      </c>
      <c r="E285" s="201">
        <v>2018</v>
      </c>
      <c r="F285" s="201">
        <v>2019</v>
      </c>
      <c r="G285" s="201">
        <v>2020</v>
      </c>
      <c r="H285" s="201">
        <v>2021</v>
      </c>
      <c r="I285" s="201">
        <v>2022</v>
      </c>
      <c r="J285" s="201">
        <v>2023</v>
      </c>
      <c r="K285" s="201">
        <v>2024</v>
      </c>
      <c r="L285" s="201">
        <v>2025</v>
      </c>
      <c r="M285" s="201">
        <v>2026</v>
      </c>
    </row>
    <row r="286" spans="2:13">
      <c r="B286" s="150" t="str">
        <f>B282</f>
        <v>Cloud</v>
      </c>
      <c r="C286" s="215">
        <v>634874062.28922606</v>
      </c>
      <c r="D286" s="215">
        <f t="shared" ref="D286" si="38">C286+D282</f>
        <v>1085197384.7758207</v>
      </c>
      <c r="E286" s="215"/>
      <c r="F286" s="215"/>
      <c r="G286" s="215"/>
      <c r="H286" s="215"/>
      <c r="I286" s="215"/>
      <c r="J286" s="215"/>
      <c r="K286" s="215"/>
      <c r="L286" s="215"/>
      <c r="M286" s="215"/>
    </row>
    <row r="287" spans="2:13">
      <c r="B287" s="154" t="str">
        <f>B283</f>
        <v>Enterprise</v>
      </c>
      <c r="C287" s="203">
        <v>599460852.37719667</v>
      </c>
      <c r="D287" s="203">
        <f t="shared" ref="D287" si="39">C287+D283</f>
        <v>756910860.46590948</v>
      </c>
      <c r="E287" s="203"/>
      <c r="F287" s="203"/>
      <c r="G287" s="203"/>
      <c r="H287" s="203"/>
      <c r="I287" s="203"/>
      <c r="J287" s="203"/>
      <c r="K287" s="203"/>
      <c r="L287" s="203"/>
      <c r="M287" s="203"/>
    </row>
    <row r="289" spans="2:14">
      <c r="B289" s="195" t="s">
        <v>97</v>
      </c>
      <c r="C289" s="200">
        <v>2016</v>
      </c>
      <c r="D289" s="201">
        <v>2017</v>
      </c>
      <c r="E289" s="201">
        <v>2018</v>
      </c>
      <c r="F289" s="201">
        <v>2019</v>
      </c>
      <c r="G289" s="201">
        <v>2020</v>
      </c>
      <c r="H289" s="201">
        <v>2021</v>
      </c>
      <c r="I289" s="201">
        <v>2022</v>
      </c>
      <c r="J289" s="201">
        <v>2023</v>
      </c>
      <c r="K289" s="201">
        <v>2024</v>
      </c>
      <c r="L289" s="201">
        <v>2025</v>
      </c>
      <c r="M289" s="201">
        <v>2026</v>
      </c>
    </row>
    <row r="290" spans="2:14">
      <c r="B290" s="150" t="str">
        <f>B282</f>
        <v>Cloud</v>
      </c>
      <c r="C290" s="204">
        <v>0.57976641246958427</v>
      </c>
      <c r="D290" s="204">
        <f t="shared" ref="D290:D291" si="40">D286/C286-1</f>
        <v>0.70931126224124008</v>
      </c>
      <c r="E290" s="204"/>
      <c r="F290" s="204"/>
      <c r="G290" s="204"/>
      <c r="H290" s="204"/>
      <c r="I290" s="204"/>
      <c r="J290" s="204"/>
      <c r="K290" s="204"/>
      <c r="L290" s="204"/>
      <c r="M290" s="204"/>
      <c r="N290" s="273" t="s">
        <v>206</v>
      </c>
    </row>
    <row r="291" spans="2:14">
      <c r="B291" s="154" t="str">
        <f>B283</f>
        <v>Enterprise</v>
      </c>
      <c r="C291" s="206">
        <v>0.29766140339975111</v>
      </c>
      <c r="D291" s="206">
        <f t="shared" si="40"/>
        <v>0.26265269444090578</v>
      </c>
      <c r="E291" s="206"/>
      <c r="F291" s="206"/>
      <c r="G291" s="206"/>
      <c r="H291" s="206"/>
      <c r="I291" s="206"/>
      <c r="J291" s="206"/>
      <c r="K291" s="206"/>
      <c r="L291" s="206"/>
      <c r="M291" s="206"/>
      <c r="N291" s="273" t="s">
        <v>207</v>
      </c>
    </row>
    <row r="323" s="195" customFormat="1"/>
    <row r="324" s="195" customFormat="1"/>
    <row r="325" s="195" customFormat="1"/>
    <row r="326" s="195" customFormat="1"/>
    <row r="327" s="195" customFormat="1"/>
    <row r="328" s="195" customFormat="1"/>
    <row r="329" s="195" customFormat="1"/>
    <row r="330" s="195" customFormat="1"/>
    <row r="331" s="195" customFormat="1"/>
    <row r="332" s="195" customFormat="1"/>
    <row r="333" s="195" customFormat="1"/>
    <row r="334" s="195" customFormat="1"/>
    <row r="335" s="195" customFormat="1"/>
    <row r="336" s="195" customFormat="1"/>
    <row r="337" s="195" customFormat="1"/>
    <row r="338" s="195" customFormat="1"/>
    <row r="339" s="195" customFormat="1"/>
    <row r="340" s="195" customFormat="1"/>
    <row r="341" s="195" customFormat="1"/>
  </sheetData>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BQ48"/>
  <sheetViews>
    <sheetView showGridLines="0" zoomScale="70" zoomScaleNormal="70" zoomScalePageLayoutView="70" workbookViewId="0"/>
  </sheetViews>
  <sheetFormatPr defaultColWidth="8.77734375" defaultRowHeight="13.2"/>
  <cols>
    <col min="1" max="1" width="4.44140625" customWidth="1"/>
    <col min="2" max="2" width="22" customWidth="1"/>
    <col min="5" max="10" width="13.77734375" customWidth="1"/>
    <col min="11" max="12" width="11.44140625" customWidth="1"/>
    <col min="13" max="15" width="11" customWidth="1"/>
  </cols>
  <sheetData>
    <row r="1" spans="1:10" s="133" customFormat="1" ht="13.8"/>
    <row r="2" spans="1:10" s="133" customFormat="1" ht="18">
      <c r="A2" s="62"/>
      <c r="B2" s="6" t="str">
        <f>Introduction!$B$2</f>
        <v>LightCounting Ethernet Transceivers Forecast</v>
      </c>
    </row>
    <row r="3" spans="1:10" s="133" customFormat="1" ht="15.6">
      <c r="B3" s="722" t="str">
        <f>Introduction!B3</f>
        <v>September 2021 - Sample template for illustrative purposes only</v>
      </c>
      <c r="E3" s="744" t="s">
        <v>179</v>
      </c>
      <c r="F3" s="744"/>
      <c r="G3" s="744"/>
      <c r="H3" s="744"/>
      <c r="I3" s="745"/>
      <c r="J3" s="223" t="s">
        <v>104</v>
      </c>
    </row>
    <row r="4" spans="1:10" s="133" customFormat="1" ht="18.75" customHeight="1">
      <c r="A4" s="62"/>
      <c r="B4" s="6" t="s">
        <v>178</v>
      </c>
      <c r="E4" s="746" t="s">
        <v>410</v>
      </c>
      <c r="F4" s="747"/>
      <c r="G4" s="747"/>
      <c r="H4" s="747"/>
      <c r="I4" s="748"/>
      <c r="J4" s="224">
        <f>MATCH(E4,Telecom!P9:P89,0)</f>
        <v>50</v>
      </c>
    </row>
    <row r="5" spans="1:10" s="133" customFormat="1" ht="21">
      <c r="A5" s="137"/>
      <c r="B5" s="199"/>
      <c r="E5" s="132"/>
      <c r="F5" s="132"/>
      <c r="G5" s="132"/>
    </row>
    <row r="26" spans="1:16">
      <c r="M26" s="4"/>
      <c r="N26" s="4"/>
    </row>
    <row r="27" spans="1:16" s="4" customFormat="1" ht="14.4">
      <c r="A27" s="10"/>
      <c r="B27" s="183" t="s">
        <v>102</v>
      </c>
      <c r="C27" s="184"/>
      <c r="D27" s="184"/>
      <c r="E27" s="194">
        <v>2016</v>
      </c>
      <c r="F27" s="194">
        <v>2017</v>
      </c>
      <c r="G27" s="194">
        <v>2018</v>
      </c>
      <c r="H27" s="194">
        <v>2019</v>
      </c>
      <c r="I27" s="194">
        <v>2020</v>
      </c>
      <c r="J27" s="194">
        <v>2021</v>
      </c>
      <c r="K27" s="194">
        <v>2022</v>
      </c>
      <c r="L27" s="194">
        <v>2023</v>
      </c>
      <c r="M27" s="194">
        <v>2024</v>
      </c>
      <c r="N27" s="194">
        <v>2025</v>
      </c>
      <c r="O27" s="226">
        <v>2026</v>
      </c>
    </row>
    <row r="28" spans="1:16" s="4" customFormat="1" ht="17.25" customHeight="1">
      <c r="A28" s="10"/>
      <c r="B28" s="185" t="s">
        <v>18</v>
      </c>
      <c r="C28" s="69"/>
      <c r="D28" s="217" t="str">
        <f>'Products x segment'!B32</f>
        <v>Telecom</v>
      </c>
      <c r="E28" s="21">
        <f t="shared" ref="E28:F28" si="0">INDEX((VolTEL),$J$4,MATCH(E$27,$E$27:$N$27,0)+3)</f>
        <v>5964.8</v>
      </c>
      <c r="F28" s="21">
        <f t="shared" si="0"/>
        <v>6617.6</v>
      </c>
      <c r="G28" s="21"/>
      <c r="H28" s="21"/>
      <c r="I28" s="21"/>
      <c r="J28" s="21"/>
      <c r="K28" s="21"/>
      <c r="L28" s="21"/>
      <c r="M28" s="21"/>
      <c r="N28" s="21"/>
      <c r="O28" s="714"/>
    </row>
    <row r="29" spans="1:16" s="4" customFormat="1" ht="14.55" customHeight="1">
      <c r="A29" s="10"/>
      <c r="B29" s="188"/>
      <c r="C29" s="67"/>
      <c r="D29" s="218" t="str">
        <f>'Products x segment'!B33</f>
        <v>Cloud</v>
      </c>
      <c r="E29" s="21">
        <f t="shared" ref="E29:F29" si="1">INDEX((VolDCM),$J$4,MATCH(E$27,$E$27:$N$27,0)+3)</f>
        <v>0</v>
      </c>
      <c r="F29" s="21">
        <f t="shared" si="1"/>
        <v>0</v>
      </c>
      <c r="G29" s="21"/>
      <c r="H29" s="21"/>
      <c r="I29" s="21"/>
      <c r="J29" s="21"/>
      <c r="K29" s="21"/>
      <c r="L29" s="21"/>
      <c r="M29" s="21"/>
      <c r="N29" s="21"/>
      <c r="O29" s="715"/>
      <c r="P29" s="79"/>
    </row>
    <row r="30" spans="1:16" s="4" customFormat="1" ht="15.6">
      <c r="B30" s="72"/>
      <c r="C30" s="19"/>
      <c r="D30" s="219" t="str">
        <f>'Products x segment'!B34</f>
        <v>Enterprise</v>
      </c>
      <c r="E30" s="61">
        <f t="shared" ref="E30:F30" si="2">INDEX((VolDCE),$J$4,MATCH(E$27,$E$27:$N$27,0)+3)</f>
        <v>1491.1999999999996</v>
      </c>
      <c r="F30" s="61">
        <f t="shared" si="2"/>
        <v>1654.3999999999996</v>
      </c>
      <c r="G30" s="61"/>
      <c r="H30" s="61"/>
      <c r="I30" s="61"/>
      <c r="J30" s="61"/>
      <c r="K30" s="61"/>
      <c r="L30" s="61"/>
      <c r="M30" s="61"/>
      <c r="N30" s="61"/>
      <c r="O30" s="716"/>
      <c r="P30" s="37"/>
    </row>
    <row r="31" spans="1:16" s="4" customFormat="1" ht="14.4">
      <c r="A31" s="10"/>
      <c r="B31" s="185" t="s">
        <v>30</v>
      </c>
      <c r="C31" s="69"/>
      <c r="D31" s="220" t="str">
        <f>D28</f>
        <v>Telecom</v>
      </c>
      <c r="E31" s="173">
        <f>IF(E28=0,,E34*10^6/E28)</f>
        <v>8992.3604525403425</v>
      </c>
      <c r="F31" s="173">
        <f t="shared" ref="F31" si="3">IF(F28=0,,F34*10^6/F28)</f>
        <v>6675.4855675304152</v>
      </c>
      <c r="G31" s="173"/>
      <c r="H31" s="173"/>
      <c r="I31" s="173"/>
      <c r="J31" s="173"/>
      <c r="K31" s="173"/>
      <c r="L31" s="173"/>
      <c r="M31" s="173"/>
      <c r="N31" s="173"/>
      <c r="O31" s="174"/>
      <c r="P31" s="225"/>
    </row>
    <row r="32" spans="1:16" s="4" customFormat="1" ht="13.8">
      <c r="B32" s="72"/>
      <c r="C32" s="19"/>
      <c r="D32" s="221" t="str">
        <f>D29</f>
        <v>Cloud</v>
      </c>
      <c r="E32" s="175">
        <f t="shared" ref="E32:F33" si="4">IF(E29=0,,E35*10^6/E29)</f>
        <v>0</v>
      </c>
      <c r="F32" s="175">
        <f t="shared" si="4"/>
        <v>0</v>
      </c>
      <c r="G32" s="175"/>
      <c r="H32" s="175"/>
      <c r="I32" s="175"/>
      <c r="J32" s="175"/>
      <c r="K32" s="175"/>
      <c r="L32" s="175"/>
      <c r="M32" s="175"/>
      <c r="N32" s="175"/>
      <c r="O32" s="717"/>
    </row>
    <row r="33" spans="1:69" s="4" customFormat="1" ht="13.8">
      <c r="B33" s="48"/>
      <c r="C33" s="49"/>
      <c r="D33" s="221" t="str">
        <f>D30</f>
        <v>Enterprise</v>
      </c>
      <c r="E33" s="171">
        <f t="shared" si="4"/>
        <v>8992.3604525403425</v>
      </c>
      <c r="F33" s="171">
        <f t="shared" si="4"/>
        <v>6675.4855675304161</v>
      </c>
      <c r="G33" s="171"/>
      <c r="H33" s="171"/>
      <c r="I33" s="171"/>
      <c r="J33" s="171"/>
      <c r="K33" s="171"/>
      <c r="L33" s="171"/>
      <c r="M33" s="171"/>
      <c r="N33" s="171"/>
      <c r="O33" s="172"/>
      <c r="P33" s="79"/>
    </row>
    <row r="34" spans="1:69" s="4" customFormat="1" ht="14.4">
      <c r="A34" s="10"/>
      <c r="B34" s="185" t="s">
        <v>29</v>
      </c>
      <c r="C34" s="69"/>
      <c r="D34" s="220" t="str">
        <f>D28</f>
        <v>Telecom</v>
      </c>
      <c r="E34" s="173">
        <f t="shared" ref="E34:F34" si="5">INDEX((RevTEL),$J$4,MATCH(E$27,$E$27:$N$27,0)+3)</f>
        <v>53.637631627312636</v>
      </c>
      <c r="F34" s="173">
        <f t="shared" si="5"/>
        <v>44.175693291689278</v>
      </c>
      <c r="G34" s="173"/>
      <c r="H34" s="173"/>
      <c r="I34" s="173"/>
      <c r="J34" s="173"/>
      <c r="K34" s="173"/>
      <c r="L34" s="173"/>
      <c r="M34" s="173"/>
      <c r="N34" s="173"/>
      <c r="O34" s="174"/>
      <c r="P34" s="79"/>
    </row>
    <row r="35" spans="1:69" s="4" customFormat="1" ht="14.4">
      <c r="A35" s="10"/>
      <c r="B35" s="72"/>
      <c r="C35" s="19"/>
      <c r="D35" s="221" t="str">
        <f>D29</f>
        <v>Cloud</v>
      </c>
      <c r="E35" s="175">
        <f t="shared" ref="E35:F35" si="6">INDEX((RevDCM),$J$4,MATCH(E$27,$E$27:$N$27,0)+3)</f>
        <v>0</v>
      </c>
      <c r="F35" s="175">
        <f t="shared" si="6"/>
        <v>0</v>
      </c>
      <c r="G35" s="175"/>
      <c r="H35" s="175"/>
      <c r="I35" s="175"/>
      <c r="J35" s="175"/>
      <c r="K35" s="175"/>
      <c r="L35" s="175"/>
      <c r="M35" s="175"/>
      <c r="N35" s="175"/>
      <c r="O35" s="717"/>
      <c r="P35" s="79" t="s">
        <v>405</v>
      </c>
      <c r="AJ35" s="70"/>
      <c r="AK35" s="67"/>
      <c r="AL35" s="67"/>
      <c r="AM35" s="67"/>
      <c r="AN35" s="67"/>
      <c r="AO35" s="67"/>
      <c r="AP35" s="67"/>
      <c r="AQ35" s="67"/>
      <c r="AR35" s="67"/>
      <c r="AS35" s="67"/>
      <c r="AT35" s="67"/>
      <c r="AU35" s="67"/>
      <c r="AV35" s="67"/>
      <c r="AW35" s="67"/>
      <c r="AX35" s="67"/>
      <c r="AY35" s="67"/>
      <c r="AZ35" s="67"/>
      <c r="BA35" s="67"/>
      <c r="BB35" s="67"/>
      <c r="BC35" s="71"/>
      <c r="BD35" s="71"/>
      <c r="BE35" s="71"/>
      <c r="BF35" s="71"/>
      <c r="BG35" s="71"/>
      <c r="BH35" s="71"/>
      <c r="BI35" s="71"/>
      <c r="BJ35" s="71"/>
      <c r="BK35" s="71"/>
      <c r="BL35" s="71"/>
      <c r="BM35" s="71"/>
      <c r="BN35" s="71"/>
      <c r="BO35" s="71"/>
      <c r="BP35" s="71"/>
      <c r="BQ35" s="71"/>
    </row>
    <row r="36" spans="1:69" s="4" customFormat="1" ht="14.4">
      <c r="A36" s="10"/>
      <c r="B36" s="48"/>
      <c r="C36" s="49"/>
      <c r="D36" s="222" t="str">
        <f>D30</f>
        <v>Enterprise</v>
      </c>
      <c r="E36" s="171">
        <f t="shared" ref="E36:F36" si="7">INDEX((RevDCE),$J$4,MATCH(E$27,$E$27:$N$27,0)+3)</f>
        <v>13.409407906828156</v>
      </c>
      <c r="F36" s="171">
        <f t="shared" si="7"/>
        <v>11.043923322922318</v>
      </c>
      <c r="G36" s="171"/>
      <c r="H36" s="171"/>
      <c r="I36" s="171"/>
      <c r="J36" s="171"/>
      <c r="K36" s="171"/>
      <c r="L36" s="171"/>
      <c r="M36" s="171"/>
      <c r="N36" s="171"/>
      <c r="O36" s="172"/>
      <c r="P36" s="79"/>
      <c r="AJ36" s="70"/>
      <c r="AK36" s="67"/>
      <c r="AL36" s="67"/>
      <c r="AM36" s="67"/>
      <c r="AN36" s="67"/>
      <c r="AO36" s="67"/>
      <c r="AP36" s="67"/>
      <c r="AQ36" s="67"/>
      <c r="AR36" s="67"/>
      <c r="AS36" s="67"/>
      <c r="AT36" s="67"/>
      <c r="AU36" s="67"/>
      <c r="AV36" s="67"/>
      <c r="AW36" s="67"/>
      <c r="AX36" s="67"/>
      <c r="AY36" s="67"/>
      <c r="AZ36" s="67"/>
      <c r="BA36" s="67"/>
      <c r="BB36" s="67"/>
      <c r="BC36" s="71"/>
      <c r="BD36" s="71"/>
      <c r="BE36" s="71"/>
      <c r="BF36" s="71"/>
      <c r="BG36" s="71"/>
      <c r="BH36" s="71"/>
      <c r="BI36" s="71"/>
      <c r="BJ36" s="71"/>
      <c r="BK36" s="71"/>
      <c r="BL36" s="71"/>
      <c r="BM36" s="71"/>
      <c r="BN36" s="71"/>
      <c r="BO36" s="71"/>
      <c r="BP36" s="71"/>
      <c r="BQ36" s="71"/>
    </row>
    <row r="37" spans="1:69" ht="13.8">
      <c r="B37" s="278" t="s">
        <v>103</v>
      </c>
      <c r="C37" s="279"/>
      <c r="D37" s="538" t="str">
        <f>D28</f>
        <v>Telecom</v>
      </c>
      <c r="E37" s="274">
        <f>IF(SUM(E28:E30)=0,,E28/SUM(E$28:E$30))</f>
        <v>0.8</v>
      </c>
      <c r="F37" s="274">
        <f>IF(SUM(F28:F30)=0,,F28/SUM(F$28:F$30))</f>
        <v>0.8</v>
      </c>
      <c r="G37" s="274">
        <f>IF(SUM(G28:G30)=0,,G28/SUM(G$28:G$30))</f>
        <v>0</v>
      </c>
      <c r="H37" s="274">
        <f>IF(SUM(H28:H30)=0,,H28/SUM(H$28:H$30))</f>
        <v>0</v>
      </c>
      <c r="I37" s="274">
        <f>IF(SUM(I28:I30)=0,,I28/SUM(I$28:I$30))</f>
        <v>0</v>
      </c>
      <c r="J37" s="274">
        <f t="shared" ref="J37:K39" si="8">IF(SUM(J28:J30)=0,,J28/SUM(J$28:J$30))</f>
        <v>0</v>
      </c>
      <c r="K37" s="274">
        <f t="shared" si="8"/>
        <v>0</v>
      </c>
      <c r="L37" s="274">
        <f t="shared" ref="L37:N39" si="9">IF(SUM(L28:L30)=0,,L28/SUM(L$28:L$30))</f>
        <v>0</v>
      </c>
      <c r="M37" s="274">
        <f t="shared" si="9"/>
        <v>0</v>
      </c>
      <c r="N37" s="274">
        <f t="shared" si="9"/>
        <v>0</v>
      </c>
      <c r="O37" s="718">
        <f t="shared" ref="O37" si="10">IF(SUM(O28:O30)=0,,O28/SUM(O$28:O$30))</f>
        <v>0</v>
      </c>
      <c r="P37" s="79"/>
      <c r="Q37" s="4"/>
      <c r="R37" s="4"/>
    </row>
    <row r="38" spans="1:69" ht="13.8">
      <c r="B38" s="280"/>
      <c r="C38" s="281"/>
      <c r="D38" s="539" t="str">
        <f>D29</f>
        <v>Cloud</v>
      </c>
      <c r="E38" s="274">
        <f t="shared" ref="E38:I39" si="11">IF(SUM(E29:E31)=0,,E29/SUM(E$28:E$30))</f>
        <v>0</v>
      </c>
      <c r="F38" s="274">
        <f t="shared" si="11"/>
        <v>0</v>
      </c>
      <c r="G38" s="274">
        <f t="shared" si="11"/>
        <v>0</v>
      </c>
      <c r="H38" s="274">
        <f t="shared" si="11"/>
        <v>0</v>
      </c>
      <c r="I38" s="274">
        <f t="shared" si="11"/>
        <v>0</v>
      </c>
      <c r="J38" s="274">
        <f t="shared" si="8"/>
        <v>0</v>
      </c>
      <c r="K38" s="274">
        <f t="shared" si="8"/>
        <v>0</v>
      </c>
      <c r="L38" s="274">
        <f t="shared" si="9"/>
        <v>0</v>
      </c>
      <c r="M38" s="274">
        <f t="shared" si="9"/>
        <v>0</v>
      </c>
      <c r="N38" s="274">
        <f t="shared" si="9"/>
        <v>0</v>
      </c>
      <c r="O38" s="718">
        <f t="shared" ref="O38" si="12">IF(SUM(O29:O31)=0,,O29/SUM(O$28:O$30))</f>
        <v>0</v>
      </c>
      <c r="P38" s="79"/>
      <c r="Q38" s="4"/>
      <c r="R38" s="4"/>
    </row>
    <row r="39" spans="1:69" ht="13.8">
      <c r="B39" s="298"/>
      <c r="C39" s="299"/>
      <c r="D39" s="540" t="str">
        <f>D30</f>
        <v>Enterprise</v>
      </c>
      <c r="E39" s="274">
        <f t="shared" si="11"/>
        <v>0.19999999999999996</v>
      </c>
      <c r="F39" s="274">
        <f t="shared" si="11"/>
        <v>0.19999999999999996</v>
      </c>
      <c r="G39" s="274">
        <f t="shared" si="11"/>
        <v>0</v>
      </c>
      <c r="H39" s="274">
        <f t="shared" si="11"/>
        <v>0</v>
      </c>
      <c r="I39" s="274">
        <f t="shared" si="11"/>
        <v>0</v>
      </c>
      <c r="J39" s="274">
        <f t="shared" si="8"/>
        <v>0</v>
      </c>
      <c r="K39" s="274">
        <f t="shared" si="8"/>
        <v>0</v>
      </c>
      <c r="L39" s="274">
        <f t="shared" si="9"/>
        <v>0</v>
      </c>
      <c r="M39" s="274">
        <f t="shared" si="9"/>
        <v>0</v>
      </c>
      <c r="N39" s="274">
        <f t="shared" si="9"/>
        <v>0</v>
      </c>
      <c r="O39" s="718">
        <f t="shared" ref="O39" si="13">IF(SUM(O30:O32)=0,,O30/SUM(O$28:O$30))</f>
        <v>0</v>
      </c>
      <c r="P39" s="79"/>
    </row>
    <row r="40" spans="1:69" ht="13.8">
      <c r="B40" s="278" t="str">
        <f>"Total "&amp;B28</f>
        <v>Total Shipments (devices)</v>
      </c>
      <c r="C40" s="279"/>
      <c r="D40" s="541"/>
      <c r="E40" s="503">
        <f t="shared" ref="E40:N40" si="14">SUM(E28:E30)</f>
        <v>7456</v>
      </c>
      <c r="F40" s="503">
        <f t="shared" si="14"/>
        <v>8272</v>
      </c>
      <c r="G40" s="503">
        <f t="shared" si="14"/>
        <v>0</v>
      </c>
      <c r="H40" s="503">
        <f t="shared" si="14"/>
        <v>0</v>
      </c>
      <c r="I40" s="503">
        <f t="shared" si="14"/>
        <v>0</v>
      </c>
      <c r="J40" s="503">
        <f t="shared" si="14"/>
        <v>0</v>
      </c>
      <c r="K40" s="503">
        <f t="shared" si="14"/>
        <v>0</v>
      </c>
      <c r="L40" s="503">
        <f t="shared" si="14"/>
        <v>0</v>
      </c>
      <c r="M40" s="503">
        <f t="shared" si="14"/>
        <v>0</v>
      </c>
      <c r="N40" s="503">
        <f t="shared" si="14"/>
        <v>0</v>
      </c>
      <c r="O40" s="719">
        <f t="shared" ref="O40" si="15">SUM(O28:O30)</f>
        <v>0</v>
      </c>
    </row>
    <row r="41" spans="1:69" ht="13.8">
      <c r="B41" s="280" t="str">
        <f>"Total "&amp;B31</f>
        <v>Total A.S.P. ($)</v>
      </c>
      <c r="C41" s="281"/>
      <c r="D41" s="301"/>
      <c r="E41" s="282">
        <f t="shared" ref="E41:N41" si="16">IF(E40=0,,E42*10^6/E40)</f>
        <v>8992.3604525403425</v>
      </c>
      <c r="F41" s="282">
        <f t="shared" si="16"/>
        <v>6675.4855675304152</v>
      </c>
      <c r="G41" s="282">
        <f t="shared" si="16"/>
        <v>0</v>
      </c>
      <c r="H41" s="282">
        <f t="shared" si="16"/>
        <v>0</v>
      </c>
      <c r="I41" s="282">
        <f t="shared" si="16"/>
        <v>0</v>
      </c>
      <c r="J41" s="282">
        <f t="shared" si="16"/>
        <v>0</v>
      </c>
      <c r="K41" s="282">
        <f t="shared" si="16"/>
        <v>0</v>
      </c>
      <c r="L41" s="282">
        <f t="shared" si="16"/>
        <v>0</v>
      </c>
      <c r="M41" s="282">
        <f t="shared" si="16"/>
        <v>0</v>
      </c>
      <c r="N41" s="282">
        <f t="shared" si="16"/>
        <v>0</v>
      </c>
      <c r="O41" s="720">
        <f t="shared" ref="O41" si="17">IF(O40=0,,O42*10^6/O40)</f>
        <v>0</v>
      </c>
    </row>
    <row r="42" spans="1:69" ht="13.8">
      <c r="B42" s="298" t="str">
        <f>"Total "&amp;B34</f>
        <v>Total Revenues ($ million)</v>
      </c>
      <c r="C42" s="299"/>
      <c r="D42" s="300"/>
      <c r="E42" s="505">
        <f t="shared" ref="E42:N42" si="18">SUM(E34:E36)</f>
        <v>67.047039534140794</v>
      </c>
      <c r="F42" s="505">
        <f t="shared" si="18"/>
        <v>55.219616614611596</v>
      </c>
      <c r="G42" s="505">
        <f t="shared" si="18"/>
        <v>0</v>
      </c>
      <c r="H42" s="505">
        <f t="shared" si="18"/>
        <v>0</v>
      </c>
      <c r="I42" s="505">
        <f t="shared" si="18"/>
        <v>0</v>
      </c>
      <c r="J42" s="505">
        <f t="shared" si="18"/>
        <v>0</v>
      </c>
      <c r="K42" s="505">
        <f t="shared" si="18"/>
        <v>0</v>
      </c>
      <c r="L42" s="505">
        <f t="shared" si="18"/>
        <v>0</v>
      </c>
      <c r="M42" s="505">
        <f t="shared" si="18"/>
        <v>0</v>
      </c>
      <c r="N42" s="505">
        <f t="shared" si="18"/>
        <v>0</v>
      </c>
      <c r="O42" s="721">
        <f t="shared" ref="O42" si="19">SUM(O34:O36)</f>
        <v>0</v>
      </c>
      <c r="U42" s="4"/>
      <c r="V42" s="4"/>
      <c r="W42" s="4"/>
    </row>
    <row r="43" spans="1:69">
      <c r="E43" s="4"/>
      <c r="F43" s="4"/>
      <c r="G43" s="4"/>
      <c r="H43" s="4"/>
      <c r="I43" s="4"/>
      <c r="J43" s="4"/>
      <c r="K43" s="4"/>
      <c r="L43" s="4"/>
      <c r="M43" s="4"/>
      <c r="N43" s="4"/>
      <c r="O43" s="4"/>
      <c r="P43" s="4"/>
      <c r="Q43" s="4"/>
      <c r="R43" s="4"/>
      <c r="S43" s="4"/>
      <c r="T43" s="4"/>
      <c r="U43" s="4"/>
      <c r="V43" s="4"/>
      <c r="W43" s="4"/>
    </row>
    <row r="46" spans="1:69">
      <c r="B46" s="19"/>
      <c r="C46" s="19"/>
      <c r="D46" s="19"/>
      <c r="E46" s="19"/>
      <c r="F46" s="19"/>
      <c r="G46" s="19"/>
      <c r="H46" s="19"/>
      <c r="I46" s="19"/>
      <c r="J46" s="19"/>
      <c r="K46" s="19"/>
    </row>
    <row r="47" spans="1:69">
      <c r="B47" s="19"/>
      <c r="C47" s="19"/>
      <c r="D47" s="19"/>
      <c r="E47" s="19"/>
      <c r="F47" s="19"/>
      <c r="G47" s="19"/>
      <c r="H47" s="19"/>
      <c r="I47" s="19"/>
      <c r="J47" s="19"/>
      <c r="K47" s="19"/>
    </row>
    <row r="48" spans="1:69">
      <c r="B48" s="19"/>
      <c r="C48" s="19"/>
      <c r="D48" s="19"/>
      <c r="E48" s="19"/>
      <c r="F48" s="19"/>
      <c r="G48" s="19"/>
      <c r="H48" s="19"/>
      <c r="I48" s="19"/>
      <c r="J48" s="19"/>
      <c r="K48" s="19"/>
    </row>
  </sheetData>
  <mergeCells count="2">
    <mergeCell ref="E3:I3"/>
    <mergeCell ref="E4:I4"/>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Telecom!$P$9:$P$89</xm:f>
          </x14:formula1>
          <xm:sqref>E4:I4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70" zoomScaleNormal="70" zoomScalePageLayoutView="80" workbookViewId="0"/>
  </sheetViews>
  <sheetFormatPr defaultColWidth="9.21875" defaultRowHeight="13.2"/>
  <cols>
    <col min="1" max="1" width="4.44140625" style="1" customWidth="1"/>
    <col min="2" max="2" width="16.77734375" style="1" customWidth="1"/>
    <col min="3" max="13" width="9" style="1" customWidth="1"/>
    <col min="14" max="14" width="11.44140625" style="1" bestFit="1" customWidth="1"/>
    <col min="15" max="16384" width="9.21875" style="1"/>
  </cols>
  <sheetData>
    <row r="2" spans="1:15" ht="17.399999999999999">
      <c r="B2" s="6" t="str">
        <f>Introduction!$B$2</f>
        <v>LightCounting Ethernet Transceivers Forecast</v>
      </c>
    </row>
    <row r="3" spans="1:15" ht="15.6">
      <c r="B3" s="43" t="str">
        <f>Introduction!$B$3</f>
        <v>September 2021 - Sample template for illustrative purposes only</v>
      </c>
    </row>
    <row r="4" spans="1:15" ht="17.399999999999999">
      <c r="B4" s="6" t="s">
        <v>0</v>
      </c>
    </row>
    <row r="6" spans="1:15">
      <c r="B6" s="25" t="s">
        <v>23</v>
      </c>
      <c r="C6" s="24"/>
      <c r="D6" s="24"/>
      <c r="E6" s="24"/>
      <c r="F6" s="24"/>
      <c r="G6" s="24"/>
      <c r="H6" s="24"/>
      <c r="I6" s="24"/>
      <c r="J6" s="8"/>
      <c r="K6" s="8"/>
      <c r="L6" s="8"/>
      <c r="M6" s="8"/>
      <c r="N6" s="8"/>
      <c r="O6" s="8"/>
    </row>
    <row r="7" spans="1:15">
      <c r="B7" s="25" t="s">
        <v>26</v>
      </c>
      <c r="C7" s="24"/>
      <c r="D7" s="24"/>
      <c r="E7" s="24"/>
      <c r="F7" s="24"/>
      <c r="G7" s="24"/>
      <c r="H7" s="24"/>
      <c r="I7" s="24"/>
      <c r="J7" s="8"/>
      <c r="K7" s="8"/>
      <c r="L7" s="8"/>
      <c r="M7" s="8"/>
      <c r="N7" s="8"/>
      <c r="O7" s="8"/>
    </row>
    <row r="8" spans="1:15">
      <c r="B8" s="25" t="s">
        <v>24</v>
      </c>
      <c r="C8" s="9"/>
      <c r="D8" s="9"/>
      <c r="E8" s="9"/>
      <c r="F8" s="9"/>
      <c r="G8" s="9"/>
      <c r="H8" s="9"/>
      <c r="I8" s="9"/>
      <c r="J8" s="8"/>
      <c r="K8" s="8"/>
      <c r="L8" s="8"/>
      <c r="M8" s="8"/>
      <c r="N8" s="8"/>
      <c r="O8" s="8"/>
    </row>
    <row r="9" spans="1:15">
      <c r="A9" s="22"/>
      <c r="B9" s="1" t="s">
        <v>25</v>
      </c>
      <c r="C9" s="24"/>
      <c r="D9" s="24"/>
      <c r="E9" s="24"/>
      <c r="F9" s="24"/>
      <c r="G9" s="24"/>
      <c r="H9" s="24"/>
      <c r="I9" s="24"/>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s="19" customFormat="1">
      <c r="B22" s="18"/>
      <c r="C22" s="26"/>
      <c r="D22" s="20"/>
      <c r="E22" s="20"/>
      <c r="F22" s="20"/>
      <c r="G22" s="20"/>
      <c r="H22" s="20"/>
      <c r="I22" s="20"/>
      <c r="J22" s="20"/>
      <c r="K22" s="27"/>
    </row>
    <row r="23" spans="2:15">
      <c r="B23" s="28" t="s">
        <v>1</v>
      </c>
      <c r="C23" s="8"/>
      <c r="D23" s="8"/>
      <c r="E23" s="8"/>
      <c r="F23" s="8"/>
      <c r="G23" s="8"/>
      <c r="H23" s="8"/>
      <c r="I23" s="8"/>
      <c r="J23" s="8"/>
      <c r="K23" s="8"/>
      <c r="L23" s="8"/>
      <c r="M23" s="8"/>
      <c r="N23" s="8"/>
      <c r="O23" s="8"/>
    </row>
    <row r="24" spans="2:15">
      <c r="B24" s="8"/>
      <c r="C24" s="8"/>
      <c r="D24" s="8"/>
      <c r="E24" s="8"/>
      <c r="F24" s="8"/>
      <c r="G24" s="8"/>
      <c r="H24" s="8"/>
      <c r="I24" s="8"/>
      <c r="J24" s="8"/>
      <c r="K24" s="8"/>
      <c r="L24" s="8"/>
      <c r="M24" s="8"/>
      <c r="N24" s="8"/>
      <c r="O24" s="8"/>
    </row>
    <row r="25" spans="2:15">
      <c r="B25" s="22" t="s">
        <v>2</v>
      </c>
      <c r="C25" s="22"/>
      <c r="D25" s="22"/>
      <c r="E25" s="22"/>
      <c r="F25" s="22"/>
      <c r="G25" s="22"/>
      <c r="H25" s="22"/>
      <c r="I25" s="22"/>
      <c r="J25" s="8"/>
      <c r="K25" s="8"/>
      <c r="L25" s="8"/>
      <c r="M25" s="8"/>
      <c r="N25" s="8"/>
      <c r="O25" s="8"/>
    </row>
    <row r="26" spans="2:15">
      <c r="B26" s="22"/>
      <c r="C26" s="22"/>
      <c r="D26" s="22"/>
      <c r="E26" s="22"/>
      <c r="F26" s="22"/>
      <c r="G26" s="22"/>
      <c r="H26" s="22"/>
      <c r="I26" s="22"/>
      <c r="J26" s="8"/>
      <c r="K26" s="8"/>
      <c r="L26" s="8"/>
      <c r="M26" s="8"/>
      <c r="N26" s="8"/>
      <c r="O26" s="8"/>
    </row>
    <row r="27" spans="2:15">
      <c r="B27" s="23" t="s">
        <v>3</v>
      </c>
      <c r="C27" s="22"/>
      <c r="D27" s="22"/>
      <c r="E27" s="22"/>
      <c r="F27" s="22"/>
      <c r="G27" s="22"/>
      <c r="H27" s="22"/>
      <c r="I27" s="22"/>
      <c r="J27" s="8"/>
      <c r="K27" s="8"/>
      <c r="L27" s="8"/>
      <c r="M27" s="8"/>
      <c r="N27" s="8"/>
      <c r="O27" s="8"/>
    </row>
    <row r="28" spans="2:15">
      <c r="B28" s="23"/>
      <c r="C28" s="22"/>
      <c r="D28" s="22"/>
      <c r="E28" s="22"/>
      <c r="F28" s="22"/>
      <c r="G28" s="22"/>
      <c r="H28" s="22"/>
      <c r="I28" s="22"/>
      <c r="J28" s="8"/>
      <c r="K28" s="8"/>
      <c r="L28" s="8"/>
      <c r="M28" s="8"/>
      <c r="N28" s="8"/>
      <c r="O28" s="8"/>
    </row>
    <row r="29" spans="2:15" ht="13.5" customHeight="1">
      <c r="B29" s="725" t="s">
        <v>4</v>
      </c>
      <c r="C29" s="725"/>
      <c r="D29" s="725"/>
      <c r="E29" s="725"/>
      <c r="F29" s="725"/>
      <c r="G29" s="725"/>
      <c r="H29" s="725"/>
      <c r="I29" s="725"/>
      <c r="J29" s="8"/>
      <c r="K29" s="8"/>
      <c r="L29" s="8"/>
      <c r="M29" s="8"/>
      <c r="N29" s="8"/>
      <c r="O29" s="8"/>
    </row>
    <row r="30" spans="2:15">
      <c r="B30" s="725"/>
      <c r="C30" s="725"/>
      <c r="D30" s="725"/>
      <c r="E30" s="725"/>
      <c r="F30" s="725"/>
      <c r="G30" s="725"/>
      <c r="H30" s="725"/>
      <c r="I30" s="725"/>
      <c r="J30" s="8"/>
      <c r="K30" s="8"/>
      <c r="L30" s="8"/>
      <c r="M30" s="8"/>
      <c r="N30" s="8"/>
      <c r="O30" s="8"/>
    </row>
    <row r="31" spans="2:15">
      <c r="B31" s="725"/>
      <c r="C31" s="725"/>
      <c r="D31" s="725"/>
      <c r="E31" s="725"/>
      <c r="F31" s="725"/>
      <c r="G31" s="725"/>
      <c r="H31" s="725"/>
      <c r="I31" s="725"/>
      <c r="J31" s="8"/>
      <c r="K31" s="8"/>
      <c r="L31" s="8"/>
      <c r="M31" s="8"/>
      <c r="N31" s="8"/>
      <c r="O31" s="8"/>
    </row>
    <row r="32" spans="2:15">
      <c r="B32" s="725"/>
      <c r="C32" s="725"/>
      <c r="D32" s="725"/>
      <c r="E32" s="725"/>
      <c r="F32" s="725"/>
      <c r="G32" s="725"/>
      <c r="H32" s="725"/>
      <c r="I32" s="725"/>
      <c r="J32" s="8"/>
      <c r="K32" s="8"/>
      <c r="L32" s="8"/>
      <c r="M32" s="8"/>
      <c r="N32" s="8"/>
      <c r="O32" s="8"/>
    </row>
    <row r="33" spans="2:15">
      <c r="B33" s="22"/>
      <c r="C33" s="22"/>
      <c r="D33" s="22"/>
      <c r="E33" s="22"/>
      <c r="F33" s="22"/>
      <c r="G33" s="22"/>
      <c r="H33" s="22"/>
      <c r="I33" s="22"/>
      <c r="J33" s="8"/>
      <c r="K33" s="8"/>
      <c r="L33" s="8"/>
      <c r="M33" s="8"/>
      <c r="N33" s="8"/>
      <c r="O33" s="8"/>
    </row>
    <row r="34" spans="2:15">
      <c r="B34" s="23" t="s">
        <v>5</v>
      </c>
      <c r="C34" s="22"/>
      <c r="D34" s="22"/>
      <c r="E34" s="22"/>
      <c r="F34" s="22"/>
      <c r="G34" s="22"/>
      <c r="H34" s="22"/>
      <c r="I34" s="22"/>
      <c r="J34" s="8"/>
      <c r="K34" s="8"/>
      <c r="L34" s="8"/>
      <c r="M34" s="8"/>
      <c r="N34" s="8"/>
      <c r="O34" s="8"/>
    </row>
    <row r="35" spans="2:15" ht="13.5" customHeight="1">
      <c r="B35" s="725" t="s">
        <v>6</v>
      </c>
      <c r="C35" s="725"/>
      <c r="D35" s="725"/>
      <c r="E35" s="725"/>
      <c r="F35" s="725"/>
      <c r="G35" s="725"/>
      <c r="H35" s="725"/>
      <c r="I35" s="725"/>
      <c r="J35" s="8"/>
      <c r="K35" s="8"/>
      <c r="L35" s="8"/>
      <c r="M35" s="8"/>
      <c r="N35" s="8"/>
      <c r="O35" s="8"/>
    </row>
    <row r="36" spans="2:15">
      <c r="B36" s="725"/>
      <c r="C36" s="725"/>
      <c r="D36" s="725"/>
      <c r="E36" s="725"/>
      <c r="F36" s="725"/>
      <c r="G36" s="725"/>
      <c r="H36" s="725"/>
      <c r="I36" s="725"/>
      <c r="J36" s="8"/>
      <c r="K36" s="8"/>
      <c r="L36" s="8"/>
      <c r="M36" s="8"/>
      <c r="N36" s="8"/>
      <c r="O36" s="8"/>
    </row>
    <row r="37" spans="2:15">
      <c r="B37" s="725"/>
      <c r="C37" s="725"/>
      <c r="D37" s="725"/>
      <c r="E37" s="725"/>
      <c r="F37" s="725"/>
      <c r="G37" s="725"/>
      <c r="H37" s="725"/>
      <c r="I37" s="725"/>
      <c r="J37" s="8"/>
      <c r="K37" s="8"/>
      <c r="L37" s="8"/>
      <c r="M37" s="8"/>
      <c r="N37" s="8"/>
      <c r="O37" s="8"/>
    </row>
    <row r="38" spans="2:15">
      <c r="B38" s="725"/>
      <c r="C38" s="725"/>
      <c r="D38" s="725"/>
      <c r="E38" s="725"/>
      <c r="F38" s="725"/>
      <c r="G38" s="725"/>
      <c r="H38" s="725"/>
      <c r="I38" s="725"/>
      <c r="J38" s="8"/>
      <c r="K38" s="8"/>
      <c r="L38" s="8"/>
      <c r="M38" s="8"/>
      <c r="N38" s="8"/>
      <c r="O38" s="8"/>
    </row>
    <row r="39" spans="2:15">
      <c r="B39" s="22"/>
      <c r="C39" s="22"/>
      <c r="D39" s="22"/>
      <c r="E39" s="22"/>
      <c r="F39" s="22"/>
      <c r="G39" s="22"/>
      <c r="H39" s="22"/>
      <c r="I39" s="22"/>
      <c r="J39" s="8"/>
      <c r="K39" s="8"/>
      <c r="L39" s="8"/>
      <c r="M39" s="8"/>
      <c r="N39" s="8"/>
      <c r="O39" s="8"/>
    </row>
    <row r="40" spans="2:15">
      <c r="B40" s="23" t="s">
        <v>7</v>
      </c>
      <c r="C40" s="22"/>
      <c r="D40" s="22"/>
      <c r="E40" s="22"/>
      <c r="F40" s="22"/>
      <c r="G40" s="22"/>
      <c r="H40" s="22"/>
      <c r="I40" s="22"/>
      <c r="J40" s="8"/>
      <c r="K40" s="8"/>
      <c r="L40" s="8"/>
      <c r="M40" s="8"/>
      <c r="N40" s="8"/>
      <c r="O40" s="8"/>
    </row>
    <row r="41" spans="2:15" ht="13.5" customHeight="1">
      <c r="B41" s="725" t="s">
        <v>8</v>
      </c>
      <c r="C41" s="725"/>
      <c r="D41" s="725"/>
      <c r="E41" s="725"/>
      <c r="F41" s="725"/>
      <c r="G41" s="725"/>
      <c r="H41" s="725"/>
      <c r="I41" s="725"/>
      <c r="J41" s="8"/>
      <c r="K41" s="8"/>
      <c r="L41" s="8"/>
      <c r="M41" s="8"/>
      <c r="N41" s="8"/>
      <c r="O41" s="8"/>
    </row>
    <row r="42" spans="2:15">
      <c r="B42" s="725"/>
      <c r="C42" s="725"/>
      <c r="D42" s="725"/>
      <c r="E42" s="725"/>
      <c r="F42" s="725"/>
      <c r="G42" s="725"/>
      <c r="H42" s="725"/>
      <c r="I42" s="725"/>
      <c r="J42" s="8"/>
      <c r="K42" s="8"/>
      <c r="L42" s="8"/>
      <c r="M42" s="8"/>
      <c r="N42" s="8"/>
      <c r="O42" s="8"/>
    </row>
    <row r="43" spans="2:15">
      <c r="B43" s="725"/>
      <c r="C43" s="725"/>
      <c r="D43" s="725"/>
      <c r="E43" s="725"/>
      <c r="F43" s="725"/>
      <c r="G43" s="725"/>
      <c r="H43" s="725"/>
      <c r="I43" s="725"/>
      <c r="J43" s="8"/>
      <c r="K43" s="8"/>
      <c r="L43" s="8"/>
      <c r="M43" s="8"/>
      <c r="N43" s="8"/>
      <c r="O43" s="8"/>
    </row>
    <row r="44" spans="2:15">
      <c r="B44" s="725"/>
      <c r="C44" s="725"/>
      <c r="D44" s="725"/>
      <c r="E44" s="725"/>
      <c r="F44" s="725"/>
      <c r="G44" s="725"/>
      <c r="H44" s="725"/>
      <c r="I44" s="725"/>
      <c r="J44" s="8"/>
      <c r="K44" s="8"/>
      <c r="L44" s="8"/>
      <c r="M44" s="8"/>
      <c r="N44" s="8"/>
      <c r="O44" s="8"/>
    </row>
    <row r="45" spans="2:15">
      <c r="B45" s="725"/>
      <c r="C45" s="725"/>
      <c r="D45" s="725"/>
      <c r="E45" s="725"/>
      <c r="F45" s="725"/>
      <c r="G45" s="725"/>
      <c r="H45" s="725"/>
      <c r="I45" s="725"/>
      <c r="J45" s="8"/>
      <c r="K45" s="8"/>
      <c r="L45" s="8"/>
      <c r="M45" s="8"/>
      <c r="N45" s="8"/>
      <c r="O45" s="8"/>
    </row>
    <row r="46" spans="2:15">
      <c r="B46" s="22"/>
      <c r="C46" s="22"/>
      <c r="D46" s="22"/>
      <c r="E46" s="22"/>
      <c r="F46" s="22"/>
      <c r="G46" s="22"/>
      <c r="H46" s="22"/>
      <c r="I46" s="22"/>
      <c r="J46" s="8"/>
      <c r="K46" s="8"/>
      <c r="L46" s="8"/>
      <c r="M46" s="8"/>
      <c r="N46" s="8"/>
      <c r="O46" s="8"/>
    </row>
    <row r="47" spans="2:15">
      <c r="B47" s="23" t="s">
        <v>9</v>
      </c>
      <c r="C47" s="22"/>
      <c r="D47" s="22"/>
      <c r="E47" s="22"/>
      <c r="F47" s="22"/>
      <c r="G47" s="22"/>
      <c r="H47" s="22"/>
      <c r="I47" s="22"/>
      <c r="J47" s="8"/>
      <c r="K47" s="8"/>
      <c r="L47" s="8"/>
      <c r="M47" s="8"/>
      <c r="N47" s="8"/>
      <c r="O47" s="8"/>
    </row>
    <row r="48" spans="2:15" ht="13.5" customHeight="1">
      <c r="B48" s="725" t="s">
        <v>10</v>
      </c>
      <c r="C48" s="725"/>
      <c r="D48" s="725"/>
      <c r="E48" s="725"/>
      <c r="F48" s="725"/>
      <c r="G48" s="725"/>
      <c r="H48" s="725"/>
      <c r="I48" s="725"/>
      <c r="J48" s="8"/>
      <c r="K48" s="8"/>
      <c r="L48" s="8"/>
      <c r="M48" s="8"/>
      <c r="N48" s="8"/>
      <c r="O48" s="8"/>
    </row>
    <row r="49" spans="2:15">
      <c r="B49" s="725"/>
      <c r="C49" s="725"/>
      <c r="D49" s="725"/>
      <c r="E49" s="725"/>
      <c r="F49" s="725"/>
      <c r="G49" s="725"/>
      <c r="H49" s="725"/>
      <c r="I49" s="725"/>
      <c r="J49" s="8"/>
      <c r="K49" s="8"/>
      <c r="L49" s="8"/>
      <c r="M49" s="8"/>
      <c r="N49" s="8"/>
      <c r="O49" s="8"/>
    </row>
    <row r="50" spans="2:15">
      <c r="B50" s="725"/>
      <c r="C50" s="725"/>
      <c r="D50" s="725"/>
      <c r="E50" s="725"/>
      <c r="F50" s="725"/>
      <c r="G50" s="725"/>
      <c r="H50" s="725"/>
      <c r="I50" s="725"/>
      <c r="J50" s="8"/>
      <c r="K50" s="8"/>
      <c r="L50" s="8"/>
      <c r="M50" s="8"/>
      <c r="N50" s="8"/>
      <c r="O50" s="8"/>
    </row>
    <row r="51" spans="2:15">
      <c r="B51" s="725"/>
      <c r="C51" s="725"/>
      <c r="D51" s="725"/>
      <c r="E51" s="725"/>
      <c r="F51" s="725"/>
      <c r="G51" s="725"/>
      <c r="H51" s="725"/>
      <c r="I51" s="725"/>
      <c r="J51" s="8"/>
      <c r="K51" s="8"/>
      <c r="L51" s="8"/>
      <c r="M51" s="8"/>
      <c r="N51" s="8"/>
      <c r="O51" s="8"/>
    </row>
    <row r="52" spans="2:15">
      <c r="B52" s="22"/>
      <c r="C52" s="22"/>
      <c r="D52" s="22"/>
      <c r="E52" s="22"/>
      <c r="F52" s="22"/>
      <c r="G52" s="22"/>
      <c r="H52" s="22"/>
      <c r="I52" s="22"/>
      <c r="J52" s="8"/>
      <c r="K52" s="8"/>
      <c r="L52" s="8"/>
      <c r="M52" s="8"/>
      <c r="N52" s="8"/>
      <c r="O52" s="8"/>
    </row>
    <row r="53" spans="2:15">
      <c r="B53" s="23" t="s">
        <v>11</v>
      </c>
      <c r="C53" s="22"/>
      <c r="D53" s="22"/>
      <c r="E53" s="22"/>
      <c r="F53" s="22"/>
      <c r="G53" s="22"/>
      <c r="H53" s="22"/>
      <c r="I53" s="22"/>
      <c r="J53" s="8"/>
      <c r="K53" s="8"/>
      <c r="L53" s="8"/>
      <c r="M53" s="8"/>
      <c r="N53" s="8"/>
      <c r="O53" s="8"/>
    </row>
    <row r="54" spans="2:15" ht="13.5" customHeight="1">
      <c r="B54" s="725" t="s">
        <v>12</v>
      </c>
      <c r="C54" s="725"/>
      <c r="D54" s="725"/>
      <c r="E54" s="725"/>
      <c r="F54" s="725"/>
      <c r="G54" s="725"/>
      <c r="H54" s="725"/>
      <c r="I54" s="725"/>
      <c r="J54" s="8"/>
      <c r="K54" s="8"/>
      <c r="L54" s="8"/>
      <c r="M54" s="8"/>
      <c r="N54" s="8"/>
      <c r="O54" s="8"/>
    </row>
    <row r="55" spans="2:15">
      <c r="B55" s="725"/>
      <c r="C55" s="725"/>
      <c r="D55" s="725"/>
      <c r="E55" s="725"/>
      <c r="F55" s="725"/>
      <c r="G55" s="725"/>
      <c r="H55" s="725"/>
      <c r="I55" s="725"/>
      <c r="J55" s="8"/>
      <c r="K55" s="8"/>
      <c r="L55" s="8"/>
      <c r="M55" s="8"/>
      <c r="N55" s="8"/>
      <c r="O55" s="8"/>
    </row>
    <row r="56" spans="2:15">
      <c r="B56" s="725"/>
      <c r="C56" s="725"/>
      <c r="D56" s="725"/>
      <c r="E56" s="725"/>
      <c r="F56" s="725"/>
      <c r="G56" s="725"/>
      <c r="H56" s="725"/>
      <c r="I56" s="725"/>
      <c r="J56" s="8"/>
      <c r="K56" s="8"/>
      <c r="L56" s="8"/>
      <c r="M56" s="8"/>
      <c r="N56" s="8"/>
      <c r="O56" s="8"/>
    </row>
    <row r="57" spans="2:15">
      <c r="B57" s="725"/>
      <c r="C57" s="725"/>
      <c r="D57" s="725"/>
      <c r="E57" s="725"/>
      <c r="F57" s="725"/>
      <c r="G57" s="725"/>
      <c r="H57" s="725"/>
      <c r="I57" s="725"/>
      <c r="J57" s="8"/>
      <c r="K57" s="8"/>
      <c r="L57" s="8"/>
      <c r="M57" s="8"/>
      <c r="N57" s="8"/>
      <c r="O57" s="8"/>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P140"/>
  <sheetViews>
    <sheetView showGridLines="0" topLeftCell="A34" zoomScale="60" zoomScaleNormal="60" zoomScalePageLayoutView="40" workbookViewId="0">
      <pane xSplit="1" ySplit="2" topLeftCell="B36" activePane="bottomRight" state="frozen"/>
      <selection activeCell="A34" sqref="A34"/>
      <selection pane="topRight" activeCell="B34" sqref="B34"/>
      <selection pane="bottomLeft" activeCell="A36" sqref="A36"/>
      <selection pane="bottomRight" activeCell="A34" sqref="A34"/>
    </sheetView>
  </sheetViews>
  <sheetFormatPr defaultColWidth="8.77734375" defaultRowHeight="13.8"/>
  <cols>
    <col min="1" max="1" width="1.44140625" style="5" customWidth="1"/>
    <col min="2" max="2" width="30.77734375" style="5" customWidth="1"/>
    <col min="3" max="3" width="26" style="5" customWidth="1"/>
    <col min="4" max="4" width="29.33203125" style="5" customWidth="1"/>
    <col min="5" max="5" width="27.77734375" style="5" customWidth="1"/>
    <col min="6" max="6" width="18.44140625" style="5" customWidth="1"/>
    <col min="7" max="7" width="15.6640625" style="5" customWidth="1"/>
    <col min="8" max="8" width="22.44140625" style="5" customWidth="1"/>
    <col min="9" max="9" width="15.21875" style="5" customWidth="1"/>
    <col min="10" max="10" width="27.44140625" style="449" customWidth="1"/>
    <col min="11" max="11" width="27.33203125" style="449" customWidth="1"/>
    <col min="12" max="12" width="27.21875" style="5" customWidth="1"/>
    <col min="13" max="13" width="18.44140625" style="5" customWidth="1"/>
    <col min="14" max="14" width="13.44140625" style="5" customWidth="1"/>
    <col min="15" max="16" width="13.21875" style="5" customWidth="1"/>
    <col min="17" max="17" width="13.44140625" style="5" customWidth="1"/>
    <col min="18" max="16384" width="8.77734375" style="5"/>
  </cols>
  <sheetData>
    <row r="2" spans="2:16" ht="17.399999999999999">
      <c r="B2" s="6" t="str">
        <f>Introduction!$B$2</f>
        <v>LightCounting Ethernet Transceivers Forecast</v>
      </c>
    </row>
    <row r="3" spans="2:16" ht="15.6">
      <c r="B3" s="43" t="str">
        <f>Introduction!$B$3</f>
        <v>September 2021 - Sample template for illustrative purposes only</v>
      </c>
    </row>
    <row r="4" spans="2:16" ht="17.399999999999999">
      <c r="B4" s="6" t="s">
        <v>16</v>
      </c>
    </row>
    <row r="6" spans="2:16" ht="21">
      <c r="B6" s="726" t="s">
        <v>116</v>
      </c>
      <c r="C6" s="727"/>
      <c r="D6" s="727"/>
      <c r="E6" s="727"/>
      <c r="F6" s="727"/>
      <c r="G6" s="727"/>
      <c r="H6" s="727"/>
      <c r="I6" s="727"/>
      <c r="J6" s="727"/>
      <c r="K6" s="727"/>
      <c r="L6" s="727"/>
      <c r="M6" s="727"/>
      <c r="N6" s="727"/>
      <c r="O6" s="727"/>
      <c r="P6" s="728"/>
    </row>
    <row r="7" spans="2:16" ht="23.25" customHeight="1">
      <c r="B7" s="729" t="s">
        <v>137</v>
      </c>
      <c r="C7" s="730"/>
      <c r="D7" s="730"/>
      <c r="E7" s="730"/>
      <c r="F7" s="730"/>
      <c r="G7" s="730"/>
      <c r="H7" s="730"/>
      <c r="I7" s="730"/>
      <c r="J7" s="730"/>
      <c r="K7" s="730"/>
      <c r="L7" s="730"/>
      <c r="M7" s="730"/>
      <c r="N7" s="730"/>
      <c r="O7" s="730"/>
      <c r="P7" s="731"/>
    </row>
    <row r="8" spans="2:16" ht="18.75" customHeight="1">
      <c r="B8" s="732"/>
      <c r="C8" s="733"/>
      <c r="D8" s="733"/>
      <c r="E8" s="733"/>
      <c r="F8" s="733"/>
      <c r="G8" s="733"/>
      <c r="H8" s="733"/>
      <c r="I8" s="733"/>
      <c r="J8" s="733"/>
      <c r="K8" s="733"/>
      <c r="L8" s="733"/>
      <c r="M8" s="733"/>
      <c r="N8" s="733"/>
      <c r="O8" s="733"/>
      <c r="P8" s="734"/>
    </row>
    <row r="9" spans="2:16" ht="10.5" customHeight="1">
      <c r="B9" s="245"/>
      <c r="C9" s="246"/>
      <c r="D9" s="246"/>
      <c r="E9" s="246"/>
      <c r="F9" s="246"/>
      <c r="G9" s="246"/>
      <c r="H9" s="246"/>
      <c r="I9" s="246"/>
      <c r="J9" s="450"/>
      <c r="K9" s="450"/>
      <c r="L9" s="246"/>
      <c r="M9" s="246"/>
      <c r="N9" s="246"/>
      <c r="O9" s="246"/>
      <c r="P9" s="247"/>
    </row>
    <row r="10" spans="2:16" ht="18">
      <c r="B10" s="248" t="s">
        <v>117</v>
      </c>
      <c r="C10" s="246"/>
      <c r="D10" s="246"/>
      <c r="E10" s="246"/>
      <c r="F10" s="246"/>
      <c r="G10" s="246"/>
      <c r="H10" s="246"/>
      <c r="I10" s="246"/>
      <c r="J10" s="450"/>
      <c r="K10" s="450"/>
      <c r="L10" s="246"/>
      <c r="M10" s="246"/>
      <c r="N10" s="246"/>
      <c r="O10" s="246"/>
      <c r="P10" s="247"/>
    </row>
    <row r="11" spans="2:16" ht="18">
      <c r="B11" s="248" t="s">
        <v>138</v>
      </c>
      <c r="C11" s="246"/>
      <c r="D11" s="246"/>
      <c r="E11" s="246"/>
      <c r="F11" s="246"/>
      <c r="G11" s="246"/>
      <c r="H11" s="246"/>
      <c r="I11" s="246"/>
      <c r="J11" s="450"/>
      <c r="K11" s="450"/>
      <c r="L11" s="246"/>
      <c r="M11" s="246"/>
      <c r="N11" s="246"/>
      <c r="O11" s="246"/>
      <c r="P11" s="247"/>
    </row>
    <row r="12" spans="2:16" ht="18">
      <c r="B12" s="248" t="s">
        <v>139</v>
      </c>
      <c r="C12" s="246"/>
      <c r="D12" s="246"/>
      <c r="E12" s="246"/>
      <c r="F12" s="246"/>
      <c r="G12" s="246"/>
      <c r="H12" s="246"/>
      <c r="I12" s="246"/>
      <c r="J12" s="450"/>
      <c r="K12" s="450"/>
      <c r="L12" s="246"/>
      <c r="M12" s="246"/>
      <c r="N12" s="246"/>
      <c r="O12" s="246"/>
      <c r="P12" s="247"/>
    </row>
    <row r="13" spans="2:16" ht="9" customHeight="1">
      <c r="B13" s="245"/>
      <c r="C13" s="246"/>
      <c r="D13" s="246"/>
      <c r="E13" s="246"/>
      <c r="F13" s="246"/>
      <c r="G13" s="246"/>
      <c r="H13" s="246"/>
      <c r="I13" s="246"/>
      <c r="J13" s="450"/>
      <c r="K13" s="450"/>
      <c r="L13" s="246"/>
      <c r="M13" s="246"/>
      <c r="N13" s="246"/>
      <c r="O13" s="246"/>
      <c r="P13" s="247"/>
    </row>
    <row r="14" spans="2:16" ht="18">
      <c r="B14" s="248" t="s">
        <v>118</v>
      </c>
      <c r="C14" s="246"/>
      <c r="D14" s="246"/>
      <c r="E14" s="246"/>
      <c r="F14" s="246"/>
      <c r="G14" s="246"/>
      <c r="H14" s="246"/>
      <c r="I14" s="246"/>
      <c r="J14" s="450"/>
      <c r="K14" s="450"/>
      <c r="L14" s="246"/>
      <c r="M14" s="246"/>
      <c r="N14" s="246"/>
      <c r="O14" s="246"/>
      <c r="P14" s="247"/>
    </row>
    <row r="15" spans="2:16" ht="18">
      <c r="B15" s="248" t="s">
        <v>119</v>
      </c>
      <c r="C15" s="246"/>
      <c r="D15" s="246"/>
      <c r="E15" s="246"/>
      <c r="F15" s="246"/>
      <c r="G15" s="246"/>
      <c r="H15" s="246"/>
      <c r="I15" s="246"/>
      <c r="J15" s="450"/>
      <c r="K15" s="450"/>
      <c r="L15" s="246"/>
      <c r="M15" s="246"/>
      <c r="N15" s="246"/>
      <c r="O15" s="246"/>
      <c r="P15" s="247"/>
    </row>
    <row r="16" spans="2:16">
      <c r="B16" s="249"/>
      <c r="C16" s="250"/>
      <c r="D16" s="250"/>
      <c r="E16" s="250"/>
      <c r="F16" s="250"/>
      <c r="G16" s="250"/>
      <c r="H16" s="250"/>
      <c r="I16" s="250"/>
      <c r="J16" s="451"/>
      <c r="K16" s="451"/>
      <c r="L16" s="250"/>
      <c r="M16" s="250"/>
      <c r="N16" s="250"/>
      <c r="O16" s="250"/>
      <c r="P16" s="251"/>
    </row>
    <row r="24" spans="6:16">
      <c r="F24" s="255"/>
      <c r="G24" s="255"/>
      <c r="P24" s="255"/>
    </row>
    <row r="25" spans="6:16">
      <c r="F25" s="255"/>
      <c r="G25" s="255"/>
      <c r="P25" s="256" t="s">
        <v>121</v>
      </c>
    </row>
    <row r="26" spans="6:16">
      <c r="P26" s="256" t="s">
        <v>223</v>
      </c>
    </row>
    <row r="34" spans="2:12" ht="21">
      <c r="B34" s="257" t="s">
        <v>122</v>
      </c>
      <c r="C34" s="257"/>
      <c r="D34" s="257"/>
      <c r="E34" s="257"/>
    </row>
    <row r="35" spans="2:12" ht="21">
      <c r="B35" s="38" t="s">
        <v>224</v>
      </c>
      <c r="C35" s="38" t="s">
        <v>31</v>
      </c>
      <c r="D35" s="38" t="s">
        <v>33</v>
      </c>
      <c r="E35" s="38" t="s">
        <v>155</v>
      </c>
      <c r="F35" s="38" t="s">
        <v>154</v>
      </c>
      <c r="G35" s="664" t="s">
        <v>465</v>
      </c>
      <c r="H35" s="38" t="s">
        <v>276</v>
      </c>
      <c r="I35" s="38" t="s">
        <v>277</v>
      </c>
      <c r="J35" s="455" t="s">
        <v>270</v>
      </c>
      <c r="K35" s="455" t="s">
        <v>302</v>
      </c>
      <c r="L35" s="447"/>
    </row>
    <row r="36" spans="2:12" ht="15.75" customHeight="1">
      <c r="B36" s="40" t="s">
        <v>63</v>
      </c>
      <c r="C36" s="40" t="s">
        <v>44</v>
      </c>
      <c r="D36" s="432" t="s">
        <v>46</v>
      </c>
      <c r="E36" s="76" t="s">
        <v>113</v>
      </c>
      <c r="F36" s="628" t="s">
        <v>98</v>
      </c>
      <c r="G36" s="665">
        <v>1</v>
      </c>
      <c r="H36" s="475" t="s">
        <v>98</v>
      </c>
      <c r="I36" s="76"/>
      <c r="J36" s="456"/>
      <c r="K36" s="456"/>
      <c r="L36" s="447"/>
    </row>
    <row r="37" spans="2:12" ht="15.75" customHeight="1">
      <c r="B37" s="41" t="s">
        <v>63</v>
      </c>
      <c r="C37" s="41" t="s">
        <v>50</v>
      </c>
      <c r="D37" s="227" t="s">
        <v>46</v>
      </c>
      <c r="E37" s="186" t="s">
        <v>113</v>
      </c>
      <c r="F37" s="671" t="s">
        <v>99</v>
      </c>
      <c r="G37" s="666">
        <v>1</v>
      </c>
      <c r="H37" s="474" t="s">
        <v>99</v>
      </c>
      <c r="I37" s="186"/>
      <c r="J37" s="457"/>
      <c r="K37" s="457"/>
      <c r="L37" s="447"/>
    </row>
    <row r="38" spans="2:12" ht="15.75" customHeight="1">
      <c r="B38" s="41" t="s">
        <v>63</v>
      </c>
      <c r="C38" s="41" t="s">
        <v>55</v>
      </c>
      <c r="D38" s="227" t="s">
        <v>46</v>
      </c>
      <c r="E38" s="186" t="s">
        <v>113</v>
      </c>
      <c r="F38" s="671" t="s">
        <v>99</v>
      </c>
      <c r="G38" s="666">
        <v>1</v>
      </c>
      <c r="H38" s="474" t="s">
        <v>99</v>
      </c>
      <c r="I38" s="186"/>
      <c r="J38" s="457"/>
      <c r="K38" s="457"/>
      <c r="L38" s="447"/>
    </row>
    <row r="39" spans="2:12" ht="15.75" customHeight="1">
      <c r="B39" s="41" t="s">
        <v>63</v>
      </c>
      <c r="C39" s="41" t="s">
        <v>57</v>
      </c>
      <c r="D39" s="227" t="s">
        <v>46</v>
      </c>
      <c r="E39" s="186" t="s">
        <v>113</v>
      </c>
      <c r="F39" s="671" t="s">
        <v>99</v>
      </c>
      <c r="G39" s="666">
        <v>1</v>
      </c>
      <c r="H39" s="474" t="s">
        <v>99</v>
      </c>
      <c r="I39" s="186"/>
      <c r="J39" s="457"/>
      <c r="K39" s="457"/>
      <c r="L39" s="447"/>
    </row>
    <row r="40" spans="2:12" ht="15.75" customHeight="1">
      <c r="B40" s="306" t="s">
        <v>225</v>
      </c>
      <c r="C40" s="306" t="s">
        <v>160</v>
      </c>
      <c r="D40" s="427" t="s">
        <v>161</v>
      </c>
      <c r="E40" s="306" t="s">
        <v>158</v>
      </c>
      <c r="F40" s="634" t="s">
        <v>158</v>
      </c>
      <c r="G40" s="667">
        <v>1</v>
      </c>
      <c r="H40" s="473" t="s">
        <v>158</v>
      </c>
      <c r="I40" s="306"/>
      <c r="J40" s="458"/>
      <c r="K40" s="458"/>
      <c r="L40" s="447" t="s">
        <v>258</v>
      </c>
    </row>
    <row r="41" spans="2:12" ht="15.75" customHeight="1">
      <c r="B41" s="75" t="s">
        <v>60</v>
      </c>
      <c r="C41" s="429" t="s">
        <v>41</v>
      </c>
      <c r="D41" s="430" t="s">
        <v>37</v>
      </c>
      <c r="E41" s="186" t="s">
        <v>113</v>
      </c>
      <c r="F41" s="672" t="s">
        <v>98</v>
      </c>
      <c r="G41" s="668">
        <v>10</v>
      </c>
      <c r="H41" s="474" t="s">
        <v>98</v>
      </c>
      <c r="I41" s="186"/>
      <c r="J41" s="457"/>
      <c r="K41" s="457"/>
      <c r="L41" s="447"/>
    </row>
    <row r="42" spans="2:12" ht="15.75" customHeight="1">
      <c r="B42" s="75" t="s">
        <v>60</v>
      </c>
      <c r="C42" s="429" t="s">
        <v>41</v>
      </c>
      <c r="D42" s="430" t="s">
        <v>43</v>
      </c>
      <c r="E42" s="186" t="s">
        <v>318</v>
      </c>
      <c r="F42" s="672" t="s">
        <v>98</v>
      </c>
      <c r="G42" s="668">
        <v>10</v>
      </c>
      <c r="H42" s="474" t="s">
        <v>98</v>
      </c>
      <c r="I42" s="186"/>
      <c r="J42" s="457"/>
      <c r="K42" s="457"/>
      <c r="L42" s="447"/>
    </row>
    <row r="43" spans="2:12" ht="15.75" customHeight="1">
      <c r="B43" s="42" t="s">
        <v>227</v>
      </c>
      <c r="C43" s="42" t="s">
        <v>106</v>
      </c>
      <c r="D43" s="42" t="s">
        <v>43</v>
      </c>
      <c r="E43" s="306" t="s">
        <v>113</v>
      </c>
      <c r="F43" s="673" t="s">
        <v>98</v>
      </c>
      <c r="G43" s="670">
        <v>10</v>
      </c>
      <c r="H43" s="473" t="s">
        <v>98</v>
      </c>
      <c r="I43" s="306"/>
      <c r="J43" s="458"/>
      <c r="K43" s="458"/>
      <c r="L43" s="447"/>
    </row>
    <row r="44" spans="2:12" ht="15.75" customHeight="1">
      <c r="B44" s="41" t="s">
        <v>60</v>
      </c>
      <c r="C44" s="39" t="s">
        <v>50</v>
      </c>
      <c r="D44" s="41" t="s">
        <v>37</v>
      </c>
      <c r="E44" s="186" t="s">
        <v>113</v>
      </c>
      <c r="F44" s="671" t="s">
        <v>99</v>
      </c>
      <c r="G44" s="668">
        <v>10</v>
      </c>
      <c r="H44" s="474" t="s">
        <v>99</v>
      </c>
      <c r="I44" s="186"/>
      <c r="J44" s="457"/>
      <c r="K44" s="457"/>
      <c r="L44" s="447"/>
    </row>
    <row r="45" spans="2:12" ht="15.75" customHeight="1">
      <c r="B45" s="41" t="s">
        <v>60</v>
      </c>
      <c r="C45" s="39" t="s">
        <v>50</v>
      </c>
      <c r="D45" s="41" t="s">
        <v>43</v>
      </c>
      <c r="E45" s="186" t="s">
        <v>318</v>
      </c>
      <c r="F45" s="671" t="s">
        <v>99</v>
      </c>
      <c r="G45" s="668">
        <v>10</v>
      </c>
      <c r="H45" s="474" t="s">
        <v>99</v>
      </c>
      <c r="I45" s="186"/>
      <c r="J45" s="457"/>
      <c r="K45" s="457"/>
      <c r="L45" s="447"/>
    </row>
    <row r="46" spans="2:12" ht="15.75" customHeight="1">
      <c r="B46" s="186" t="s">
        <v>60</v>
      </c>
      <c r="C46" s="75" t="s">
        <v>55</v>
      </c>
      <c r="D46" s="186" t="s">
        <v>37</v>
      </c>
      <c r="E46" s="186" t="s">
        <v>113</v>
      </c>
      <c r="F46" s="629" t="s">
        <v>99</v>
      </c>
      <c r="G46" s="668">
        <v>10</v>
      </c>
      <c r="H46" s="474" t="s">
        <v>99</v>
      </c>
      <c r="I46" s="474"/>
      <c r="J46" s="457"/>
      <c r="K46" s="457"/>
      <c r="L46" s="447" t="s">
        <v>88</v>
      </c>
    </row>
    <row r="47" spans="2:12" ht="15.75" customHeight="1">
      <c r="B47" s="306" t="s">
        <v>60</v>
      </c>
      <c r="C47" s="306" t="s">
        <v>55</v>
      </c>
      <c r="D47" s="186" t="s">
        <v>43</v>
      </c>
      <c r="E47" s="186" t="s">
        <v>113</v>
      </c>
      <c r="F47" s="634" t="s">
        <v>99</v>
      </c>
      <c r="G47" s="670">
        <v>10</v>
      </c>
      <c r="H47" s="474" t="s">
        <v>99</v>
      </c>
      <c r="I47" s="474"/>
      <c r="J47" s="457"/>
      <c r="K47" s="457"/>
      <c r="L47" s="447"/>
    </row>
    <row r="48" spans="2:12" ht="15.75" customHeight="1">
      <c r="B48" s="76" t="s">
        <v>60</v>
      </c>
      <c r="C48" s="75" t="s">
        <v>57</v>
      </c>
      <c r="D48" s="76" t="s">
        <v>37</v>
      </c>
      <c r="E48" s="76" t="s">
        <v>113</v>
      </c>
      <c r="F48" s="629" t="s">
        <v>99</v>
      </c>
      <c r="G48" s="682">
        <v>10</v>
      </c>
      <c r="H48" s="475" t="s">
        <v>99</v>
      </c>
      <c r="I48" s="475"/>
      <c r="J48" s="456"/>
      <c r="K48" s="456"/>
      <c r="L48" s="447" t="s">
        <v>88</v>
      </c>
    </row>
    <row r="49" spans="1:12" ht="15.75" customHeight="1">
      <c r="B49" s="306" t="s">
        <v>60</v>
      </c>
      <c r="C49" s="306" t="s">
        <v>57</v>
      </c>
      <c r="D49" s="306" t="s">
        <v>43</v>
      </c>
      <c r="E49" s="306" t="s">
        <v>113</v>
      </c>
      <c r="F49" s="634" t="s">
        <v>99</v>
      </c>
      <c r="G49" s="683">
        <v>10</v>
      </c>
      <c r="H49" s="473" t="s">
        <v>99</v>
      </c>
      <c r="I49" s="473"/>
      <c r="J49" s="458"/>
      <c r="K49" s="458"/>
      <c r="L49" s="447"/>
    </row>
    <row r="50" spans="1:12" ht="15.75" customHeight="1">
      <c r="B50" s="425" t="s">
        <v>60</v>
      </c>
      <c r="C50" s="425" t="s">
        <v>160</v>
      </c>
      <c r="D50" s="426" t="s">
        <v>161</v>
      </c>
      <c r="E50" s="425" t="s">
        <v>158</v>
      </c>
      <c r="F50" s="674" t="s">
        <v>158</v>
      </c>
      <c r="G50" s="684">
        <v>10</v>
      </c>
      <c r="H50" s="476" t="s">
        <v>158</v>
      </c>
      <c r="I50" s="476"/>
      <c r="J50" s="459"/>
      <c r="K50" s="459"/>
      <c r="L50" s="447" t="s">
        <v>162</v>
      </c>
    </row>
    <row r="51" spans="1:12" ht="15.75" customHeight="1">
      <c r="B51" s="307" t="s">
        <v>228</v>
      </c>
      <c r="C51" s="311" t="s">
        <v>196</v>
      </c>
      <c r="D51" s="307" t="s">
        <v>109</v>
      </c>
      <c r="E51" s="186" t="s">
        <v>113</v>
      </c>
      <c r="F51" s="672" t="s">
        <v>98</v>
      </c>
      <c r="G51" s="685">
        <v>25</v>
      </c>
      <c r="H51" s="474" t="s">
        <v>98</v>
      </c>
      <c r="I51" s="474"/>
      <c r="J51" s="457"/>
      <c r="K51" s="457"/>
      <c r="L51" s="447" t="s">
        <v>110</v>
      </c>
    </row>
    <row r="52" spans="1:12" ht="15.75" customHeight="1">
      <c r="B52" s="270" t="s">
        <v>133</v>
      </c>
      <c r="C52" s="311" t="s">
        <v>50</v>
      </c>
      <c r="D52" s="270" t="s">
        <v>109</v>
      </c>
      <c r="E52" s="186" t="s">
        <v>113</v>
      </c>
      <c r="F52" s="629" t="s">
        <v>99</v>
      </c>
      <c r="G52" s="685">
        <v>25</v>
      </c>
      <c r="H52" s="474" t="s">
        <v>99</v>
      </c>
      <c r="I52" s="474"/>
      <c r="J52" s="457"/>
      <c r="K52" s="457"/>
      <c r="L52" s="447" t="s">
        <v>110</v>
      </c>
    </row>
    <row r="53" spans="1:12" ht="15.75" customHeight="1">
      <c r="B53" s="310" t="s">
        <v>157</v>
      </c>
      <c r="C53" s="310" t="s">
        <v>55</v>
      </c>
      <c r="D53" s="310" t="s">
        <v>109</v>
      </c>
      <c r="E53" s="306" t="s">
        <v>113</v>
      </c>
      <c r="F53" s="634" t="s">
        <v>99</v>
      </c>
      <c r="G53" s="683">
        <v>25</v>
      </c>
      <c r="H53" s="473" t="s">
        <v>99</v>
      </c>
      <c r="I53" s="473"/>
      <c r="J53" s="458"/>
      <c r="K53" s="458"/>
      <c r="L53" s="447" t="s">
        <v>156</v>
      </c>
    </row>
    <row r="54" spans="1:12" ht="15.75" customHeight="1">
      <c r="A54" s="312" t="s">
        <v>127</v>
      </c>
      <c r="B54" s="307" t="s">
        <v>229</v>
      </c>
      <c r="C54" s="307" t="s">
        <v>34</v>
      </c>
      <c r="D54" s="307" t="s">
        <v>89</v>
      </c>
      <c r="E54" s="186" t="s">
        <v>113</v>
      </c>
      <c r="F54" s="672" t="s">
        <v>98</v>
      </c>
      <c r="G54" s="686">
        <v>10</v>
      </c>
      <c r="H54" s="477" t="s">
        <v>283</v>
      </c>
      <c r="I54" s="477" t="s">
        <v>278</v>
      </c>
      <c r="J54" s="454" t="s">
        <v>293</v>
      </c>
      <c r="K54" s="454"/>
      <c r="L54" s="447" t="s">
        <v>259</v>
      </c>
    </row>
    <row r="55" spans="1:12" ht="15.75" customHeight="1">
      <c r="A55" s="312" t="str">
        <f>A54</f>
        <v>40G MMF</v>
      </c>
      <c r="B55" s="310" t="s">
        <v>230</v>
      </c>
      <c r="C55" s="310" t="s">
        <v>34</v>
      </c>
      <c r="D55" s="310" t="s">
        <v>89</v>
      </c>
      <c r="E55" s="318" t="s">
        <v>114</v>
      </c>
      <c r="F55" s="672" t="s">
        <v>98</v>
      </c>
      <c r="G55" s="685">
        <v>10</v>
      </c>
      <c r="H55" s="474" t="s">
        <v>98</v>
      </c>
      <c r="I55" s="474"/>
      <c r="J55" s="457"/>
      <c r="K55" s="457"/>
      <c r="L55" s="447" t="s">
        <v>260</v>
      </c>
    </row>
    <row r="56" spans="1:12" ht="15.75" customHeight="1">
      <c r="A56" s="312" t="str">
        <f>A54</f>
        <v>40G MMF</v>
      </c>
      <c r="B56" s="309" t="s">
        <v>231</v>
      </c>
      <c r="C56" s="309" t="s">
        <v>41</v>
      </c>
      <c r="D56" s="307" t="s">
        <v>89</v>
      </c>
      <c r="E56" s="321" t="s">
        <v>114</v>
      </c>
      <c r="F56" s="675" t="s">
        <v>98</v>
      </c>
      <c r="G56" s="684">
        <v>10</v>
      </c>
      <c r="H56" s="476" t="s">
        <v>98</v>
      </c>
      <c r="I56" s="476"/>
      <c r="J56" s="459"/>
      <c r="K56" s="459"/>
      <c r="L56" s="447" t="s">
        <v>108</v>
      </c>
    </row>
    <row r="57" spans="1:12" ht="15.75" customHeight="1">
      <c r="A57" s="312" t="s">
        <v>128</v>
      </c>
      <c r="B57" s="308" t="s">
        <v>232</v>
      </c>
      <c r="C57" s="313" t="s">
        <v>44</v>
      </c>
      <c r="D57" s="308" t="s">
        <v>89</v>
      </c>
      <c r="E57" s="319" t="s">
        <v>114</v>
      </c>
      <c r="F57" s="674" t="s">
        <v>99</v>
      </c>
      <c r="G57" s="686">
        <v>10</v>
      </c>
      <c r="H57" s="477" t="s">
        <v>283</v>
      </c>
      <c r="I57" s="477" t="s">
        <v>278</v>
      </c>
      <c r="J57" s="485" t="s">
        <v>299</v>
      </c>
      <c r="K57" s="464" t="s">
        <v>315</v>
      </c>
      <c r="L57" s="447" t="s">
        <v>91</v>
      </c>
    </row>
    <row r="58" spans="1:12" ht="15.75" customHeight="1">
      <c r="A58" s="312"/>
      <c r="B58" s="314" t="s">
        <v>233</v>
      </c>
      <c r="C58" s="307" t="s">
        <v>47</v>
      </c>
      <c r="D58" s="307" t="s">
        <v>38</v>
      </c>
      <c r="E58" s="307" t="s">
        <v>113</v>
      </c>
      <c r="F58" s="676" t="s">
        <v>99</v>
      </c>
      <c r="G58" s="686">
        <v>10</v>
      </c>
      <c r="H58" s="477" t="s">
        <v>99</v>
      </c>
      <c r="I58" s="477"/>
      <c r="J58" s="460"/>
      <c r="K58" s="460"/>
      <c r="L58" s="447"/>
    </row>
    <row r="59" spans="1:12" ht="15.75" customHeight="1">
      <c r="A59" s="312" t="str">
        <f>A57</f>
        <v>40 G SMF 0.5-10km</v>
      </c>
      <c r="B59" s="315" t="s">
        <v>234</v>
      </c>
      <c r="C59" s="310" t="s">
        <v>47</v>
      </c>
      <c r="D59" s="310" t="s">
        <v>89</v>
      </c>
      <c r="E59" s="320" t="s">
        <v>114</v>
      </c>
      <c r="F59" s="634" t="s">
        <v>99</v>
      </c>
      <c r="G59" s="687">
        <v>10</v>
      </c>
      <c r="H59" s="472" t="s">
        <v>99</v>
      </c>
      <c r="I59" s="472"/>
      <c r="J59" s="461"/>
      <c r="K59" s="465" t="s">
        <v>298</v>
      </c>
      <c r="L59" s="447" t="s">
        <v>65</v>
      </c>
    </row>
    <row r="60" spans="1:12" ht="15.75" customHeight="1">
      <c r="A60" s="312"/>
      <c r="B60" s="307" t="s">
        <v>62</v>
      </c>
      <c r="C60" s="311" t="s">
        <v>50</v>
      </c>
      <c r="D60" s="307" t="s">
        <v>38</v>
      </c>
      <c r="E60" s="307" t="s">
        <v>113</v>
      </c>
      <c r="F60" s="676" t="s">
        <v>99</v>
      </c>
      <c r="G60" s="686"/>
      <c r="H60" s="477" t="s">
        <v>99</v>
      </c>
      <c r="I60" s="477"/>
      <c r="J60" s="460"/>
      <c r="K60" s="460"/>
      <c r="L60" s="447"/>
    </row>
    <row r="61" spans="1:12" ht="15.6">
      <c r="A61" s="312" t="str">
        <f>A57</f>
        <v>40 G SMF 0.5-10km</v>
      </c>
      <c r="B61" s="310" t="s">
        <v>62</v>
      </c>
      <c r="C61" s="311" t="s">
        <v>50</v>
      </c>
      <c r="D61" s="310" t="s">
        <v>89</v>
      </c>
      <c r="E61" s="322" t="s">
        <v>113</v>
      </c>
      <c r="F61" s="634" t="s">
        <v>99</v>
      </c>
      <c r="G61" s="687"/>
      <c r="H61" s="472" t="s">
        <v>99</v>
      </c>
      <c r="I61" s="472"/>
      <c r="J61" s="461"/>
      <c r="K61" s="461"/>
      <c r="L61" s="447"/>
    </row>
    <row r="62" spans="1:12" ht="15.6">
      <c r="A62" s="312"/>
      <c r="B62" s="309" t="s">
        <v>62</v>
      </c>
      <c r="C62" s="309" t="s">
        <v>55</v>
      </c>
      <c r="D62" s="309" t="s">
        <v>89</v>
      </c>
      <c r="E62" s="309" t="s">
        <v>113</v>
      </c>
      <c r="F62" s="674" t="s">
        <v>99</v>
      </c>
      <c r="G62" s="688"/>
      <c r="H62" s="478" t="s">
        <v>99</v>
      </c>
      <c r="I62" s="478"/>
      <c r="J62" s="462"/>
      <c r="K62" s="462"/>
      <c r="L62" s="447"/>
    </row>
    <row r="63" spans="1:12" ht="15.6">
      <c r="A63" s="312"/>
      <c r="B63" s="314" t="s">
        <v>235</v>
      </c>
      <c r="C63" s="314" t="s">
        <v>34</v>
      </c>
      <c r="D63" s="307" t="s">
        <v>42</v>
      </c>
      <c r="E63" s="76" t="s">
        <v>113</v>
      </c>
      <c r="F63" s="677" t="s">
        <v>98</v>
      </c>
      <c r="G63" s="669">
        <v>50</v>
      </c>
      <c r="H63" s="475" t="s">
        <v>98</v>
      </c>
      <c r="I63" s="475"/>
      <c r="J63" s="456"/>
      <c r="K63" s="456"/>
      <c r="L63" s="447" t="s">
        <v>124</v>
      </c>
    </row>
    <row r="64" spans="1:12" ht="15.6">
      <c r="A64" s="312"/>
      <c r="B64" s="311" t="s">
        <v>235</v>
      </c>
      <c r="C64" s="311" t="s">
        <v>47</v>
      </c>
      <c r="D64" s="270" t="s">
        <v>42</v>
      </c>
      <c r="E64" s="186" t="s">
        <v>113</v>
      </c>
      <c r="F64" s="629" t="s">
        <v>99</v>
      </c>
      <c r="G64" s="680"/>
      <c r="H64" s="474" t="s">
        <v>99</v>
      </c>
      <c r="I64" s="474"/>
      <c r="J64" s="457"/>
      <c r="K64" s="457"/>
      <c r="L64" s="447" t="s">
        <v>124</v>
      </c>
    </row>
    <row r="65" spans="1:12" ht="15.6">
      <c r="A65" s="312"/>
      <c r="B65" s="311" t="s">
        <v>235</v>
      </c>
      <c r="C65" s="311" t="s">
        <v>50</v>
      </c>
      <c r="D65" s="270" t="s">
        <v>42</v>
      </c>
      <c r="E65" s="186" t="s">
        <v>113</v>
      </c>
      <c r="F65" s="629" t="s">
        <v>99</v>
      </c>
      <c r="G65" s="680"/>
      <c r="H65" s="474" t="s">
        <v>99</v>
      </c>
      <c r="I65" s="474"/>
      <c r="J65" s="457"/>
      <c r="K65" s="457"/>
      <c r="L65" s="447" t="s">
        <v>124</v>
      </c>
    </row>
    <row r="66" spans="1:12" ht="15.6">
      <c r="A66" s="312"/>
      <c r="B66" s="311" t="s">
        <v>235</v>
      </c>
      <c r="C66" s="311" t="s">
        <v>55</v>
      </c>
      <c r="D66" s="270" t="s">
        <v>42</v>
      </c>
      <c r="E66" s="318" t="s">
        <v>114</v>
      </c>
      <c r="F66" s="629" t="s">
        <v>99</v>
      </c>
      <c r="G66" s="680"/>
      <c r="H66" s="474" t="s">
        <v>99</v>
      </c>
      <c r="I66" s="474"/>
      <c r="J66" s="457"/>
      <c r="K66" s="457"/>
      <c r="L66" s="493" t="s">
        <v>312</v>
      </c>
    </row>
    <row r="67" spans="1:12" ht="15.6">
      <c r="A67" s="312"/>
      <c r="B67" s="315" t="s">
        <v>235</v>
      </c>
      <c r="C67" s="315" t="s">
        <v>57</v>
      </c>
      <c r="D67" s="310" t="s">
        <v>42</v>
      </c>
      <c r="E67" s="424" t="s">
        <v>114</v>
      </c>
      <c r="F67" s="634" t="s">
        <v>99</v>
      </c>
      <c r="G67" s="670"/>
      <c r="H67" s="473" t="s">
        <v>99</v>
      </c>
      <c r="I67" s="473"/>
      <c r="J67" s="458"/>
      <c r="K67" s="458"/>
      <c r="L67" s="493" t="s">
        <v>312</v>
      </c>
    </row>
    <row r="68" spans="1:12" ht="15.75" customHeight="1">
      <c r="A68" s="312">
        <v>25</v>
      </c>
      <c r="B68" s="270" t="s">
        <v>236</v>
      </c>
      <c r="C68" s="311" t="s">
        <v>34</v>
      </c>
      <c r="D68" s="270" t="s">
        <v>38</v>
      </c>
      <c r="E68" s="270" t="s">
        <v>113</v>
      </c>
      <c r="F68" s="672" t="s">
        <v>98</v>
      </c>
      <c r="G68" s="668">
        <v>25</v>
      </c>
      <c r="H68" s="479" t="s">
        <v>283</v>
      </c>
      <c r="I68" s="477" t="s">
        <v>278</v>
      </c>
      <c r="J68" s="464" t="s">
        <v>273</v>
      </c>
      <c r="K68" s="464"/>
      <c r="L68" s="447"/>
    </row>
    <row r="69" spans="1:12" ht="15.75" customHeight="1">
      <c r="A69" s="312">
        <v>25</v>
      </c>
      <c r="B69" s="270" t="s">
        <v>236</v>
      </c>
      <c r="C69" s="311" t="s">
        <v>34</v>
      </c>
      <c r="D69" s="270" t="s">
        <v>131</v>
      </c>
      <c r="E69" s="270" t="s">
        <v>113</v>
      </c>
      <c r="F69" s="672" t="s">
        <v>98</v>
      </c>
      <c r="G69" s="668">
        <v>25</v>
      </c>
      <c r="H69" s="479" t="s">
        <v>284</v>
      </c>
      <c r="I69" s="479" t="s">
        <v>279</v>
      </c>
      <c r="J69" s="468" t="s">
        <v>274</v>
      </c>
      <c r="K69" s="468"/>
      <c r="L69" s="447" t="s">
        <v>132</v>
      </c>
    </row>
    <row r="70" spans="1:12" ht="15.75" customHeight="1">
      <c r="A70" s="312">
        <v>25</v>
      </c>
      <c r="B70" s="270" t="s">
        <v>236</v>
      </c>
      <c r="C70" s="311" t="s">
        <v>34</v>
      </c>
      <c r="D70" s="270" t="s">
        <v>40</v>
      </c>
      <c r="E70" s="270" t="s">
        <v>113</v>
      </c>
      <c r="F70" s="672" t="s">
        <v>98</v>
      </c>
      <c r="G70" s="668">
        <v>25</v>
      </c>
      <c r="H70" s="479" t="s">
        <v>283</v>
      </c>
      <c r="I70" s="479" t="s">
        <v>278</v>
      </c>
      <c r="J70" s="468" t="s">
        <v>268</v>
      </c>
      <c r="K70" s="468"/>
      <c r="L70" s="447" t="s">
        <v>214</v>
      </c>
    </row>
    <row r="71" spans="1:12" ht="15.75" customHeight="1">
      <c r="A71" s="312">
        <v>25</v>
      </c>
      <c r="B71" s="270" t="s">
        <v>237</v>
      </c>
      <c r="C71" s="311" t="s">
        <v>34</v>
      </c>
      <c r="D71" s="270" t="s">
        <v>49</v>
      </c>
      <c r="E71" s="270" t="s">
        <v>113</v>
      </c>
      <c r="F71" s="672" t="s">
        <v>98</v>
      </c>
      <c r="G71" s="668">
        <v>50</v>
      </c>
      <c r="H71" s="479" t="s">
        <v>282</v>
      </c>
      <c r="I71" s="479" t="s">
        <v>287</v>
      </c>
      <c r="J71" s="468" t="s">
        <v>294</v>
      </c>
      <c r="K71" s="468"/>
      <c r="L71" s="447" t="s">
        <v>214</v>
      </c>
    </row>
    <row r="72" spans="1:12" ht="15.75" customHeight="1">
      <c r="A72" s="312">
        <v>50</v>
      </c>
      <c r="B72" s="310" t="s">
        <v>238</v>
      </c>
      <c r="C72" s="310" t="s">
        <v>196</v>
      </c>
      <c r="D72" s="310" t="s">
        <v>40</v>
      </c>
      <c r="E72" s="320" t="s">
        <v>114</v>
      </c>
      <c r="F72" s="678" t="s">
        <v>98</v>
      </c>
      <c r="G72" s="670">
        <v>50</v>
      </c>
      <c r="H72" s="472" t="s">
        <v>281</v>
      </c>
      <c r="I72" s="472" t="s">
        <v>280</v>
      </c>
      <c r="J72" s="465" t="s">
        <v>300</v>
      </c>
      <c r="K72" s="465"/>
      <c r="L72" s="447" t="s">
        <v>195</v>
      </c>
    </row>
    <row r="73" spans="1:12" ht="15.75" customHeight="1">
      <c r="A73" s="312">
        <v>25</v>
      </c>
      <c r="B73" s="270" t="s">
        <v>239</v>
      </c>
      <c r="C73" s="310" t="s">
        <v>41</v>
      </c>
      <c r="D73" s="309" t="s">
        <v>40</v>
      </c>
      <c r="E73" s="320" t="s">
        <v>114</v>
      </c>
      <c r="F73" s="678" t="s">
        <v>98</v>
      </c>
      <c r="G73" s="680">
        <v>25</v>
      </c>
      <c r="H73" s="479" t="s">
        <v>283</v>
      </c>
      <c r="I73" s="479" t="s">
        <v>278</v>
      </c>
      <c r="J73" s="468" t="s">
        <v>268</v>
      </c>
      <c r="K73" s="468"/>
      <c r="L73" s="447" t="s">
        <v>184</v>
      </c>
    </row>
    <row r="74" spans="1:12" ht="15.6">
      <c r="A74" s="312">
        <v>25</v>
      </c>
      <c r="B74" s="308" t="s">
        <v>240</v>
      </c>
      <c r="C74" s="308" t="s">
        <v>44</v>
      </c>
      <c r="D74" s="307" t="s">
        <v>40</v>
      </c>
      <c r="E74" s="319" t="s">
        <v>114</v>
      </c>
      <c r="F74" s="676" t="s">
        <v>99</v>
      </c>
      <c r="G74" s="669">
        <v>25</v>
      </c>
      <c r="H74" s="477" t="s">
        <v>291</v>
      </c>
      <c r="I74" s="477" t="s">
        <v>278</v>
      </c>
      <c r="J74" s="454" t="s">
        <v>292</v>
      </c>
      <c r="K74" s="464" t="s">
        <v>305</v>
      </c>
      <c r="L74" s="447" t="s">
        <v>219</v>
      </c>
    </row>
    <row r="75" spans="1:12" ht="15.6">
      <c r="A75" s="312">
        <v>100</v>
      </c>
      <c r="B75" s="311" t="s">
        <v>241</v>
      </c>
      <c r="C75" s="311" t="s">
        <v>308</v>
      </c>
      <c r="D75" s="270" t="s">
        <v>40</v>
      </c>
      <c r="E75" s="186" t="s">
        <v>113</v>
      </c>
      <c r="F75" s="629" t="s">
        <v>99</v>
      </c>
      <c r="G75" s="680"/>
      <c r="H75" s="479" t="s">
        <v>281</v>
      </c>
      <c r="I75" s="479" t="s">
        <v>280</v>
      </c>
      <c r="J75" s="468" t="s">
        <v>300</v>
      </c>
      <c r="K75" s="468"/>
      <c r="L75" s="447" t="s">
        <v>219</v>
      </c>
    </row>
    <row r="76" spans="1:12" ht="15.6">
      <c r="A76" s="312">
        <v>25</v>
      </c>
      <c r="B76" s="315" t="s">
        <v>307</v>
      </c>
      <c r="C76" s="315" t="s">
        <v>44</v>
      </c>
      <c r="D76" s="310" t="s">
        <v>40</v>
      </c>
      <c r="E76" s="320" t="s">
        <v>114</v>
      </c>
      <c r="F76" s="634" t="s">
        <v>99</v>
      </c>
      <c r="G76" s="670"/>
      <c r="H76" s="472" t="s">
        <v>281</v>
      </c>
      <c r="I76" s="472" t="s">
        <v>280</v>
      </c>
      <c r="J76" s="465" t="s">
        <v>300</v>
      </c>
      <c r="K76" s="465" t="s">
        <v>303</v>
      </c>
      <c r="L76" s="447" t="s">
        <v>309</v>
      </c>
    </row>
    <row r="77" spans="1:12" ht="15.6">
      <c r="A77" s="312">
        <v>25</v>
      </c>
      <c r="B77" s="307" t="s">
        <v>242</v>
      </c>
      <c r="C77" s="307" t="s">
        <v>47</v>
      </c>
      <c r="D77" s="314" t="s">
        <v>40</v>
      </c>
      <c r="E77" s="319" t="s">
        <v>114</v>
      </c>
      <c r="F77" s="676" t="s">
        <v>99</v>
      </c>
      <c r="G77" s="669"/>
      <c r="H77" s="477" t="s">
        <v>281</v>
      </c>
      <c r="I77" s="477" t="s">
        <v>280</v>
      </c>
      <c r="J77" s="464" t="s">
        <v>300</v>
      </c>
      <c r="K77" s="464" t="s">
        <v>298</v>
      </c>
      <c r="L77" s="447" t="s">
        <v>215</v>
      </c>
    </row>
    <row r="78" spans="1:12" ht="15.6">
      <c r="A78" s="312">
        <v>100</v>
      </c>
      <c r="B78" s="270" t="s">
        <v>415</v>
      </c>
      <c r="C78" s="310" t="s">
        <v>47</v>
      </c>
      <c r="D78" s="311" t="s">
        <v>40</v>
      </c>
      <c r="E78" s="484" t="s">
        <v>359</v>
      </c>
      <c r="F78" s="629" t="s">
        <v>99</v>
      </c>
      <c r="G78" s="680"/>
      <c r="H78" s="480" t="s">
        <v>281</v>
      </c>
      <c r="I78" s="480" t="s">
        <v>280</v>
      </c>
      <c r="J78" s="465" t="s">
        <v>300</v>
      </c>
      <c r="K78" s="468"/>
      <c r="L78" s="447" t="s">
        <v>216</v>
      </c>
    </row>
    <row r="79" spans="1:12" ht="15.75" customHeight="1">
      <c r="A79" s="312">
        <v>25</v>
      </c>
      <c r="B79" s="307" t="s">
        <v>243</v>
      </c>
      <c r="C79" s="311" t="s">
        <v>50</v>
      </c>
      <c r="D79" s="314" t="s">
        <v>38</v>
      </c>
      <c r="E79" s="307" t="s">
        <v>113</v>
      </c>
      <c r="F79" s="676" t="s">
        <v>99</v>
      </c>
      <c r="G79" s="669">
        <v>25</v>
      </c>
      <c r="H79" s="481" t="s">
        <v>281</v>
      </c>
      <c r="I79" s="481" t="s">
        <v>285</v>
      </c>
      <c r="J79" s="464" t="s">
        <v>300</v>
      </c>
      <c r="K79" s="464"/>
      <c r="L79" s="447"/>
    </row>
    <row r="80" spans="1:12" ht="15.75" customHeight="1">
      <c r="A80" s="312">
        <v>25</v>
      </c>
      <c r="B80" s="270" t="s">
        <v>243</v>
      </c>
      <c r="C80" s="311" t="s">
        <v>50</v>
      </c>
      <c r="D80" s="311" t="s">
        <v>131</v>
      </c>
      <c r="E80" s="270" t="s">
        <v>113</v>
      </c>
      <c r="F80" s="629" t="s">
        <v>99</v>
      </c>
      <c r="G80" s="680">
        <v>25</v>
      </c>
      <c r="H80" s="480" t="s">
        <v>281</v>
      </c>
      <c r="I80" s="480" t="s">
        <v>280</v>
      </c>
      <c r="J80" s="465" t="s">
        <v>300</v>
      </c>
      <c r="K80" s="465"/>
      <c r="L80" s="447" t="s">
        <v>132</v>
      </c>
    </row>
    <row r="81" spans="1:12" ht="15.75" customHeight="1">
      <c r="A81" s="312">
        <v>25</v>
      </c>
      <c r="B81" s="307" t="s">
        <v>357</v>
      </c>
      <c r="C81" s="307" t="s">
        <v>50</v>
      </c>
      <c r="D81" s="314" t="s">
        <v>40</v>
      </c>
      <c r="E81" s="307" t="s">
        <v>113</v>
      </c>
      <c r="F81" s="676" t="s">
        <v>99</v>
      </c>
      <c r="G81" s="669" t="s">
        <v>466</v>
      </c>
      <c r="H81" s="481" t="s">
        <v>281</v>
      </c>
      <c r="I81" s="481" t="s">
        <v>285</v>
      </c>
      <c r="J81" s="464" t="s">
        <v>300</v>
      </c>
      <c r="K81" s="464"/>
      <c r="L81" s="447" t="s">
        <v>217</v>
      </c>
    </row>
    <row r="82" spans="1:12" ht="15.75" customHeight="1">
      <c r="A82" s="312">
        <v>25</v>
      </c>
      <c r="B82" s="310" t="s">
        <v>244</v>
      </c>
      <c r="C82" s="310" t="s">
        <v>50</v>
      </c>
      <c r="D82" s="315" t="s">
        <v>40</v>
      </c>
      <c r="E82" s="320" t="s">
        <v>114</v>
      </c>
      <c r="F82" s="634" t="s">
        <v>99</v>
      </c>
      <c r="G82" s="670"/>
      <c r="H82" s="472" t="s">
        <v>281</v>
      </c>
      <c r="I82" s="472" t="s">
        <v>280</v>
      </c>
      <c r="J82" s="465" t="s">
        <v>300</v>
      </c>
      <c r="K82" s="465"/>
      <c r="L82" s="447" t="s">
        <v>218</v>
      </c>
    </row>
    <row r="83" spans="1:12" ht="15.75" customHeight="1">
      <c r="A83" s="312">
        <v>25</v>
      </c>
      <c r="B83" s="310" t="s">
        <v>245</v>
      </c>
      <c r="C83" s="315" t="s">
        <v>193</v>
      </c>
      <c r="D83" s="482" t="s">
        <v>40</v>
      </c>
      <c r="E83" s="323" t="s">
        <v>114</v>
      </c>
      <c r="F83" s="634" t="s">
        <v>99</v>
      </c>
      <c r="G83" s="680"/>
      <c r="H83" s="477" t="s">
        <v>281</v>
      </c>
      <c r="I83" s="477" t="s">
        <v>280</v>
      </c>
      <c r="J83" s="464" t="s">
        <v>300</v>
      </c>
      <c r="K83" s="464"/>
      <c r="L83" s="447" t="s">
        <v>194</v>
      </c>
    </row>
    <row r="84" spans="1:12" ht="15.75" customHeight="1">
      <c r="A84" s="312"/>
      <c r="B84" s="307" t="s">
        <v>352</v>
      </c>
      <c r="C84" s="314" t="s">
        <v>406</v>
      </c>
      <c r="D84" s="619" t="s">
        <v>40</v>
      </c>
      <c r="E84" s="319" t="s">
        <v>114</v>
      </c>
      <c r="F84" s="676" t="s">
        <v>99</v>
      </c>
      <c r="G84" s="669"/>
      <c r="H84" s="477" t="s">
        <v>281</v>
      </c>
      <c r="I84" s="477" t="s">
        <v>280</v>
      </c>
      <c r="J84" s="464" t="s">
        <v>300</v>
      </c>
      <c r="K84" s="464"/>
      <c r="L84" s="447" t="s">
        <v>409</v>
      </c>
    </row>
    <row r="85" spans="1:12" ht="15.75" customHeight="1">
      <c r="A85" s="312"/>
      <c r="B85" s="310" t="s">
        <v>353</v>
      </c>
      <c r="C85" s="315" t="s">
        <v>55</v>
      </c>
      <c r="D85" s="316" t="s">
        <v>40</v>
      </c>
      <c r="E85" s="306" t="s">
        <v>113</v>
      </c>
      <c r="F85" s="634" t="s">
        <v>99</v>
      </c>
      <c r="G85" s="670"/>
      <c r="H85" s="472" t="s">
        <v>281</v>
      </c>
      <c r="I85" s="472" t="s">
        <v>280</v>
      </c>
      <c r="J85" s="465" t="s">
        <v>300</v>
      </c>
      <c r="K85" s="465"/>
      <c r="L85" s="447" t="s">
        <v>409</v>
      </c>
    </row>
    <row r="86" spans="1:12" ht="15.75" customHeight="1">
      <c r="A86" s="312">
        <v>25</v>
      </c>
      <c r="B86" s="425" t="s">
        <v>407</v>
      </c>
      <c r="C86" s="316" t="s">
        <v>57</v>
      </c>
      <c r="D86" s="483" t="s">
        <v>40</v>
      </c>
      <c r="E86" s="186" t="s">
        <v>113</v>
      </c>
      <c r="F86" s="634" t="s">
        <v>99</v>
      </c>
      <c r="G86" s="680"/>
      <c r="H86" s="477" t="s">
        <v>281</v>
      </c>
      <c r="I86" s="477" t="s">
        <v>280</v>
      </c>
      <c r="J86" s="464" t="s">
        <v>300</v>
      </c>
      <c r="K86" s="464"/>
      <c r="L86" s="447" t="s">
        <v>408</v>
      </c>
    </row>
    <row r="87" spans="1:12" ht="15.75" customHeight="1">
      <c r="A87" s="77">
        <v>50</v>
      </c>
      <c r="B87" s="630" t="s">
        <v>272</v>
      </c>
      <c r="C87" s="307" t="s">
        <v>34</v>
      </c>
      <c r="D87" s="307" t="s">
        <v>192</v>
      </c>
      <c r="E87" s="636" t="s">
        <v>113</v>
      </c>
      <c r="F87" s="628" t="s">
        <v>98</v>
      </c>
      <c r="G87" s="681">
        <v>50</v>
      </c>
      <c r="H87" s="477" t="s">
        <v>283</v>
      </c>
      <c r="I87" s="477" t="s">
        <v>278</v>
      </c>
      <c r="J87" s="467" t="s">
        <v>275</v>
      </c>
      <c r="K87" s="469" t="s">
        <v>301</v>
      </c>
      <c r="L87" s="447" t="s">
        <v>124</v>
      </c>
    </row>
    <row r="88" spans="1:12" ht="15.6">
      <c r="B88" s="632" t="s">
        <v>433</v>
      </c>
      <c r="C88" s="186" t="s">
        <v>44</v>
      </c>
      <c r="D88" s="270" t="s">
        <v>431</v>
      </c>
      <c r="E88" s="430"/>
      <c r="F88" s="629" t="s">
        <v>99</v>
      </c>
      <c r="G88" s="680"/>
      <c r="H88" s="474"/>
      <c r="I88" s="474"/>
      <c r="J88" s="463"/>
      <c r="K88" s="463"/>
      <c r="L88" s="633" t="s">
        <v>432</v>
      </c>
    </row>
    <row r="89" spans="1:12" ht="15.75" customHeight="1">
      <c r="A89" s="77">
        <v>50</v>
      </c>
      <c r="B89" s="632" t="s">
        <v>271</v>
      </c>
      <c r="C89" s="186" t="s">
        <v>411</v>
      </c>
      <c r="D89" s="270" t="s">
        <v>192</v>
      </c>
      <c r="E89" s="430" t="s">
        <v>113</v>
      </c>
      <c r="F89" s="629" t="s">
        <v>99</v>
      </c>
      <c r="G89" s="680">
        <v>50</v>
      </c>
      <c r="H89" s="474" t="s">
        <v>281</v>
      </c>
      <c r="I89" s="474" t="s">
        <v>280</v>
      </c>
      <c r="J89" s="463" t="s">
        <v>300</v>
      </c>
      <c r="K89" s="463" t="s">
        <v>301</v>
      </c>
      <c r="L89" s="447" t="s">
        <v>183</v>
      </c>
    </row>
    <row r="90" spans="1:12" ht="15.75" customHeight="1">
      <c r="A90" s="77"/>
      <c r="B90" s="632" t="s">
        <v>435</v>
      </c>
      <c r="C90" s="186" t="s">
        <v>50</v>
      </c>
      <c r="D90" s="270" t="s">
        <v>431</v>
      </c>
      <c r="E90" s="430"/>
      <c r="F90" s="629" t="s">
        <v>99</v>
      </c>
      <c r="G90" s="680"/>
      <c r="H90" s="474"/>
      <c r="I90" s="474"/>
      <c r="J90" s="463"/>
      <c r="K90" s="463"/>
      <c r="L90" s="633" t="s">
        <v>432</v>
      </c>
    </row>
    <row r="91" spans="1:12" ht="15.75" customHeight="1">
      <c r="A91" s="77"/>
      <c r="B91" s="631" t="s">
        <v>434</v>
      </c>
      <c r="C91" s="306" t="s">
        <v>55</v>
      </c>
      <c r="D91" s="310" t="s">
        <v>431</v>
      </c>
      <c r="E91" s="427"/>
      <c r="F91" s="634" t="s">
        <v>99</v>
      </c>
      <c r="G91" s="670"/>
      <c r="H91" s="473"/>
      <c r="I91" s="473"/>
      <c r="J91" s="635"/>
      <c r="K91" s="635"/>
      <c r="L91" s="633" t="s">
        <v>432</v>
      </c>
    </row>
    <row r="92" spans="1:12" ht="15.75" customHeight="1">
      <c r="A92" s="77">
        <v>50</v>
      </c>
      <c r="B92" s="186" t="s">
        <v>220</v>
      </c>
      <c r="C92" s="75" t="s">
        <v>34</v>
      </c>
      <c r="D92" s="186" t="s">
        <v>313</v>
      </c>
      <c r="E92" s="446" t="s">
        <v>113</v>
      </c>
      <c r="F92" s="679" t="s">
        <v>98</v>
      </c>
      <c r="G92" s="666">
        <v>50</v>
      </c>
      <c r="H92" s="479" t="s">
        <v>288</v>
      </c>
      <c r="I92" s="479" t="s">
        <v>289</v>
      </c>
      <c r="J92" s="466" t="s">
        <v>296</v>
      </c>
      <c r="K92" s="336" t="s">
        <v>298</v>
      </c>
      <c r="L92" s="447" t="s">
        <v>204</v>
      </c>
    </row>
    <row r="93" spans="1:12" ht="15.75" customHeight="1">
      <c r="A93" s="77">
        <v>50</v>
      </c>
      <c r="B93" s="186" t="s">
        <v>436</v>
      </c>
      <c r="C93" s="75" t="s">
        <v>34</v>
      </c>
      <c r="D93" s="186" t="s">
        <v>437</v>
      </c>
      <c r="E93" s="446" t="s">
        <v>113</v>
      </c>
      <c r="F93" s="679" t="s">
        <v>98</v>
      </c>
      <c r="G93" s="666">
        <v>100</v>
      </c>
      <c r="H93" s="336" t="s">
        <v>283</v>
      </c>
      <c r="I93" s="336" t="s">
        <v>278</v>
      </c>
      <c r="J93" s="336" t="s">
        <v>295</v>
      </c>
      <c r="K93" s="336" t="s">
        <v>306</v>
      </c>
      <c r="L93" s="448" t="s">
        <v>221</v>
      </c>
    </row>
    <row r="94" spans="1:12" ht="15.75" customHeight="1">
      <c r="A94" s="77">
        <v>100</v>
      </c>
      <c r="B94" s="186" t="s">
        <v>246</v>
      </c>
      <c r="C94" s="75" t="s">
        <v>44</v>
      </c>
      <c r="D94" s="186" t="s">
        <v>350</v>
      </c>
      <c r="E94" s="484" t="s">
        <v>113</v>
      </c>
      <c r="F94" s="629" t="s">
        <v>99</v>
      </c>
      <c r="G94" s="668">
        <v>100</v>
      </c>
      <c r="H94" s="336" t="s">
        <v>291</v>
      </c>
      <c r="I94" s="336" t="s">
        <v>278</v>
      </c>
      <c r="J94" s="336" t="s">
        <v>269</v>
      </c>
      <c r="K94" s="336" t="s">
        <v>305</v>
      </c>
      <c r="L94" s="447" t="s">
        <v>183</v>
      </c>
    </row>
    <row r="95" spans="1:12" ht="15.75" customHeight="1">
      <c r="A95" s="77">
        <v>50</v>
      </c>
      <c r="B95" s="186" t="s">
        <v>348</v>
      </c>
      <c r="C95" s="75" t="s">
        <v>47</v>
      </c>
      <c r="D95" s="186" t="s">
        <v>203</v>
      </c>
      <c r="E95" s="484" t="s">
        <v>113</v>
      </c>
      <c r="F95" s="629" t="s">
        <v>99</v>
      </c>
      <c r="G95" s="668">
        <v>50</v>
      </c>
      <c r="H95" s="474" t="s">
        <v>286</v>
      </c>
      <c r="I95" s="336" t="s">
        <v>290</v>
      </c>
      <c r="J95" s="336" t="s">
        <v>297</v>
      </c>
      <c r="K95" s="336" t="s">
        <v>298</v>
      </c>
      <c r="L95" s="447" t="s">
        <v>205</v>
      </c>
    </row>
    <row r="96" spans="1:12" ht="15.75" customHeight="1">
      <c r="A96" s="496">
        <v>100</v>
      </c>
      <c r="B96" s="186" t="s">
        <v>354</v>
      </c>
      <c r="C96" s="75" t="s">
        <v>47</v>
      </c>
      <c r="D96" s="186" t="s">
        <v>350</v>
      </c>
      <c r="E96" s="484" t="s">
        <v>113</v>
      </c>
      <c r="F96" s="629" t="s">
        <v>99</v>
      </c>
      <c r="G96" s="668">
        <v>100</v>
      </c>
      <c r="H96" s="336" t="s">
        <v>281</v>
      </c>
      <c r="I96" s="336" t="s">
        <v>280</v>
      </c>
      <c r="J96" s="336" t="s">
        <v>300</v>
      </c>
      <c r="K96" s="336"/>
      <c r="L96" s="447" t="s">
        <v>183</v>
      </c>
    </row>
    <row r="97" spans="1:15" ht="15.75" customHeight="1">
      <c r="A97" s="497" t="s">
        <v>314</v>
      </c>
      <c r="B97" s="186" t="s">
        <v>458</v>
      </c>
      <c r="C97" s="75" t="s">
        <v>50</v>
      </c>
      <c r="D97" s="186" t="s">
        <v>350</v>
      </c>
      <c r="E97" s="484" t="s">
        <v>372</v>
      </c>
      <c r="F97" s="629" t="s">
        <v>99</v>
      </c>
      <c r="G97" s="689">
        <v>50100</v>
      </c>
      <c r="H97" s="336" t="s">
        <v>281</v>
      </c>
      <c r="I97" s="336" t="s">
        <v>280</v>
      </c>
      <c r="J97" s="336" t="s">
        <v>300</v>
      </c>
      <c r="K97" s="336" t="s">
        <v>304</v>
      </c>
      <c r="L97" s="448" t="s">
        <v>371</v>
      </c>
    </row>
    <row r="98" spans="1:15" ht="15.75" customHeight="1">
      <c r="A98" s="497"/>
      <c r="B98" s="306" t="s">
        <v>439</v>
      </c>
      <c r="C98" s="316" t="s">
        <v>55</v>
      </c>
      <c r="D98" s="306" t="s">
        <v>431</v>
      </c>
      <c r="E98" s="322" t="s">
        <v>431</v>
      </c>
      <c r="F98" s="634" t="s">
        <v>99</v>
      </c>
      <c r="G98" s="667">
        <v>100</v>
      </c>
      <c r="H98" s="334"/>
      <c r="I98" s="334"/>
      <c r="J98" s="334"/>
      <c r="K98" s="334"/>
      <c r="L98" s="633" t="s">
        <v>432</v>
      </c>
    </row>
    <row r="99" spans="1:15" ht="15.6">
      <c r="A99" s="5">
        <v>100</v>
      </c>
      <c r="B99" s="76" t="s">
        <v>360</v>
      </c>
      <c r="C99" s="76" t="s">
        <v>343</v>
      </c>
      <c r="D99" s="76" t="s">
        <v>349</v>
      </c>
      <c r="E99" s="319" t="s">
        <v>114</v>
      </c>
      <c r="F99" s="672" t="s">
        <v>98</v>
      </c>
      <c r="G99" s="668">
        <v>100</v>
      </c>
      <c r="H99" s="479" t="s">
        <v>288</v>
      </c>
      <c r="I99" s="479" t="s">
        <v>289</v>
      </c>
      <c r="J99" s="466" t="s">
        <v>344</v>
      </c>
      <c r="K99" s="332"/>
      <c r="L99" s="60"/>
      <c r="M99" s="420" t="s">
        <v>261</v>
      </c>
      <c r="N99" s="421"/>
      <c r="O99" s="422"/>
    </row>
    <row r="100" spans="1:15" ht="15.6">
      <c r="A100" s="5">
        <v>200</v>
      </c>
      <c r="B100" s="186" t="s">
        <v>456</v>
      </c>
      <c r="C100" s="186" t="s">
        <v>44</v>
      </c>
      <c r="D100" s="186" t="s">
        <v>349</v>
      </c>
      <c r="E100" s="446" t="s">
        <v>114</v>
      </c>
      <c r="F100" s="629" t="s">
        <v>99</v>
      </c>
      <c r="G100" s="668" t="s">
        <v>467</v>
      </c>
      <c r="H100" s="336" t="s">
        <v>361</v>
      </c>
      <c r="I100" s="336" t="s">
        <v>289</v>
      </c>
      <c r="J100" s="336"/>
      <c r="K100" s="336" t="s">
        <v>298</v>
      </c>
      <c r="L100" s="447" t="s">
        <v>416</v>
      </c>
      <c r="M100" s="423" t="s">
        <v>182</v>
      </c>
      <c r="N100" s="246"/>
      <c r="O100" s="247"/>
    </row>
    <row r="101" spans="1:15" ht="15.6">
      <c r="A101" s="5">
        <v>100</v>
      </c>
      <c r="B101" s="186" t="s">
        <v>457</v>
      </c>
      <c r="C101" s="186" t="s">
        <v>47</v>
      </c>
      <c r="D101" s="186" t="s">
        <v>349</v>
      </c>
      <c r="E101" s="484" t="s">
        <v>113</v>
      </c>
      <c r="F101" s="629" t="s">
        <v>99</v>
      </c>
      <c r="G101" s="668" t="s">
        <v>467</v>
      </c>
      <c r="H101" s="336" t="s">
        <v>286</v>
      </c>
      <c r="I101" s="336" t="s">
        <v>290</v>
      </c>
      <c r="J101" s="336"/>
      <c r="K101" s="336" t="s">
        <v>298</v>
      </c>
      <c r="L101" s="60"/>
      <c r="M101" s="423" t="s">
        <v>180</v>
      </c>
      <c r="N101" s="246"/>
      <c r="O101" s="247"/>
    </row>
    <row r="102" spans="1:15" ht="15.6">
      <c r="B102" s="186" t="s">
        <v>459</v>
      </c>
      <c r="C102" s="186" t="s">
        <v>438</v>
      </c>
      <c r="D102" s="186" t="s">
        <v>431</v>
      </c>
      <c r="E102" s="484"/>
      <c r="F102" s="629" t="s">
        <v>99</v>
      </c>
      <c r="G102" s="668" t="s">
        <v>467</v>
      </c>
      <c r="H102" s="474" t="s">
        <v>281</v>
      </c>
      <c r="I102" s="336"/>
      <c r="J102" s="336"/>
      <c r="K102" s="336" t="s">
        <v>298</v>
      </c>
      <c r="L102" s="447" t="s">
        <v>429</v>
      </c>
      <c r="M102" s="423"/>
      <c r="N102" s="246"/>
      <c r="O102" s="247"/>
    </row>
    <row r="103" spans="1:15" ht="15.75" customHeight="1">
      <c r="B103" s="186" t="s">
        <v>417</v>
      </c>
      <c r="C103" s="186" t="s">
        <v>460</v>
      </c>
      <c r="D103" s="186" t="s">
        <v>431</v>
      </c>
      <c r="E103" s="484"/>
      <c r="F103" s="629" t="s">
        <v>99</v>
      </c>
      <c r="G103" s="668" t="s">
        <v>467</v>
      </c>
      <c r="H103" s="336"/>
      <c r="I103" s="336"/>
      <c r="J103" s="336"/>
      <c r="K103" s="336" t="s">
        <v>298</v>
      </c>
      <c r="L103" s="447" t="s">
        <v>429</v>
      </c>
      <c r="M103" s="423"/>
      <c r="N103" s="246"/>
      <c r="O103" s="247"/>
    </row>
    <row r="104" spans="1:15" ht="15.6">
      <c r="B104" s="306" t="s">
        <v>440</v>
      </c>
      <c r="C104" s="306" t="s">
        <v>55</v>
      </c>
      <c r="D104" s="306" t="s">
        <v>431</v>
      </c>
      <c r="E104" s="322"/>
      <c r="F104" s="634" t="s">
        <v>99</v>
      </c>
      <c r="G104" s="713" t="s">
        <v>467</v>
      </c>
      <c r="H104" s="334"/>
      <c r="I104" s="334"/>
      <c r="J104" s="334"/>
      <c r="K104" s="334" t="s">
        <v>298</v>
      </c>
      <c r="L104" s="447" t="s">
        <v>429</v>
      </c>
      <c r="M104" s="423"/>
      <c r="N104" s="246"/>
      <c r="O104" s="247"/>
    </row>
    <row r="105" spans="1:15" ht="15.6">
      <c r="B105" s="186" t="s">
        <v>461</v>
      </c>
      <c r="C105" s="76" t="s">
        <v>34</v>
      </c>
      <c r="D105" s="186" t="s">
        <v>426</v>
      </c>
      <c r="E105" s="484"/>
      <c r="F105" s="672" t="s">
        <v>98</v>
      </c>
      <c r="G105" s="668">
        <v>100</v>
      </c>
      <c r="H105" s="336"/>
      <c r="I105" s="336"/>
      <c r="J105" s="336"/>
      <c r="K105" s="336"/>
      <c r="L105" s="447" t="s">
        <v>429</v>
      </c>
      <c r="M105" s="423"/>
      <c r="N105" s="246"/>
      <c r="O105" s="247"/>
    </row>
    <row r="106" spans="1:15" ht="15.6">
      <c r="B106" s="186" t="s">
        <v>418</v>
      </c>
      <c r="C106" s="186" t="s">
        <v>44</v>
      </c>
      <c r="D106" s="186" t="s">
        <v>426</v>
      </c>
      <c r="E106" s="484"/>
      <c r="F106" s="629" t="s">
        <v>99</v>
      </c>
      <c r="G106" s="668">
        <v>200</v>
      </c>
      <c r="H106" s="336"/>
      <c r="I106" s="336"/>
      <c r="J106" s="336"/>
      <c r="K106" s="336"/>
      <c r="L106" s="447" t="s">
        <v>429</v>
      </c>
      <c r="M106" s="423"/>
      <c r="N106" s="246"/>
      <c r="O106" s="247"/>
    </row>
    <row r="107" spans="1:15" ht="15.6">
      <c r="B107" s="186" t="s">
        <v>419</v>
      </c>
      <c r="C107" s="186" t="s">
        <v>47</v>
      </c>
      <c r="D107" s="186" t="s">
        <v>426</v>
      </c>
      <c r="E107" s="484"/>
      <c r="F107" s="629" t="s">
        <v>99</v>
      </c>
      <c r="G107" s="668">
        <v>200</v>
      </c>
      <c r="H107" s="336"/>
      <c r="I107" s="336"/>
      <c r="J107" s="336"/>
      <c r="K107" s="336"/>
      <c r="L107" s="447" t="s">
        <v>429</v>
      </c>
      <c r="M107" s="423"/>
      <c r="N107" s="246"/>
      <c r="O107" s="247"/>
    </row>
    <row r="108" spans="1:15" ht="15.6">
      <c r="B108" s="186" t="s">
        <v>462</v>
      </c>
      <c r="C108" s="186" t="s">
        <v>50</v>
      </c>
      <c r="D108" s="186" t="s">
        <v>426</v>
      </c>
      <c r="E108" s="484"/>
      <c r="F108" s="629" t="s">
        <v>99</v>
      </c>
      <c r="G108" s="668"/>
      <c r="H108" s="336"/>
      <c r="I108" s="336"/>
      <c r="J108" s="336"/>
      <c r="K108" s="336"/>
      <c r="L108" s="447" t="s">
        <v>429</v>
      </c>
      <c r="M108" s="423"/>
      <c r="N108" s="246"/>
      <c r="O108" s="247"/>
    </row>
    <row r="109" spans="1:15" ht="15.6">
      <c r="B109" s="306" t="s">
        <v>463</v>
      </c>
      <c r="C109" s="306" t="s">
        <v>420</v>
      </c>
      <c r="D109" s="306" t="s">
        <v>426</v>
      </c>
      <c r="E109" s="322"/>
      <c r="F109" s="634" t="s">
        <v>99</v>
      </c>
      <c r="G109" s="667"/>
      <c r="H109" s="334"/>
      <c r="I109" s="334"/>
      <c r="J109" s="334"/>
      <c r="K109" s="334"/>
      <c r="L109" s="447" t="s">
        <v>429</v>
      </c>
      <c r="M109" s="423"/>
      <c r="N109" s="246"/>
      <c r="O109" s="247"/>
    </row>
    <row r="110" spans="1:15" ht="15.6">
      <c r="B110" s="186" t="s">
        <v>422</v>
      </c>
      <c r="C110" s="75" t="s">
        <v>34</v>
      </c>
      <c r="D110" s="186" t="s">
        <v>426</v>
      </c>
      <c r="E110" s="484"/>
      <c r="F110" s="672" t="s">
        <v>98</v>
      </c>
      <c r="G110" s="331"/>
      <c r="H110" s="336"/>
      <c r="I110" s="336"/>
      <c r="J110" s="336"/>
      <c r="K110" s="336"/>
      <c r="L110" s="447" t="s">
        <v>429</v>
      </c>
      <c r="M110" s="423"/>
      <c r="N110" s="246"/>
      <c r="O110" s="247"/>
    </row>
    <row r="111" spans="1:15" ht="15.6">
      <c r="B111" s="186" t="s">
        <v>421</v>
      </c>
      <c r="C111" s="186" t="s">
        <v>44</v>
      </c>
      <c r="D111" s="186" t="s">
        <v>426</v>
      </c>
      <c r="E111" s="484"/>
      <c r="F111" s="629" t="s">
        <v>99</v>
      </c>
      <c r="G111" s="331"/>
      <c r="H111" s="336"/>
      <c r="I111" s="336"/>
      <c r="J111" s="336"/>
      <c r="K111" s="336"/>
      <c r="L111" s="447" t="s">
        <v>429</v>
      </c>
      <c r="M111" s="423"/>
      <c r="N111" s="246"/>
      <c r="O111" s="247"/>
    </row>
    <row r="112" spans="1:15" ht="15.6">
      <c r="B112" s="186" t="s">
        <v>423</v>
      </c>
      <c r="C112" s="186" t="s">
        <v>47</v>
      </c>
      <c r="D112" s="186" t="s">
        <v>426</v>
      </c>
      <c r="E112" s="484"/>
      <c r="F112" s="629" t="s">
        <v>99</v>
      </c>
      <c r="G112" s="331"/>
      <c r="H112" s="336"/>
      <c r="I112" s="336"/>
      <c r="J112" s="336"/>
      <c r="K112" s="336"/>
      <c r="L112" s="447" t="s">
        <v>429</v>
      </c>
      <c r="M112" s="423"/>
      <c r="N112" s="246"/>
      <c r="O112" s="247"/>
    </row>
    <row r="113" spans="2:15" ht="15.6">
      <c r="B113" s="186" t="s">
        <v>424</v>
      </c>
      <c r="C113" s="186" t="s">
        <v>50</v>
      </c>
      <c r="D113" s="186" t="s">
        <v>426</v>
      </c>
      <c r="E113" s="484"/>
      <c r="F113" s="629" t="s">
        <v>99</v>
      </c>
      <c r="G113" s="331"/>
      <c r="H113" s="336"/>
      <c r="I113" s="336"/>
      <c r="J113" s="336"/>
      <c r="K113" s="336"/>
      <c r="L113" s="447" t="s">
        <v>429</v>
      </c>
      <c r="M113" s="423"/>
      <c r="N113" s="246"/>
      <c r="O113" s="247"/>
    </row>
    <row r="114" spans="2:15" ht="15.6">
      <c r="B114" s="306" t="s">
        <v>425</v>
      </c>
      <c r="C114" s="306" t="s">
        <v>420</v>
      </c>
      <c r="D114" s="306" t="s">
        <v>426</v>
      </c>
      <c r="E114" s="322"/>
      <c r="F114" s="634" t="s">
        <v>99</v>
      </c>
      <c r="G114" s="428"/>
      <c r="H114" s="334"/>
      <c r="I114" s="334"/>
      <c r="J114" s="334"/>
      <c r="K114" s="334"/>
      <c r="L114" s="447" t="s">
        <v>429</v>
      </c>
      <c r="M114" s="423"/>
      <c r="N114" s="246"/>
      <c r="O114" s="247"/>
    </row>
    <row r="115" spans="2:15" ht="15.6">
      <c r="B115" s="334"/>
      <c r="C115" s="334"/>
      <c r="D115" s="334"/>
      <c r="E115" s="334"/>
      <c r="F115" s="334"/>
      <c r="G115" s="521"/>
      <c r="H115" s="334"/>
      <c r="I115" s="334"/>
      <c r="J115" s="334"/>
      <c r="K115" s="334"/>
      <c r="L115" s="60"/>
      <c r="M115" s="423" t="s">
        <v>181</v>
      </c>
      <c r="N115" s="246"/>
      <c r="O115" s="247"/>
    </row>
    <row r="116" spans="2:15" ht="15.6">
      <c r="B116" s="491"/>
      <c r="D116" s="537" t="s">
        <v>339</v>
      </c>
      <c r="E116" s="60"/>
      <c r="F116" s="60"/>
      <c r="G116" s="60"/>
      <c r="H116" s="60"/>
      <c r="I116" s="60"/>
      <c r="J116" s="344"/>
      <c r="K116" s="344"/>
      <c r="M116" s="434" t="s">
        <v>191</v>
      </c>
      <c r="N116" s="250"/>
      <c r="O116" s="251"/>
    </row>
    <row r="117" spans="2:15" ht="21">
      <c r="B117" s="489" t="s">
        <v>161</v>
      </c>
    </row>
    <row r="118" spans="2:15" ht="18">
      <c r="B118" s="353" t="s">
        <v>166</v>
      </c>
    </row>
    <row r="119" spans="2:15" ht="15.6">
      <c r="B119" s="431" t="s">
        <v>255</v>
      </c>
      <c r="C119" s="431" t="s">
        <v>160</v>
      </c>
      <c r="D119" s="431" t="s">
        <v>310</v>
      </c>
      <c r="E119" s="431" t="s">
        <v>155</v>
      </c>
      <c r="F119" s="431" t="s">
        <v>154</v>
      </c>
      <c r="G119" s="431"/>
      <c r="H119" s="431" t="s">
        <v>311</v>
      </c>
      <c r="I119" s="470"/>
      <c r="J119" s="452"/>
      <c r="K119" s="452"/>
    </row>
    <row r="120" spans="2:15" ht="15.75" customHeight="1">
      <c r="B120" s="332" t="s">
        <v>48</v>
      </c>
      <c r="C120" s="332" t="s">
        <v>47</v>
      </c>
      <c r="D120" s="332" t="s">
        <v>49</v>
      </c>
      <c r="E120" s="350" t="s">
        <v>113</v>
      </c>
      <c r="F120" s="333" t="s">
        <v>98</v>
      </c>
      <c r="G120" s="333"/>
      <c r="H120" s="350"/>
      <c r="I120" s="471"/>
      <c r="J120" s="453"/>
      <c r="K120" s="453"/>
      <c r="L120" s="344" t="s">
        <v>163</v>
      </c>
    </row>
    <row r="121" spans="2:15" ht="15.75" customHeight="1">
      <c r="B121" s="334" t="s">
        <v>48</v>
      </c>
      <c r="C121" s="334" t="s">
        <v>54</v>
      </c>
      <c r="D121" s="334" t="s">
        <v>49</v>
      </c>
      <c r="E121" s="351" t="s">
        <v>113</v>
      </c>
      <c r="F121" s="335" t="s">
        <v>99</v>
      </c>
      <c r="G121" s="335"/>
      <c r="H121" s="351"/>
      <c r="I121" s="471"/>
      <c r="J121" s="453"/>
      <c r="K121" s="453"/>
      <c r="L121" s="344" t="s">
        <v>163</v>
      </c>
    </row>
    <row r="122" spans="2:15" ht="15.75" customHeight="1">
      <c r="B122" s="336" t="s">
        <v>59</v>
      </c>
      <c r="C122" s="337" t="s">
        <v>44</v>
      </c>
      <c r="D122" s="332" t="s">
        <v>45</v>
      </c>
      <c r="E122" s="350" t="s">
        <v>113</v>
      </c>
      <c r="F122" s="333" t="s">
        <v>98</v>
      </c>
      <c r="G122" s="333"/>
      <c r="H122" s="350"/>
      <c r="I122" s="471"/>
      <c r="J122" s="453"/>
      <c r="K122" s="453"/>
      <c r="L122" s="344" t="s">
        <v>163</v>
      </c>
      <c r="M122" s="77"/>
      <c r="N122" s="77"/>
    </row>
    <row r="123" spans="2:15" ht="15.75" customHeight="1">
      <c r="B123" s="336" t="s">
        <v>59</v>
      </c>
      <c r="C123" s="334" t="s">
        <v>44</v>
      </c>
      <c r="D123" s="336" t="s">
        <v>39</v>
      </c>
      <c r="E123" s="349" t="s">
        <v>113</v>
      </c>
      <c r="F123" s="338" t="s">
        <v>98</v>
      </c>
      <c r="G123" s="347"/>
      <c r="H123" s="349"/>
      <c r="I123" s="471"/>
      <c r="J123" s="453"/>
      <c r="K123" s="453"/>
      <c r="L123" s="344" t="s">
        <v>163</v>
      </c>
    </row>
    <row r="124" spans="2:15" ht="15.75" customHeight="1">
      <c r="B124" s="332" t="s">
        <v>59</v>
      </c>
      <c r="C124" s="337" t="s">
        <v>50</v>
      </c>
      <c r="D124" s="332" t="s">
        <v>45</v>
      </c>
      <c r="E124" s="350" t="s">
        <v>113</v>
      </c>
      <c r="F124" s="339" t="s">
        <v>99</v>
      </c>
      <c r="G124" s="339"/>
      <c r="H124" s="350"/>
      <c r="I124" s="471"/>
      <c r="J124" s="453"/>
      <c r="K124" s="453"/>
      <c r="L124" s="344" t="s">
        <v>163</v>
      </c>
    </row>
    <row r="125" spans="2:15" ht="15.75" customHeight="1">
      <c r="B125" s="334" t="s">
        <v>59</v>
      </c>
      <c r="C125" s="334" t="s">
        <v>50</v>
      </c>
      <c r="D125" s="334" t="s">
        <v>51</v>
      </c>
      <c r="E125" s="351" t="s">
        <v>113</v>
      </c>
      <c r="F125" s="335" t="s">
        <v>99</v>
      </c>
      <c r="G125" s="335"/>
      <c r="H125" s="351"/>
      <c r="I125" s="471"/>
      <c r="J125" s="453"/>
      <c r="K125" s="453"/>
      <c r="L125" s="344" t="s">
        <v>163</v>
      </c>
    </row>
    <row r="126" spans="2:15" ht="15.75" customHeight="1">
      <c r="B126" s="334" t="s">
        <v>59</v>
      </c>
      <c r="C126" s="341" t="s">
        <v>55</v>
      </c>
      <c r="D126" s="334" t="s">
        <v>39</v>
      </c>
      <c r="E126" s="351" t="s">
        <v>113</v>
      </c>
      <c r="F126" s="335" t="s">
        <v>99</v>
      </c>
      <c r="G126" s="335"/>
      <c r="H126" s="351"/>
      <c r="I126" s="471"/>
      <c r="J126" s="453"/>
      <c r="K126" s="453"/>
      <c r="L126" s="344" t="s">
        <v>163</v>
      </c>
    </row>
    <row r="127" spans="2:15" ht="15.75" customHeight="1">
      <c r="B127" s="341" t="s">
        <v>59</v>
      </c>
      <c r="C127" s="342" t="s">
        <v>57</v>
      </c>
      <c r="D127" s="341" t="s">
        <v>39</v>
      </c>
      <c r="E127" s="352" t="s">
        <v>113</v>
      </c>
      <c r="F127" s="343" t="s">
        <v>99</v>
      </c>
      <c r="G127" s="343"/>
      <c r="H127" s="352"/>
      <c r="I127" s="471"/>
      <c r="J127" s="453"/>
      <c r="K127" s="453"/>
      <c r="L127" s="344" t="s">
        <v>163</v>
      </c>
    </row>
    <row r="128" spans="2:15" ht="15.6">
      <c r="B128" s="431" t="s">
        <v>60</v>
      </c>
      <c r="C128" s="431" t="s">
        <v>160</v>
      </c>
      <c r="D128" s="431" t="s">
        <v>161</v>
      </c>
      <c r="E128" s="431" t="s">
        <v>155</v>
      </c>
      <c r="F128" s="431" t="s">
        <v>154</v>
      </c>
      <c r="G128" s="431"/>
      <c r="H128" s="431"/>
      <c r="I128" s="470"/>
      <c r="J128" s="452"/>
      <c r="K128" s="452"/>
    </row>
    <row r="129" spans="2:12" ht="15.6">
      <c r="B129" s="332" t="s">
        <v>262</v>
      </c>
      <c r="C129" s="345" t="s">
        <v>164</v>
      </c>
      <c r="D129" s="345" t="s">
        <v>49</v>
      </c>
      <c r="E129" s="350"/>
      <c r="F129" s="346" t="s">
        <v>98</v>
      </c>
      <c r="G129" s="346"/>
      <c r="H129" s="350"/>
      <c r="I129" s="471"/>
      <c r="J129" s="453"/>
      <c r="K129" s="453"/>
      <c r="L129" s="344" t="s">
        <v>165</v>
      </c>
    </row>
    <row r="130" spans="2:12" ht="15.6">
      <c r="B130" s="336" t="s">
        <v>60</v>
      </c>
      <c r="C130" s="340" t="s">
        <v>41</v>
      </c>
      <c r="D130" s="340" t="s">
        <v>35</v>
      </c>
      <c r="E130" s="349" t="s">
        <v>113</v>
      </c>
      <c r="F130" s="347" t="s">
        <v>98</v>
      </c>
      <c r="G130" s="347"/>
      <c r="H130" s="349"/>
      <c r="I130" s="471"/>
      <c r="J130" s="453"/>
      <c r="K130" s="453"/>
      <c r="L130" s="344" t="s">
        <v>163</v>
      </c>
    </row>
    <row r="131" spans="2:12" ht="15.6">
      <c r="B131" s="336" t="s">
        <v>60</v>
      </c>
      <c r="C131" s="340" t="s">
        <v>41</v>
      </c>
      <c r="D131" s="340" t="s">
        <v>36</v>
      </c>
      <c r="E131" s="349" t="s">
        <v>113</v>
      </c>
      <c r="F131" s="347" t="s">
        <v>98</v>
      </c>
      <c r="G131" s="347"/>
      <c r="H131" s="349">
        <v>2018</v>
      </c>
      <c r="I131" s="471"/>
      <c r="J131" s="453"/>
      <c r="K131" s="453"/>
      <c r="L131" s="344"/>
    </row>
    <row r="132" spans="2:12" ht="15.6">
      <c r="B132" s="519" t="s">
        <v>226</v>
      </c>
      <c r="C132" s="520" t="s">
        <v>41</v>
      </c>
      <c r="D132" s="521" t="s">
        <v>43</v>
      </c>
      <c r="E132" s="522" t="s">
        <v>114</v>
      </c>
      <c r="F132" s="523" t="s">
        <v>98</v>
      </c>
      <c r="G132" s="662"/>
      <c r="H132" s="518"/>
      <c r="I132" s="471"/>
      <c r="J132" s="453"/>
      <c r="K132" s="453"/>
      <c r="L132" s="344"/>
    </row>
    <row r="133" spans="2:12" ht="15.75" customHeight="1">
      <c r="B133" s="334" t="s">
        <v>227</v>
      </c>
      <c r="C133" s="334" t="s">
        <v>106</v>
      </c>
      <c r="D133" s="334" t="s">
        <v>39</v>
      </c>
      <c r="E133" s="351" t="s">
        <v>113</v>
      </c>
      <c r="F133" s="338" t="s">
        <v>98</v>
      </c>
      <c r="G133" s="338"/>
      <c r="H133" s="351"/>
      <c r="I133" s="471"/>
      <c r="J133" s="453"/>
      <c r="K133" s="453"/>
      <c r="L133" s="344" t="s">
        <v>163</v>
      </c>
    </row>
    <row r="134" spans="2:12" ht="15.75" customHeight="1">
      <c r="B134" s="336" t="s">
        <v>60</v>
      </c>
      <c r="C134" s="336" t="s">
        <v>50</v>
      </c>
      <c r="D134" s="336" t="s">
        <v>53</v>
      </c>
      <c r="E134" s="349"/>
      <c r="F134" s="348" t="s">
        <v>99</v>
      </c>
      <c r="G134" s="348"/>
      <c r="H134" s="735">
        <v>2017</v>
      </c>
      <c r="I134" s="471"/>
      <c r="J134" s="453"/>
      <c r="K134" s="453"/>
      <c r="L134" s="344" t="s">
        <v>165</v>
      </c>
    </row>
    <row r="135" spans="2:12" ht="15.75" customHeight="1">
      <c r="B135" s="336" t="s">
        <v>60</v>
      </c>
      <c r="C135" s="336" t="s">
        <v>50</v>
      </c>
      <c r="D135" s="336" t="s">
        <v>52</v>
      </c>
      <c r="E135" s="349" t="s">
        <v>113</v>
      </c>
      <c r="F135" s="348" t="s">
        <v>99</v>
      </c>
      <c r="G135" s="348"/>
      <c r="H135" s="736"/>
      <c r="I135" s="471"/>
      <c r="J135" s="453"/>
      <c r="K135" s="453"/>
      <c r="L135" s="344" t="s">
        <v>163</v>
      </c>
    </row>
    <row r="136" spans="2:12" ht="15.75" customHeight="1">
      <c r="B136" s="336" t="s">
        <v>60</v>
      </c>
      <c r="C136" s="336" t="s">
        <v>50</v>
      </c>
      <c r="D136" s="336" t="s">
        <v>36</v>
      </c>
      <c r="E136" s="349" t="s">
        <v>113</v>
      </c>
      <c r="F136" s="335" t="s">
        <v>99</v>
      </c>
      <c r="G136" s="335"/>
      <c r="H136" s="737"/>
      <c r="I136" s="471"/>
      <c r="J136" s="453"/>
      <c r="K136" s="453"/>
      <c r="L136" s="344"/>
    </row>
    <row r="137" spans="2:12" ht="15.75" customHeight="1">
      <c r="B137" s="524" t="s">
        <v>317</v>
      </c>
      <c r="C137" s="524" t="s">
        <v>50</v>
      </c>
      <c r="D137" s="524" t="s">
        <v>43</v>
      </c>
      <c r="E137" s="525" t="s">
        <v>114</v>
      </c>
      <c r="F137" s="526" t="s">
        <v>99</v>
      </c>
      <c r="G137" s="663"/>
      <c r="H137" s="349">
        <v>2018</v>
      </c>
      <c r="I137" s="471"/>
      <c r="J137" s="453"/>
      <c r="K137" s="453"/>
      <c r="L137" s="344"/>
    </row>
    <row r="138" spans="2:12" ht="15.75" customHeight="1">
      <c r="B138" s="332" t="s">
        <v>60</v>
      </c>
      <c r="C138" s="332" t="s">
        <v>55</v>
      </c>
      <c r="D138" s="332" t="s">
        <v>56</v>
      </c>
      <c r="E138" s="350"/>
      <c r="F138" s="354" t="s">
        <v>99</v>
      </c>
      <c r="G138" s="354"/>
      <c r="H138" s="350"/>
      <c r="I138" s="471"/>
      <c r="J138" s="453"/>
      <c r="K138" s="453"/>
      <c r="L138" s="344" t="s">
        <v>165</v>
      </c>
    </row>
    <row r="139" spans="2:12" ht="15.75" customHeight="1">
      <c r="B139" s="334" t="s">
        <v>60</v>
      </c>
      <c r="C139" s="334" t="s">
        <v>55</v>
      </c>
      <c r="D139" s="334" t="s">
        <v>36</v>
      </c>
      <c r="E139" s="351" t="s">
        <v>113</v>
      </c>
      <c r="F139" s="335" t="s">
        <v>99</v>
      </c>
      <c r="G139" s="335"/>
      <c r="H139" s="351"/>
      <c r="I139" s="471"/>
      <c r="J139" s="453"/>
      <c r="K139" s="453"/>
      <c r="L139" s="344" t="s">
        <v>163</v>
      </c>
    </row>
    <row r="140" spans="2:12" ht="15.6">
      <c r="B140" s="334" t="s">
        <v>60</v>
      </c>
      <c r="C140" s="334" t="s">
        <v>57</v>
      </c>
      <c r="D140" s="334" t="s">
        <v>58</v>
      </c>
      <c r="E140" s="351"/>
      <c r="F140" s="335" t="s">
        <v>99</v>
      </c>
      <c r="G140" s="335"/>
      <c r="H140" s="351"/>
      <c r="I140" s="471"/>
      <c r="J140" s="453"/>
      <c r="K140" s="453"/>
      <c r="L140" s="344" t="s">
        <v>165</v>
      </c>
    </row>
  </sheetData>
  <mergeCells count="3">
    <mergeCell ref="B6:P6"/>
    <mergeCell ref="B7:P8"/>
    <mergeCell ref="H134:H13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AA764"/>
  <sheetViews>
    <sheetView showGridLines="0" zoomScale="70" zoomScaleNormal="70" zoomScalePageLayoutView="70" workbookViewId="0"/>
  </sheetViews>
  <sheetFormatPr defaultColWidth="8.77734375" defaultRowHeight="13.8"/>
  <cols>
    <col min="1" max="1" width="4.44140625" style="273" customWidth="1"/>
    <col min="2" max="2" width="43.6640625" style="273" customWidth="1"/>
    <col min="3" max="3" width="14.33203125" style="273" customWidth="1"/>
    <col min="4" max="4" width="12.77734375" style="273" customWidth="1"/>
    <col min="5" max="14" width="12.21875" style="273" customWidth="1"/>
    <col min="15" max="15" width="13.33203125" style="273" customWidth="1"/>
    <col min="16" max="16" width="12.21875" style="273" customWidth="1"/>
    <col min="17" max="17" width="13.21875" style="273" customWidth="1"/>
    <col min="18" max="19" width="13" style="273" customWidth="1"/>
    <col min="20" max="20" width="19.6640625" style="293" bestFit="1" customWidth="1"/>
    <col min="21" max="27" width="11.77734375" style="273" customWidth="1"/>
    <col min="28" max="16384" width="8.77734375" style="273"/>
  </cols>
  <sheetData>
    <row r="2" spans="1:26" ht="18">
      <c r="A2" s="62"/>
      <c r="B2" s="6" t="str">
        <f>Introduction!$B$2</f>
        <v>LightCounting Ethernet Transceivers Forecast</v>
      </c>
    </row>
    <row r="3" spans="1:26" ht="15.6">
      <c r="B3" s="43" t="str">
        <f>Introduction!B3</f>
        <v>September 2021 - Sample template for illustrative purposes only</v>
      </c>
    </row>
    <row r="4" spans="1:26" ht="18">
      <c r="A4" s="62"/>
      <c r="B4" s="6" t="s">
        <v>326</v>
      </c>
      <c r="F4" s="387"/>
      <c r="G4" s="294"/>
      <c r="H4" s="294"/>
      <c r="I4" s="294"/>
      <c r="J4" s="294"/>
      <c r="K4" s="294"/>
      <c r="L4" s="294"/>
      <c r="M4" s="294"/>
      <c r="N4" s="294"/>
      <c r="O4" s="294"/>
      <c r="P4" s="294"/>
    </row>
    <row r="5" spans="1:26" ht="18">
      <c r="A5" s="62"/>
      <c r="B5" s="6"/>
    </row>
    <row r="6" spans="1:26" ht="21">
      <c r="B6" s="302" t="s">
        <v>327</v>
      </c>
      <c r="C6" s="302"/>
      <c r="D6" s="302"/>
      <c r="E6" s="533"/>
      <c r="F6" s="534"/>
      <c r="G6" s="534"/>
      <c r="H6" s="534"/>
      <c r="I6" s="302" t="s">
        <v>332</v>
      </c>
      <c r="K6" s="534"/>
      <c r="L6" s="534"/>
      <c r="M6" s="534"/>
      <c r="N6" s="534"/>
      <c r="O6" s="534"/>
      <c r="P6" s="302"/>
      <c r="Q6" s="302"/>
      <c r="R6" s="302" t="s">
        <v>333</v>
      </c>
      <c r="S6" s="302"/>
      <c r="U6" s="302"/>
      <c r="V6" s="302"/>
      <c r="Y6" s="302" t="s">
        <v>325</v>
      </c>
      <c r="Z6" s="302"/>
    </row>
    <row r="7" spans="1:26">
      <c r="A7" s="50"/>
      <c r="B7" s="50"/>
      <c r="C7" s="50"/>
      <c r="D7" s="50"/>
      <c r="E7" s="50"/>
      <c r="F7" s="50"/>
      <c r="G7" s="50"/>
      <c r="H7" s="50"/>
      <c r="I7" s="50"/>
      <c r="J7" s="50"/>
      <c r="K7" s="50"/>
      <c r="L7" s="50"/>
      <c r="M7" s="50"/>
      <c r="N7" s="50"/>
      <c r="O7" s="50"/>
      <c r="P7" s="50"/>
    </row>
    <row r="8" spans="1:26">
      <c r="A8" s="50"/>
      <c r="B8" s="50"/>
      <c r="C8" s="50"/>
      <c r="D8" s="50"/>
      <c r="E8" s="50"/>
      <c r="F8" s="50"/>
      <c r="G8" s="50"/>
      <c r="H8" s="50"/>
      <c r="I8" s="50"/>
      <c r="J8" s="50"/>
      <c r="K8" s="50"/>
      <c r="L8" s="50"/>
      <c r="M8" s="50"/>
      <c r="N8" s="50"/>
      <c r="O8" s="50"/>
      <c r="P8" s="50"/>
    </row>
    <row r="9" spans="1:26">
      <c r="A9" s="50"/>
      <c r="B9" s="50"/>
      <c r="C9" s="50"/>
      <c r="D9" s="50"/>
      <c r="E9" s="50"/>
      <c r="F9" s="50"/>
      <c r="G9" s="50"/>
      <c r="H9" s="50"/>
      <c r="I9" s="50"/>
      <c r="J9" s="50"/>
      <c r="K9" s="50"/>
      <c r="L9" s="50"/>
      <c r="M9" s="50"/>
      <c r="N9" s="50"/>
      <c r="O9" s="50"/>
      <c r="P9" s="50"/>
    </row>
    <row r="10" spans="1:26">
      <c r="A10" s="50"/>
      <c r="B10" s="50"/>
      <c r="C10" s="50"/>
      <c r="D10" s="50"/>
      <c r="E10" s="50"/>
      <c r="F10" s="50"/>
      <c r="G10" s="50"/>
      <c r="H10" s="50"/>
      <c r="I10" s="50"/>
      <c r="J10" s="50"/>
      <c r="K10" s="50"/>
      <c r="L10" s="50"/>
      <c r="M10" s="50"/>
      <c r="N10" s="50"/>
      <c r="O10" s="50"/>
      <c r="P10" s="50"/>
    </row>
    <row r="11" spans="1:26">
      <c r="A11" s="50"/>
      <c r="B11" s="50"/>
      <c r="C11" s="50"/>
      <c r="D11" s="50"/>
      <c r="E11" s="50"/>
      <c r="F11" s="50"/>
      <c r="G11" s="50"/>
      <c r="H11" s="50"/>
      <c r="I11" s="50"/>
      <c r="J11" s="50"/>
      <c r="K11" s="50"/>
      <c r="L11" s="50"/>
      <c r="M11" s="50"/>
      <c r="N11" s="50"/>
      <c r="O11" s="50"/>
      <c r="P11" s="50"/>
    </row>
    <row r="12" spans="1:26">
      <c r="A12" s="50"/>
      <c r="B12" s="50"/>
      <c r="C12" s="50"/>
      <c r="D12" s="50"/>
      <c r="E12" s="50"/>
      <c r="F12" s="50"/>
      <c r="G12" s="50"/>
      <c r="H12" s="50"/>
      <c r="I12" s="50"/>
      <c r="J12" s="50"/>
      <c r="K12" s="50"/>
      <c r="L12" s="50"/>
      <c r="M12" s="50"/>
      <c r="N12" s="50"/>
      <c r="O12" s="50"/>
      <c r="P12" s="50"/>
    </row>
    <row r="13" spans="1:26">
      <c r="A13" s="50"/>
      <c r="B13" s="50"/>
      <c r="C13" s="50"/>
      <c r="D13" s="50"/>
      <c r="E13" s="50"/>
      <c r="F13" s="50"/>
      <c r="G13" s="50"/>
      <c r="H13" s="50"/>
      <c r="I13" s="50"/>
      <c r="J13" s="50"/>
      <c r="K13" s="50"/>
      <c r="L13" s="50"/>
      <c r="M13" s="50"/>
      <c r="N13" s="50"/>
      <c r="O13" s="50"/>
      <c r="P13" s="50"/>
    </row>
    <row r="14" spans="1:26">
      <c r="A14" s="50"/>
      <c r="B14" s="50"/>
      <c r="C14" s="50"/>
      <c r="D14" s="50"/>
      <c r="E14" s="50"/>
      <c r="F14" s="50"/>
      <c r="G14" s="50"/>
      <c r="H14" s="50"/>
      <c r="I14" s="50"/>
      <c r="J14" s="50"/>
      <c r="K14" s="50"/>
      <c r="L14" s="50"/>
      <c r="M14" s="50"/>
      <c r="N14" s="50"/>
      <c r="O14" s="50"/>
      <c r="P14" s="50"/>
    </row>
    <row r="15" spans="1:26">
      <c r="A15" s="50"/>
      <c r="B15" s="50"/>
      <c r="C15" s="50"/>
      <c r="D15" s="50"/>
      <c r="E15" s="50"/>
      <c r="F15" s="50"/>
      <c r="G15" s="50"/>
      <c r="H15" s="50"/>
      <c r="I15" s="50"/>
      <c r="J15" s="50"/>
      <c r="K15" s="50"/>
      <c r="L15" s="50"/>
      <c r="M15" s="50"/>
      <c r="N15" s="50"/>
      <c r="O15" s="50"/>
      <c r="P15" s="50"/>
    </row>
    <row r="16" spans="1:26">
      <c r="A16" s="50"/>
      <c r="B16" s="50"/>
      <c r="C16" s="50"/>
      <c r="D16" s="50"/>
      <c r="E16" s="50"/>
      <c r="F16" s="50"/>
      <c r="G16" s="50"/>
      <c r="H16" s="50"/>
      <c r="I16" s="50"/>
      <c r="J16" s="50"/>
      <c r="K16" s="50"/>
      <c r="L16" s="50"/>
      <c r="M16" s="50"/>
      <c r="N16" s="50"/>
      <c r="O16" s="50"/>
      <c r="P16" s="50"/>
    </row>
    <row r="17" spans="1:22">
      <c r="A17" s="50"/>
      <c r="B17" s="50"/>
      <c r="C17" s="50"/>
      <c r="D17" s="50"/>
      <c r="E17" s="50"/>
      <c r="F17" s="50"/>
      <c r="G17" s="50"/>
      <c r="H17" s="50"/>
      <c r="I17" s="50"/>
      <c r="J17" s="50"/>
      <c r="K17" s="50"/>
      <c r="L17" s="50"/>
      <c r="M17" s="50"/>
      <c r="N17" s="50"/>
      <c r="O17" s="50"/>
      <c r="P17" s="50"/>
    </row>
    <row r="18" spans="1:22">
      <c r="A18" s="50"/>
      <c r="B18" s="50"/>
      <c r="C18" s="50"/>
      <c r="D18" s="50"/>
      <c r="E18" s="50"/>
      <c r="F18" s="50"/>
      <c r="G18" s="50"/>
      <c r="H18" s="50"/>
      <c r="I18" s="50"/>
      <c r="J18" s="50"/>
      <c r="K18" s="50"/>
      <c r="L18" s="50"/>
      <c r="M18" s="50"/>
      <c r="N18" s="50"/>
      <c r="O18" s="50"/>
      <c r="P18" s="50"/>
    </row>
    <row r="19" spans="1:22">
      <c r="A19" s="50"/>
      <c r="B19" s="50"/>
      <c r="C19" s="50"/>
      <c r="D19" s="50"/>
      <c r="E19" s="50"/>
      <c r="F19" s="50"/>
      <c r="G19" s="50"/>
      <c r="H19" s="50"/>
      <c r="I19" s="50"/>
      <c r="J19" s="50"/>
      <c r="K19" s="50"/>
      <c r="L19" s="50"/>
      <c r="M19" s="50"/>
      <c r="N19" s="50"/>
      <c r="O19" s="50"/>
      <c r="P19" s="50"/>
    </row>
    <row r="20" spans="1:22">
      <c r="A20" s="50"/>
      <c r="B20" s="50"/>
      <c r="C20" s="50"/>
      <c r="D20" s="50"/>
      <c r="E20" s="50"/>
      <c r="F20" s="50"/>
      <c r="G20" s="50"/>
      <c r="H20" s="50"/>
      <c r="I20" s="50"/>
      <c r="J20" s="50"/>
      <c r="K20" s="50"/>
      <c r="L20" s="50"/>
      <c r="M20" s="50"/>
      <c r="N20" s="50"/>
      <c r="O20" s="50"/>
      <c r="P20" s="50"/>
    </row>
    <row r="21" spans="1:22">
      <c r="A21" s="50"/>
      <c r="B21" s="50"/>
      <c r="C21" s="50"/>
      <c r="D21" s="50"/>
      <c r="E21" s="50"/>
      <c r="F21" s="50"/>
      <c r="G21" s="50"/>
      <c r="H21" s="50"/>
      <c r="I21" s="50"/>
      <c r="J21" s="50"/>
      <c r="K21" s="50"/>
      <c r="L21" s="50"/>
      <c r="M21" s="50"/>
      <c r="N21" s="50"/>
      <c r="O21" s="50"/>
      <c r="P21" s="50"/>
    </row>
    <row r="22" spans="1:22">
      <c r="A22" s="50"/>
      <c r="B22" s="50"/>
      <c r="C22" s="50"/>
      <c r="D22" s="50"/>
      <c r="E22" s="50"/>
      <c r="F22" s="50"/>
      <c r="G22" s="50"/>
      <c r="H22" s="50"/>
      <c r="I22" s="50"/>
      <c r="J22" s="50"/>
      <c r="K22" s="50"/>
      <c r="L22" s="50"/>
      <c r="M22" s="50"/>
      <c r="N22" s="50"/>
      <c r="O22" s="50"/>
      <c r="P22" s="50"/>
    </row>
    <row r="23" spans="1:22">
      <c r="A23" s="50"/>
      <c r="B23" s="50"/>
      <c r="C23" s="50"/>
      <c r="D23" s="50"/>
      <c r="E23" s="50"/>
      <c r="F23" s="50"/>
      <c r="G23" s="50"/>
      <c r="H23" s="50"/>
      <c r="I23" s="50"/>
      <c r="J23" s="50"/>
      <c r="K23" s="50"/>
      <c r="L23" s="50"/>
      <c r="M23" s="50"/>
      <c r="N23" s="50"/>
      <c r="O23" s="50"/>
      <c r="P23" s="50"/>
    </row>
    <row r="24" spans="1:22">
      <c r="A24" s="50"/>
      <c r="B24" s="50"/>
      <c r="C24" s="50"/>
      <c r="D24" s="50"/>
      <c r="E24" s="50"/>
      <c r="F24" s="50"/>
      <c r="G24" s="50"/>
      <c r="H24" s="50"/>
      <c r="I24" s="50"/>
      <c r="J24" s="50"/>
      <c r="K24" s="50"/>
      <c r="L24" s="50"/>
      <c r="M24" s="50"/>
      <c r="N24" s="50"/>
      <c r="O24" s="50"/>
      <c r="P24" s="50"/>
    </row>
    <row r="25" spans="1:22">
      <c r="A25" s="50"/>
      <c r="B25" s="50"/>
      <c r="C25" s="50"/>
      <c r="D25" s="50"/>
      <c r="E25" s="50"/>
      <c r="F25" s="50"/>
      <c r="G25" s="50"/>
      <c r="H25" s="50"/>
      <c r="I25" s="50"/>
      <c r="J25" s="50"/>
      <c r="K25" s="50"/>
      <c r="L25" s="50"/>
      <c r="M25" s="50"/>
      <c r="N25" s="50"/>
      <c r="O25" s="50"/>
      <c r="P25" s="50"/>
    </row>
    <row r="26" spans="1:22">
      <c r="A26" s="50"/>
      <c r="B26" s="50"/>
      <c r="C26" s="50"/>
      <c r="D26" s="50"/>
      <c r="E26" s="50"/>
      <c r="F26" s="50"/>
      <c r="G26" s="50"/>
      <c r="H26" s="50"/>
      <c r="I26" s="50"/>
      <c r="J26" s="50"/>
      <c r="K26" s="50"/>
      <c r="L26" s="50"/>
      <c r="M26" s="50"/>
      <c r="N26" s="50"/>
      <c r="O26" s="50"/>
      <c r="P26" s="50"/>
    </row>
    <row r="27" spans="1:22">
      <c r="A27" s="50"/>
      <c r="B27" s="50"/>
      <c r="C27" s="50"/>
      <c r="D27" s="50"/>
      <c r="E27" s="50"/>
      <c r="F27" s="50"/>
      <c r="G27" s="50"/>
      <c r="H27" s="50"/>
      <c r="I27" s="50"/>
      <c r="J27" s="50"/>
      <c r="K27" s="50"/>
      <c r="L27" s="50"/>
      <c r="M27" s="50"/>
      <c r="N27" s="50"/>
      <c r="O27" s="50"/>
      <c r="P27" s="50"/>
    </row>
    <row r="28" spans="1:22" ht="21">
      <c r="B28" s="302" t="s">
        <v>328</v>
      </c>
      <c r="C28" s="302"/>
      <c r="D28" s="302"/>
      <c r="E28" s="533"/>
      <c r="F28" s="534"/>
      <c r="G28" s="534"/>
      <c r="H28" s="534"/>
      <c r="I28" s="302" t="s">
        <v>330</v>
      </c>
      <c r="K28" s="534"/>
      <c r="L28" s="534"/>
      <c r="M28" s="534"/>
      <c r="N28" s="534"/>
      <c r="O28" s="534"/>
      <c r="P28" s="302"/>
      <c r="Q28" s="302"/>
      <c r="R28" s="302" t="s">
        <v>331</v>
      </c>
      <c r="S28" s="302"/>
      <c r="U28" s="302"/>
      <c r="V28" s="302"/>
    </row>
    <row r="29" spans="1:22">
      <c r="A29" s="50"/>
      <c r="B29" s="50"/>
      <c r="C29" s="50"/>
      <c r="D29" s="50"/>
      <c r="E29" s="50"/>
      <c r="F29" s="50"/>
      <c r="G29" s="50"/>
      <c r="H29" s="50"/>
      <c r="I29" s="50"/>
      <c r="J29" s="50"/>
      <c r="K29" s="50"/>
      <c r="L29" s="50"/>
      <c r="M29" s="50"/>
      <c r="N29" s="50"/>
      <c r="O29" s="50"/>
      <c r="P29" s="50"/>
    </row>
    <row r="30" spans="1:22">
      <c r="A30" s="50"/>
      <c r="B30" s="50"/>
      <c r="C30" s="50"/>
      <c r="D30" s="50"/>
      <c r="E30" s="50"/>
      <c r="F30" s="50"/>
      <c r="G30" s="50"/>
      <c r="H30" s="50"/>
      <c r="I30" s="50"/>
      <c r="J30" s="50"/>
      <c r="K30" s="50"/>
      <c r="L30" s="50"/>
      <c r="M30" s="50"/>
      <c r="N30" s="50"/>
      <c r="O30" s="50"/>
      <c r="P30" s="50"/>
    </row>
    <row r="31" spans="1:22">
      <c r="A31" s="50"/>
      <c r="B31" s="50"/>
      <c r="C31" s="50"/>
      <c r="D31" s="50"/>
      <c r="E31" s="50"/>
      <c r="F31" s="50"/>
      <c r="G31" s="50"/>
      <c r="H31" s="50"/>
      <c r="I31" s="50"/>
      <c r="J31" s="50"/>
      <c r="K31" s="50"/>
      <c r="L31" s="50"/>
      <c r="M31" s="50"/>
      <c r="N31" s="50"/>
      <c r="O31" s="50"/>
      <c r="P31" s="50"/>
    </row>
    <row r="32" spans="1:22">
      <c r="A32" s="50"/>
      <c r="B32" s="50"/>
      <c r="C32" s="50"/>
      <c r="D32" s="50"/>
      <c r="E32" s="50"/>
      <c r="F32" s="50"/>
      <c r="G32" s="50"/>
      <c r="H32" s="50"/>
      <c r="I32" s="50"/>
      <c r="J32" s="50"/>
      <c r="K32" s="50"/>
      <c r="L32" s="50"/>
      <c r="M32" s="50"/>
      <c r="N32" s="50"/>
      <c r="O32" s="50"/>
      <c r="P32" s="50"/>
    </row>
    <row r="33" spans="1:16">
      <c r="A33" s="50"/>
      <c r="B33" s="50"/>
      <c r="C33" s="50"/>
      <c r="D33" s="50"/>
      <c r="E33" s="50"/>
      <c r="F33" s="50"/>
      <c r="G33" s="50"/>
      <c r="H33" s="50"/>
      <c r="I33" s="50"/>
      <c r="J33" s="50"/>
      <c r="K33" s="50"/>
      <c r="L33" s="50"/>
      <c r="M33" s="50"/>
      <c r="N33" s="50"/>
      <c r="O33" s="50"/>
      <c r="P33" s="50"/>
    </row>
    <row r="34" spans="1:16">
      <c r="A34" s="50"/>
      <c r="B34" s="50"/>
      <c r="C34" s="50"/>
      <c r="D34" s="50"/>
      <c r="E34" s="50"/>
      <c r="F34" s="50"/>
      <c r="G34" s="50"/>
      <c r="H34" s="50"/>
      <c r="I34" s="50"/>
      <c r="J34" s="50"/>
      <c r="K34" s="50"/>
      <c r="L34" s="50"/>
      <c r="M34" s="50"/>
      <c r="N34" s="50"/>
      <c r="O34" s="50"/>
      <c r="P34" s="50"/>
    </row>
    <row r="35" spans="1:16">
      <c r="A35" s="50"/>
      <c r="B35" s="50"/>
      <c r="C35" s="50"/>
      <c r="D35" s="50"/>
      <c r="E35" s="50"/>
      <c r="F35" s="50"/>
      <c r="G35" s="50"/>
      <c r="H35" s="50"/>
      <c r="I35" s="50"/>
      <c r="J35" s="50"/>
      <c r="K35" s="50"/>
      <c r="L35" s="50"/>
      <c r="M35" s="50"/>
      <c r="N35" s="50"/>
      <c r="O35" s="50"/>
      <c r="P35" s="50"/>
    </row>
    <row r="36" spans="1:16">
      <c r="A36" s="50"/>
      <c r="B36" s="50"/>
      <c r="C36" s="50"/>
      <c r="D36" s="50"/>
      <c r="E36" s="50"/>
      <c r="F36" s="50"/>
      <c r="G36" s="50"/>
      <c r="H36" s="50"/>
      <c r="I36" s="50"/>
      <c r="J36" s="50"/>
      <c r="K36" s="50"/>
      <c r="L36" s="50"/>
      <c r="M36" s="50"/>
      <c r="N36" s="50"/>
      <c r="O36" s="50"/>
      <c r="P36" s="50"/>
    </row>
    <row r="37" spans="1:16">
      <c r="A37" s="50"/>
      <c r="B37" s="50"/>
      <c r="C37" s="50"/>
      <c r="D37" s="50"/>
      <c r="E37" s="50"/>
      <c r="F37" s="50"/>
      <c r="G37" s="50"/>
      <c r="H37" s="50"/>
      <c r="I37" s="50"/>
      <c r="J37" s="50"/>
      <c r="K37" s="50"/>
      <c r="L37" s="50"/>
      <c r="M37" s="50"/>
      <c r="N37" s="50"/>
      <c r="O37" s="50"/>
      <c r="P37" s="50"/>
    </row>
    <row r="38" spans="1:16">
      <c r="A38" s="50"/>
      <c r="B38" s="50"/>
      <c r="C38" s="50"/>
      <c r="D38" s="50"/>
      <c r="E38" s="50"/>
      <c r="F38" s="50"/>
      <c r="G38" s="50"/>
      <c r="H38" s="50"/>
      <c r="I38" s="50"/>
      <c r="J38" s="50"/>
      <c r="K38" s="50"/>
      <c r="L38" s="50"/>
      <c r="M38" s="50"/>
      <c r="N38" s="50"/>
      <c r="O38" s="50"/>
      <c r="P38" s="50"/>
    </row>
    <row r="39" spans="1:16">
      <c r="A39" s="50"/>
      <c r="B39" s="50"/>
      <c r="C39" s="50"/>
      <c r="D39" s="50"/>
      <c r="E39" s="50"/>
      <c r="F39" s="50"/>
      <c r="G39" s="50"/>
      <c r="H39" s="50"/>
      <c r="I39" s="50"/>
      <c r="J39" s="50"/>
      <c r="K39" s="50"/>
      <c r="L39" s="50"/>
      <c r="M39" s="50"/>
      <c r="N39" s="50"/>
      <c r="O39" s="50"/>
      <c r="P39" s="50"/>
    </row>
    <row r="40" spans="1:16">
      <c r="A40" s="50"/>
      <c r="B40" s="50"/>
      <c r="C40" s="50"/>
      <c r="D40" s="50"/>
      <c r="E40" s="50"/>
      <c r="F40" s="50"/>
      <c r="G40" s="50"/>
      <c r="H40" s="50"/>
      <c r="I40" s="50"/>
      <c r="J40" s="50"/>
      <c r="K40" s="50"/>
      <c r="L40" s="50"/>
      <c r="M40" s="50"/>
      <c r="N40" s="50"/>
      <c r="O40" s="50"/>
      <c r="P40" s="50"/>
    </row>
    <row r="41" spans="1:16">
      <c r="A41" s="50"/>
      <c r="B41" s="50"/>
      <c r="C41" s="50"/>
      <c r="D41" s="50"/>
      <c r="E41" s="50"/>
      <c r="F41" s="50"/>
      <c r="G41" s="50"/>
      <c r="H41" s="50"/>
      <c r="I41" s="50"/>
      <c r="J41" s="50"/>
      <c r="K41" s="50"/>
      <c r="L41" s="50"/>
      <c r="M41" s="50"/>
      <c r="N41" s="50"/>
      <c r="O41" s="50"/>
      <c r="P41" s="50"/>
    </row>
    <row r="42" spans="1:16">
      <c r="A42" s="50"/>
      <c r="B42" s="50"/>
      <c r="C42" s="50"/>
      <c r="D42" s="50"/>
      <c r="E42" s="50"/>
      <c r="F42" s="50"/>
      <c r="G42" s="50"/>
      <c r="H42" s="50"/>
      <c r="I42" s="50"/>
      <c r="J42" s="50"/>
      <c r="K42" s="50"/>
      <c r="L42" s="50"/>
      <c r="M42" s="50"/>
      <c r="N42" s="50"/>
      <c r="O42" s="50"/>
      <c r="P42" s="50"/>
    </row>
    <row r="43" spans="1:16">
      <c r="A43" s="50"/>
      <c r="B43" s="50"/>
      <c r="C43" s="50"/>
      <c r="D43" s="50"/>
      <c r="E43" s="50"/>
      <c r="F43" s="50"/>
      <c r="G43" s="50"/>
      <c r="H43" s="50"/>
      <c r="I43" s="50"/>
      <c r="J43" s="50"/>
      <c r="K43" s="50"/>
      <c r="L43" s="50"/>
      <c r="M43" s="50"/>
      <c r="N43" s="50"/>
      <c r="O43" s="50"/>
      <c r="P43" s="50"/>
    </row>
    <row r="44" spans="1:16">
      <c r="A44" s="50"/>
      <c r="B44" s="50"/>
      <c r="C44" s="50"/>
      <c r="D44" s="50"/>
      <c r="E44" s="50"/>
      <c r="F44" s="50"/>
      <c r="G44" s="50"/>
      <c r="H44" s="50"/>
      <c r="I44" s="50"/>
      <c r="J44" s="50"/>
      <c r="K44" s="50"/>
      <c r="L44" s="50"/>
      <c r="M44" s="50"/>
      <c r="N44" s="50"/>
      <c r="O44" s="50"/>
      <c r="P44" s="50"/>
    </row>
    <row r="45" spans="1:16">
      <c r="A45" s="50"/>
      <c r="B45" s="50"/>
      <c r="C45" s="50"/>
      <c r="D45" s="50"/>
      <c r="E45" s="50"/>
      <c r="F45" s="50"/>
      <c r="G45" s="50"/>
      <c r="H45" s="50"/>
      <c r="I45" s="50"/>
      <c r="J45" s="50"/>
      <c r="K45" s="50"/>
      <c r="L45" s="50"/>
      <c r="M45" s="50"/>
      <c r="N45" s="50"/>
      <c r="O45" s="50"/>
      <c r="P45" s="50"/>
    </row>
    <row r="46" spans="1:16">
      <c r="A46" s="50"/>
      <c r="B46" s="50"/>
      <c r="C46" s="50"/>
      <c r="D46" s="50"/>
      <c r="E46" s="50"/>
      <c r="F46" s="50"/>
      <c r="G46" s="50"/>
      <c r="H46" s="50"/>
      <c r="I46" s="50"/>
      <c r="J46" s="50"/>
      <c r="K46" s="50"/>
      <c r="L46" s="50"/>
      <c r="M46" s="50"/>
      <c r="N46" s="50"/>
      <c r="O46" s="50"/>
      <c r="P46" s="50"/>
    </row>
    <row r="47" spans="1:16">
      <c r="A47" s="50"/>
      <c r="B47" s="50"/>
      <c r="C47" s="50"/>
      <c r="D47" s="50"/>
      <c r="E47" s="50"/>
      <c r="F47" s="50"/>
      <c r="G47" s="50"/>
      <c r="H47" s="50"/>
      <c r="I47" s="50"/>
      <c r="J47" s="50"/>
      <c r="K47" s="50"/>
      <c r="L47" s="50"/>
      <c r="M47" s="50"/>
      <c r="N47" s="50"/>
      <c r="O47" s="50"/>
      <c r="P47" s="50"/>
    </row>
    <row r="48" spans="1:16">
      <c r="A48" s="50"/>
      <c r="B48" s="50"/>
      <c r="C48" s="50"/>
      <c r="D48" s="50"/>
      <c r="E48" s="50"/>
      <c r="F48" s="50"/>
      <c r="G48" s="50"/>
      <c r="H48" s="50"/>
      <c r="I48" s="50"/>
      <c r="J48" s="50"/>
      <c r="K48" s="50"/>
      <c r="L48" s="50"/>
      <c r="M48" s="50"/>
      <c r="N48" s="50"/>
      <c r="O48" s="50"/>
      <c r="P48" s="50"/>
    </row>
    <row r="49" spans="1:19">
      <c r="A49" s="50"/>
      <c r="B49" s="50"/>
      <c r="C49" s="50"/>
      <c r="D49" s="50"/>
      <c r="E49" s="50"/>
      <c r="F49" s="50"/>
      <c r="G49" s="50"/>
      <c r="H49" s="50"/>
      <c r="I49" s="50"/>
      <c r="J49" s="50"/>
      <c r="K49" s="50"/>
      <c r="L49" s="50"/>
      <c r="M49" s="50"/>
      <c r="N49" s="50"/>
      <c r="O49" s="50"/>
      <c r="P49" s="50"/>
    </row>
    <row r="50" spans="1:19" ht="21">
      <c r="A50" s="50"/>
      <c r="B50" s="532" t="s">
        <v>338</v>
      </c>
      <c r="C50" s="50"/>
      <c r="D50" s="50"/>
      <c r="E50" s="50"/>
      <c r="F50" s="50"/>
      <c r="G50" s="50"/>
      <c r="H50" s="50"/>
      <c r="I50" s="532" t="s">
        <v>337</v>
      </c>
      <c r="J50" s="50"/>
      <c r="K50" s="50"/>
      <c r="L50" s="50"/>
      <c r="M50" s="50"/>
      <c r="N50" s="50"/>
      <c r="O50" s="50"/>
      <c r="P50" s="50"/>
      <c r="R50" s="532" t="s">
        <v>322</v>
      </c>
      <c r="S50" s="532"/>
    </row>
    <row r="51" spans="1:19">
      <c r="A51" s="50"/>
      <c r="B51" s="50"/>
      <c r="C51" s="50"/>
      <c r="D51" s="50"/>
      <c r="E51" s="50"/>
      <c r="F51" s="50"/>
      <c r="G51" s="50"/>
      <c r="H51" s="50"/>
      <c r="I51" s="50"/>
      <c r="J51" s="50"/>
      <c r="K51" s="50"/>
      <c r="L51" s="50"/>
      <c r="M51" s="50"/>
      <c r="N51" s="50"/>
      <c r="O51" s="50"/>
      <c r="P51" s="50"/>
    </row>
    <row r="52" spans="1:19">
      <c r="A52" s="50"/>
      <c r="B52" s="50"/>
      <c r="C52" s="50"/>
      <c r="D52" s="50"/>
      <c r="E52" s="50"/>
      <c r="F52" s="50"/>
      <c r="G52" s="50"/>
      <c r="H52" s="50"/>
      <c r="I52" s="50"/>
      <c r="J52" s="50"/>
      <c r="K52" s="50"/>
      <c r="L52" s="50"/>
      <c r="M52" s="50"/>
      <c r="N52" s="50"/>
      <c r="O52" s="50"/>
      <c r="P52" s="50"/>
    </row>
    <row r="53" spans="1:19">
      <c r="A53" s="50"/>
      <c r="B53" s="50"/>
      <c r="C53" s="50"/>
      <c r="D53" s="50"/>
      <c r="E53" s="50"/>
      <c r="F53" s="50"/>
      <c r="G53" s="50"/>
      <c r="H53" s="50"/>
      <c r="I53" s="50"/>
      <c r="J53" s="50"/>
      <c r="K53" s="50"/>
      <c r="L53" s="50"/>
      <c r="M53" s="50"/>
      <c r="N53" s="50"/>
      <c r="O53" s="50"/>
      <c r="P53" s="50"/>
    </row>
    <row r="54" spans="1:19">
      <c r="A54" s="50"/>
      <c r="B54" s="50"/>
      <c r="C54" s="50"/>
      <c r="D54" s="50"/>
      <c r="E54" s="50"/>
      <c r="F54" s="50"/>
      <c r="G54" s="50"/>
      <c r="H54" s="50"/>
      <c r="I54" s="50"/>
      <c r="J54" s="50"/>
      <c r="K54" s="50"/>
      <c r="L54" s="50"/>
      <c r="M54" s="50"/>
      <c r="N54" s="50"/>
      <c r="O54" s="50"/>
      <c r="P54" s="50"/>
    </row>
    <row r="55" spans="1:19">
      <c r="A55" s="50"/>
      <c r="B55" s="50"/>
      <c r="C55" s="50"/>
      <c r="D55" s="50"/>
      <c r="E55" s="50"/>
      <c r="F55" s="50"/>
      <c r="G55" s="50"/>
      <c r="H55" s="50"/>
      <c r="I55" s="50"/>
      <c r="J55" s="50"/>
      <c r="K55" s="50"/>
      <c r="L55" s="50"/>
      <c r="M55" s="50"/>
      <c r="N55" s="50"/>
      <c r="O55" s="50"/>
      <c r="P55" s="50"/>
    </row>
    <row r="56" spans="1:19">
      <c r="A56" s="50"/>
      <c r="B56" s="50"/>
      <c r="C56" s="50"/>
      <c r="D56" s="50"/>
      <c r="E56" s="50"/>
      <c r="F56" s="50"/>
      <c r="G56" s="50"/>
      <c r="H56" s="50"/>
      <c r="I56" s="50"/>
      <c r="J56" s="50"/>
      <c r="K56" s="50"/>
      <c r="L56" s="50"/>
      <c r="M56" s="50"/>
      <c r="N56" s="50"/>
      <c r="O56" s="50"/>
      <c r="P56" s="50"/>
    </row>
    <row r="57" spans="1:19">
      <c r="A57" s="50"/>
      <c r="B57" s="50"/>
      <c r="C57" s="50"/>
      <c r="D57" s="50"/>
      <c r="E57" s="50"/>
      <c r="F57" s="50"/>
      <c r="G57" s="50"/>
      <c r="H57" s="50"/>
      <c r="I57" s="50"/>
      <c r="J57" s="50"/>
      <c r="K57" s="50"/>
      <c r="L57" s="50"/>
      <c r="M57" s="50"/>
      <c r="N57" s="50"/>
      <c r="O57" s="50"/>
      <c r="P57" s="50"/>
    </row>
    <row r="58" spans="1:19">
      <c r="A58" s="50"/>
      <c r="B58" s="50"/>
      <c r="C58" s="50"/>
      <c r="D58" s="50"/>
      <c r="E58" s="50"/>
      <c r="F58" s="50"/>
      <c r="G58" s="50"/>
      <c r="H58" s="50"/>
      <c r="I58" s="50"/>
      <c r="J58" s="50"/>
      <c r="K58" s="50"/>
      <c r="L58" s="50"/>
      <c r="M58" s="50"/>
      <c r="N58" s="50"/>
      <c r="O58" s="50"/>
      <c r="P58" s="50"/>
    </row>
    <row r="59" spans="1:19">
      <c r="A59" s="50"/>
      <c r="B59" s="50"/>
      <c r="C59" s="50"/>
      <c r="D59" s="50"/>
      <c r="E59" s="50"/>
      <c r="F59" s="50"/>
      <c r="G59" s="50"/>
      <c r="H59" s="50"/>
      <c r="I59" s="50"/>
      <c r="J59" s="50"/>
      <c r="K59" s="50"/>
      <c r="L59" s="50"/>
      <c r="M59" s="50"/>
      <c r="N59" s="50"/>
      <c r="O59" s="50"/>
      <c r="P59" s="50"/>
    </row>
    <row r="60" spans="1:19">
      <c r="A60" s="50"/>
      <c r="B60" s="50"/>
      <c r="C60" s="50"/>
      <c r="D60" s="50"/>
      <c r="E60" s="50"/>
      <c r="F60" s="50"/>
      <c r="G60" s="50"/>
      <c r="H60" s="50"/>
      <c r="I60" s="50"/>
      <c r="J60" s="50"/>
      <c r="K60" s="50"/>
      <c r="L60" s="50"/>
      <c r="M60" s="50"/>
      <c r="N60" s="50"/>
      <c r="O60" s="50"/>
      <c r="P60" s="50"/>
    </row>
    <row r="61" spans="1:19">
      <c r="A61" s="50"/>
      <c r="B61" s="50"/>
      <c r="C61" s="50"/>
      <c r="D61" s="50"/>
      <c r="E61" s="50"/>
      <c r="F61" s="50"/>
      <c r="G61" s="50"/>
      <c r="H61" s="50"/>
      <c r="I61" s="50"/>
      <c r="J61" s="50"/>
      <c r="K61" s="50"/>
      <c r="L61" s="50"/>
      <c r="M61" s="50"/>
      <c r="N61" s="50"/>
      <c r="O61" s="50"/>
      <c r="P61" s="50"/>
    </row>
    <row r="62" spans="1:19">
      <c r="A62" s="50"/>
      <c r="B62" s="50"/>
      <c r="C62" s="50"/>
      <c r="D62" s="50"/>
      <c r="E62" s="50"/>
      <c r="F62" s="50"/>
      <c r="G62" s="50"/>
      <c r="H62" s="50"/>
      <c r="I62" s="50"/>
      <c r="J62" s="50"/>
      <c r="K62" s="50"/>
      <c r="L62" s="50"/>
      <c r="M62" s="50"/>
      <c r="N62" s="50"/>
      <c r="O62" s="50"/>
      <c r="P62" s="50"/>
    </row>
    <row r="63" spans="1:19">
      <c r="A63" s="50"/>
      <c r="B63" s="50"/>
      <c r="C63" s="50"/>
      <c r="D63" s="50"/>
      <c r="E63" s="50"/>
      <c r="F63" s="50"/>
      <c r="G63" s="50"/>
      <c r="H63" s="50"/>
      <c r="I63" s="50"/>
      <c r="J63" s="50"/>
      <c r="K63" s="50"/>
      <c r="L63" s="50"/>
      <c r="M63" s="50"/>
      <c r="N63" s="50"/>
      <c r="O63" s="50"/>
      <c r="P63" s="50"/>
    </row>
    <row r="64" spans="1:19">
      <c r="A64" s="50"/>
      <c r="B64" s="50"/>
      <c r="C64" s="50"/>
      <c r="D64" s="50"/>
      <c r="E64" s="50"/>
      <c r="F64" s="50"/>
      <c r="G64" s="50"/>
      <c r="H64" s="50"/>
      <c r="I64" s="50"/>
      <c r="J64" s="50"/>
      <c r="K64" s="50"/>
      <c r="L64" s="50"/>
      <c r="M64" s="50"/>
      <c r="N64" s="50"/>
      <c r="O64" s="50"/>
      <c r="P64" s="50"/>
    </row>
    <row r="65" spans="1:16">
      <c r="A65" s="50"/>
      <c r="B65" s="50"/>
      <c r="C65" s="50"/>
      <c r="D65" s="50"/>
      <c r="E65" s="50"/>
      <c r="F65" s="50"/>
      <c r="G65" s="50"/>
      <c r="H65" s="50"/>
      <c r="I65" s="50"/>
      <c r="J65" s="50"/>
      <c r="K65" s="50"/>
      <c r="L65" s="50"/>
      <c r="M65" s="50"/>
      <c r="N65" s="50"/>
      <c r="O65" s="50"/>
      <c r="P65" s="50"/>
    </row>
    <row r="66" spans="1:16">
      <c r="A66" s="50"/>
      <c r="B66" s="50"/>
      <c r="C66" s="50"/>
      <c r="D66" s="50"/>
      <c r="E66" s="50"/>
      <c r="F66" s="50"/>
      <c r="G66" s="50"/>
      <c r="H66" s="50"/>
      <c r="I66" s="50"/>
      <c r="J66" s="50"/>
      <c r="K66" s="50"/>
      <c r="L66" s="50"/>
      <c r="M66" s="50"/>
      <c r="N66" s="50"/>
      <c r="O66" s="50"/>
      <c r="P66" s="50"/>
    </row>
    <row r="67" spans="1:16">
      <c r="A67" s="50"/>
      <c r="B67" s="50"/>
      <c r="C67" s="50"/>
      <c r="D67" s="50"/>
      <c r="E67" s="50"/>
      <c r="F67" s="50"/>
      <c r="G67" s="50"/>
      <c r="H67" s="50"/>
      <c r="I67" s="50"/>
      <c r="J67" s="50"/>
      <c r="K67" s="50"/>
      <c r="L67" s="50"/>
      <c r="M67" s="50"/>
      <c r="N67" s="50"/>
      <c r="O67" s="50"/>
      <c r="P67" s="50"/>
    </row>
    <row r="68" spans="1:16">
      <c r="A68" s="50"/>
      <c r="B68" s="50"/>
      <c r="C68" s="50"/>
      <c r="D68" s="50"/>
      <c r="E68" s="50"/>
      <c r="F68" s="50"/>
      <c r="G68" s="50"/>
      <c r="H68" s="50"/>
      <c r="I68" s="50"/>
      <c r="J68" s="50"/>
      <c r="K68" s="50"/>
      <c r="L68" s="50"/>
      <c r="M68" s="50"/>
      <c r="N68" s="50"/>
      <c r="O68" s="50"/>
      <c r="P68" s="50"/>
    </row>
    <row r="69" spans="1:16">
      <c r="A69" s="50"/>
      <c r="B69" s="50"/>
      <c r="C69" s="50"/>
      <c r="D69" s="50"/>
      <c r="E69" s="50"/>
      <c r="F69" s="50"/>
      <c r="G69" s="50"/>
      <c r="H69" s="50"/>
      <c r="I69" s="50"/>
      <c r="J69" s="50"/>
      <c r="K69" s="50"/>
      <c r="L69" s="50"/>
      <c r="M69" s="50"/>
      <c r="N69" s="50"/>
      <c r="O69" s="50"/>
      <c r="P69" s="50"/>
    </row>
    <row r="70" spans="1:16">
      <c r="A70" s="50"/>
      <c r="B70" s="50"/>
      <c r="C70" s="50"/>
      <c r="D70" s="50"/>
      <c r="E70" s="50"/>
      <c r="F70" s="50"/>
      <c r="G70" s="50"/>
      <c r="H70" s="50"/>
      <c r="I70" s="50"/>
      <c r="J70" s="50"/>
      <c r="K70" s="50"/>
      <c r="L70" s="50"/>
      <c r="M70" s="50"/>
      <c r="N70" s="50"/>
      <c r="O70" s="50"/>
      <c r="P70" s="50"/>
    </row>
    <row r="71" spans="1:16">
      <c r="A71" s="50"/>
      <c r="B71" s="50"/>
      <c r="C71" s="50"/>
      <c r="D71" s="50"/>
      <c r="E71" s="50"/>
      <c r="F71" s="50"/>
      <c r="G71" s="50"/>
      <c r="H71" s="50"/>
      <c r="I71" s="50"/>
      <c r="J71" s="50"/>
      <c r="K71" s="50"/>
      <c r="L71" s="50"/>
      <c r="M71" s="50"/>
      <c r="N71" s="50"/>
      <c r="O71" s="50"/>
      <c r="P71" s="50"/>
    </row>
    <row r="72" spans="1:16">
      <c r="A72" s="50"/>
      <c r="B72" s="50"/>
      <c r="C72" s="50"/>
      <c r="D72" s="50"/>
      <c r="E72" s="50"/>
      <c r="F72" s="50"/>
      <c r="G72" s="50"/>
      <c r="H72" s="50"/>
      <c r="I72" s="50"/>
      <c r="J72" s="50"/>
      <c r="K72" s="50"/>
      <c r="L72" s="50"/>
      <c r="M72" s="50"/>
      <c r="N72" s="50"/>
      <c r="O72" s="50"/>
      <c r="P72" s="50"/>
    </row>
    <row r="73" spans="1:16" ht="21">
      <c r="A73" s="50"/>
      <c r="B73" s="532" t="s">
        <v>334</v>
      </c>
      <c r="C73" s="50"/>
      <c r="D73" s="50"/>
      <c r="E73" s="50"/>
      <c r="F73" s="50"/>
      <c r="G73" s="50"/>
      <c r="H73" s="50"/>
      <c r="I73" s="532" t="s">
        <v>335</v>
      </c>
      <c r="J73" s="50"/>
      <c r="K73" s="50"/>
      <c r="L73" s="50"/>
      <c r="M73" s="50"/>
      <c r="N73" s="50"/>
      <c r="O73" s="50"/>
      <c r="P73" s="50"/>
    </row>
    <row r="74" spans="1:16">
      <c r="A74" s="50"/>
      <c r="B74" s="50"/>
      <c r="C74" s="50"/>
      <c r="D74" s="50"/>
      <c r="E74" s="50"/>
      <c r="F74" s="50"/>
      <c r="G74" s="50"/>
      <c r="H74" s="50"/>
      <c r="I74" s="50"/>
      <c r="J74" s="50"/>
      <c r="K74" s="50"/>
      <c r="L74" s="50"/>
      <c r="M74" s="50"/>
      <c r="N74" s="50"/>
      <c r="O74" s="50"/>
      <c r="P74" s="50"/>
    </row>
    <row r="75" spans="1:16">
      <c r="A75" s="50"/>
      <c r="B75" s="50"/>
      <c r="C75" s="50"/>
      <c r="D75" s="50"/>
      <c r="E75" s="50"/>
      <c r="F75" s="50"/>
      <c r="G75" s="50"/>
      <c r="H75" s="50"/>
      <c r="I75" s="50"/>
      <c r="J75" s="50"/>
      <c r="K75" s="50"/>
      <c r="L75" s="50"/>
      <c r="M75" s="50"/>
      <c r="N75" s="50"/>
      <c r="O75" s="50"/>
      <c r="P75" s="50"/>
    </row>
    <row r="76" spans="1:16">
      <c r="A76" s="50"/>
      <c r="B76" s="50"/>
      <c r="C76" s="50"/>
      <c r="D76" s="50"/>
      <c r="E76" s="50"/>
      <c r="F76" s="50"/>
      <c r="G76" s="50"/>
      <c r="H76" s="50"/>
      <c r="I76" s="50"/>
      <c r="J76" s="50"/>
      <c r="K76" s="50"/>
      <c r="L76" s="50"/>
      <c r="M76" s="50"/>
      <c r="N76" s="50"/>
      <c r="O76" s="50"/>
      <c r="P76" s="50"/>
    </row>
    <row r="77" spans="1:16">
      <c r="A77" s="50"/>
      <c r="B77" s="50"/>
      <c r="C77" s="50"/>
      <c r="D77" s="50"/>
      <c r="E77" s="50"/>
      <c r="F77" s="50"/>
      <c r="G77" s="50"/>
      <c r="H77" s="50"/>
      <c r="I77" s="50"/>
      <c r="J77" s="50"/>
      <c r="K77" s="50"/>
      <c r="L77" s="50"/>
      <c r="M77" s="50"/>
      <c r="N77" s="50"/>
      <c r="O77" s="50"/>
      <c r="P77" s="50"/>
    </row>
    <row r="78" spans="1:16">
      <c r="A78" s="50"/>
      <c r="B78" s="50"/>
      <c r="C78" s="50"/>
      <c r="D78" s="50"/>
      <c r="E78" s="50"/>
      <c r="F78" s="50"/>
      <c r="G78" s="50"/>
      <c r="H78" s="50"/>
      <c r="I78" s="50"/>
      <c r="J78" s="50"/>
      <c r="K78" s="50"/>
      <c r="L78" s="50"/>
      <c r="M78" s="50"/>
      <c r="N78" s="50"/>
      <c r="O78" s="50"/>
      <c r="P78" s="50"/>
    </row>
    <row r="79" spans="1:16">
      <c r="A79" s="50"/>
      <c r="B79" s="50"/>
      <c r="C79" s="50"/>
      <c r="D79" s="50"/>
      <c r="E79" s="50"/>
      <c r="F79" s="50"/>
      <c r="G79" s="50"/>
      <c r="H79" s="50"/>
      <c r="I79" s="50"/>
      <c r="J79" s="50"/>
      <c r="K79" s="50"/>
      <c r="L79" s="50"/>
      <c r="M79" s="50"/>
      <c r="N79" s="50"/>
      <c r="O79" s="50"/>
      <c r="P79" s="50"/>
    </row>
    <row r="80" spans="1:16">
      <c r="A80" s="50"/>
      <c r="B80" s="50"/>
      <c r="C80" s="50"/>
      <c r="D80" s="50"/>
      <c r="E80" s="50"/>
      <c r="F80" s="50"/>
      <c r="G80" s="50"/>
      <c r="H80" s="50"/>
      <c r="I80" s="50"/>
      <c r="J80" s="50"/>
      <c r="K80" s="50"/>
      <c r="L80" s="50"/>
      <c r="M80" s="50"/>
      <c r="N80" s="50"/>
      <c r="O80" s="50"/>
      <c r="P80" s="50"/>
    </row>
    <row r="81" spans="1:16">
      <c r="A81" s="50"/>
      <c r="B81" s="50"/>
      <c r="C81" s="50"/>
      <c r="D81" s="50"/>
      <c r="E81" s="50"/>
      <c r="F81" s="50"/>
      <c r="G81" s="50"/>
      <c r="H81" s="50"/>
      <c r="I81" s="50"/>
      <c r="J81" s="50"/>
      <c r="K81" s="50"/>
      <c r="L81" s="50"/>
      <c r="M81" s="50"/>
      <c r="N81" s="50"/>
      <c r="O81" s="50"/>
      <c r="P81" s="50"/>
    </row>
    <row r="82" spans="1:16">
      <c r="A82" s="50"/>
      <c r="B82" s="50"/>
      <c r="C82" s="50"/>
      <c r="D82" s="50"/>
      <c r="E82" s="50"/>
      <c r="F82" s="50"/>
      <c r="G82" s="50"/>
      <c r="H82" s="50"/>
      <c r="I82" s="50"/>
      <c r="J82" s="50"/>
      <c r="K82" s="50"/>
      <c r="L82" s="50"/>
      <c r="M82" s="50"/>
      <c r="N82" s="50"/>
      <c r="O82" s="50"/>
      <c r="P82" s="50"/>
    </row>
    <row r="83" spans="1:16">
      <c r="A83" s="50"/>
      <c r="B83" s="50"/>
      <c r="C83" s="50"/>
      <c r="D83" s="50"/>
      <c r="E83" s="50"/>
      <c r="F83" s="50"/>
      <c r="G83" s="50"/>
      <c r="H83" s="50"/>
      <c r="I83" s="50"/>
      <c r="J83" s="50"/>
      <c r="K83" s="50"/>
      <c r="L83" s="50"/>
      <c r="M83" s="50"/>
      <c r="N83" s="50"/>
      <c r="O83" s="50"/>
      <c r="P83" s="50"/>
    </row>
    <row r="84" spans="1:16">
      <c r="A84" s="50"/>
      <c r="B84" s="50"/>
      <c r="C84" s="50"/>
      <c r="D84" s="50"/>
      <c r="E84" s="50"/>
      <c r="F84" s="50"/>
      <c r="G84" s="50"/>
      <c r="H84" s="50"/>
      <c r="I84" s="50"/>
      <c r="J84" s="50"/>
      <c r="K84" s="50"/>
      <c r="L84" s="50"/>
      <c r="M84" s="50"/>
      <c r="N84" s="50"/>
      <c r="O84" s="50"/>
      <c r="P84" s="50"/>
    </row>
    <row r="85" spans="1:16">
      <c r="A85" s="50"/>
      <c r="B85" s="50"/>
      <c r="C85" s="50"/>
      <c r="D85" s="50"/>
      <c r="E85" s="50"/>
      <c r="F85" s="50"/>
      <c r="G85" s="50"/>
      <c r="H85" s="50"/>
      <c r="I85" s="50"/>
      <c r="J85" s="50"/>
      <c r="K85" s="50"/>
      <c r="L85" s="50"/>
      <c r="M85" s="50"/>
      <c r="N85" s="50"/>
      <c r="O85" s="50"/>
      <c r="P85" s="50"/>
    </row>
    <row r="86" spans="1:16">
      <c r="A86" s="50"/>
      <c r="B86" s="50"/>
      <c r="C86" s="50"/>
      <c r="D86" s="50"/>
      <c r="E86" s="50"/>
      <c r="F86" s="50"/>
      <c r="G86" s="50"/>
      <c r="H86" s="50"/>
      <c r="I86" s="50"/>
      <c r="J86" s="50"/>
      <c r="K86" s="50"/>
      <c r="L86" s="50"/>
      <c r="M86" s="50"/>
      <c r="N86" s="50"/>
      <c r="O86" s="50"/>
      <c r="P86" s="50"/>
    </row>
    <row r="87" spans="1:16">
      <c r="A87" s="50"/>
      <c r="B87" s="50"/>
      <c r="C87" s="50"/>
      <c r="D87" s="50"/>
      <c r="E87" s="50"/>
      <c r="F87" s="50"/>
      <c r="G87" s="50"/>
      <c r="H87" s="50"/>
      <c r="I87" s="50"/>
      <c r="J87" s="50"/>
      <c r="K87" s="50"/>
      <c r="L87" s="50"/>
      <c r="M87" s="50"/>
      <c r="N87" s="50"/>
      <c r="O87" s="50"/>
      <c r="P87" s="50"/>
    </row>
    <row r="88" spans="1:16">
      <c r="A88" s="50"/>
      <c r="B88" s="50"/>
      <c r="C88" s="50"/>
      <c r="D88" s="50"/>
      <c r="E88" s="50"/>
      <c r="F88" s="50"/>
      <c r="G88" s="50"/>
      <c r="H88" s="50"/>
      <c r="I88" s="50"/>
      <c r="J88" s="50"/>
      <c r="K88" s="50"/>
      <c r="L88" s="50"/>
      <c r="M88" s="50"/>
      <c r="N88" s="50"/>
      <c r="O88" s="50"/>
      <c r="P88" s="50"/>
    </row>
    <row r="89" spans="1:16">
      <c r="A89" s="50"/>
      <c r="B89" s="50"/>
      <c r="C89" s="50"/>
      <c r="D89" s="50"/>
      <c r="E89" s="50"/>
      <c r="F89" s="50"/>
      <c r="G89" s="50"/>
      <c r="H89" s="50"/>
      <c r="I89" s="50"/>
      <c r="J89" s="50"/>
      <c r="K89" s="50"/>
      <c r="L89" s="50"/>
      <c r="M89" s="50"/>
      <c r="N89" s="50"/>
      <c r="O89" s="50"/>
      <c r="P89" s="50"/>
    </row>
    <row r="90" spans="1:16">
      <c r="A90" s="50"/>
      <c r="B90" s="50"/>
      <c r="C90" s="50"/>
      <c r="D90" s="50"/>
      <c r="E90" s="50"/>
      <c r="F90" s="50"/>
      <c r="G90" s="50"/>
      <c r="H90" s="50"/>
      <c r="I90" s="50"/>
      <c r="J90" s="50"/>
      <c r="K90" s="50"/>
      <c r="L90" s="50"/>
      <c r="M90" s="50"/>
      <c r="N90" s="50"/>
      <c r="O90" s="50"/>
      <c r="P90" s="50"/>
    </row>
    <row r="91" spans="1:16">
      <c r="A91" s="50"/>
      <c r="B91" s="50"/>
      <c r="C91" s="50"/>
      <c r="D91" s="50"/>
      <c r="E91" s="50"/>
      <c r="F91" s="50"/>
      <c r="G91" s="50"/>
      <c r="H91" s="50"/>
      <c r="I91" s="50"/>
      <c r="J91" s="50"/>
      <c r="K91" s="50"/>
      <c r="L91" s="50"/>
      <c r="M91" s="50"/>
      <c r="N91" s="50"/>
      <c r="O91" s="50"/>
      <c r="P91" s="50"/>
    </row>
    <row r="92" spans="1:16">
      <c r="A92" s="50"/>
      <c r="B92" s="50"/>
      <c r="C92" s="50"/>
      <c r="D92" s="50"/>
      <c r="E92" s="50"/>
      <c r="F92" s="50"/>
      <c r="G92" s="50"/>
      <c r="H92" s="50"/>
      <c r="I92" s="50"/>
      <c r="J92" s="50"/>
      <c r="K92" s="50"/>
      <c r="L92" s="50"/>
      <c r="M92" s="50"/>
      <c r="N92" s="50"/>
      <c r="O92" s="50"/>
      <c r="P92" s="50"/>
    </row>
    <row r="93" spans="1:16">
      <c r="A93" s="50"/>
      <c r="B93" s="50"/>
      <c r="C93" s="50"/>
      <c r="D93" s="50"/>
      <c r="E93" s="50"/>
      <c r="F93" s="50"/>
      <c r="G93" s="50"/>
      <c r="H93" s="50"/>
      <c r="I93" s="50"/>
      <c r="J93" s="50"/>
      <c r="K93" s="50"/>
      <c r="L93" s="50"/>
      <c r="M93" s="50"/>
      <c r="N93" s="50"/>
      <c r="O93" s="50"/>
      <c r="P93" s="50"/>
    </row>
    <row r="94" spans="1:16">
      <c r="A94" s="50"/>
      <c r="B94" s="50"/>
      <c r="C94" s="50"/>
      <c r="D94" s="50"/>
      <c r="E94" s="50"/>
      <c r="F94" s="50"/>
      <c r="G94" s="50"/>
      <c r="H94" s="50"/>
      <c r="I94" s="50"/>
      <c r="J94" s="50"/>
      <c r="K94" s="50"/>
      <c r="L94" s="50"/>
      <c r="M94" s="50"/>
      <c r="N94" s="50"/>
      <c r="O94" s="50"/>
      <c r="P94" s="50"/>
    </row>
    <row r="95" spans="1:16" ht="21">
      <c r="A95" s="50"/>
      <c r="B95" s="532" t="s">
        <v>329</v>
      </c>
      <c r="C95" s="50"/>
      <c r="D95" s="50"/>
      <c r="E95" s="50"/>
      <c r="F95" s="50"/>
      <c r="G95" s="50"/>
      <c r="H95" s="50"/>
      <c r="I95" s="532" t="s">
        <v>329</v>
      </c>
      <c r="J95" s="50"/>
      <c r="K95" s="50"/>
      <c r="L95" s="50"/>
      <c r="M95" s="50"/>
      <c r="N95" s="50"/>
      <c r="O95" s="50"/>
      <c r="P95" s="50"/>
    </row>
    <row r="96" spans="1:16">
      <c r="A96" s="50"/>
      <c r="B96" s="50"/>
      <c r="C96" s="50"/>
      <c r="D96" s="50"/>
      <c r="E96" s="50"/>
      <c r="F96" s="50"/>
      <c r="G96" s="50"/>
      <c r="H96" s="50"/>
      <c r="I96" s="50"/>
      <c r="J96" s="50"/>
      <c r="K96" s="50"/>
      <c r="L96" s="50"/>
      <c r="M96" s="50"/>
      <c r="N96" s="50"/>
      <c r="O96" s="50"/>
      <c r="P96" s="50"/>
    </row>
    <row r="97" spans="1:20">
      <c r="A97" s="50"/>
      <c r="B97" s="50"/>
      <c r="C97" s="50"/>
      <c r="D97" s="50"/>
      <c r="E97" s="50"/>
      <c r="F97" s="50"/>
      <c r="G97" s="50"/>
      <c r="H97" s="50"/>
      <c r="I97" s="50"/>
      <c r="J97" s="50"/>
      <c r="K97" s="50"/>
      <c r="L97" s="50"/>
      <c r="M97" s="50"/>
      <c r="N97" s="50"/>
      <c r="O97" s="50"/>
      <c r="P97" s="50"/>
    </row>
    <row r="98" spans="1:20">
      <c r="A98" s="50"/>
      <c r="B98" s="50"/>
      <c r="C98" s="50"/>
      <c r="D98" s="50"/>
      <c r="E98" s="50"/>
      <c r="F98" s="50"/>
      <c r="G98" s="50"/>
      <c r="H98" s="50"/>
      <c r="I98" s="50"/>
      <c r="J98" s="50"/>
      <c r="K98" s="50"/>
      <c r="L98" s="50"/>
      <c r="M98" s="50"/>
      <c r="N98" s="50"/>
      <c r="O98" s="50"/>
      <c r="P98" s="50"/>
    </row>
    <row r="99" spans="1:20">
      <c r="A99" s="50"/>
      <c r="B99" s="50"/>
      <c r="C99" s="50"/>
      <c r="D99" s="50"/>
      <c r="E99" s="50"/>
      <c r="F99" s="50"/>
      <c r="G99" s="50"/>
      <c r="H99" s="50"/>
      <c r="I99" s="50"/>
      <c r="J99" s="50"/>
      <c r="K99" s="50"/>
      <c r="L99" s="50"/>
      <c r="M99" s="50"/>
      <c r="N99" s="50"/>
      <c r="O99" s="50"/>
      <c r="P99" s="50"/>
    </row>
    <row r="100" spans="1:20">
      <c r="A100" s="50"/>
      <c r="B100" s="50"/>
      <c r="C100" s="50"/>
      <c r="D100" s="50"/>
      <c r="E100" s="50"/>
      <c r="F100" s="50"/>
      <c r="G100" s="50"/>
      <c r="H100" s="50"/>
      <c r="I100" s="50"/>
      <c r="J100" s="50"/>
      <c r="K100" s="50"/>
      <c r="L100" s="50"/>
      <c r="M100" s="50"/>
      <c r="N100" s="50"/>
      <c r="O100" s="50"/>
      <c r="P100" s="50"/>
      <c r="T100" s="273"/>
    </row>
    <row r="101" spans="1:20">
      <c r="A101" s="50"/>
      <c r="B101" s="50"/>
      <c r="C101" s="50"/>
      <c r="D101" s="50"/>
      <c r="E101" s="50"/>
      <c r="F101" s="50"/>
      <c r="G101" s="50"/>
      <c r="H101" s="50"/>
      <c r="I101" s="50"/>
      <c r="J101" s="50"/>
      <c r="K101" s="50"/>
      <c r="L101" s="50"/>
      <c r="M101" s="50"/>
      <c r="N101" s="50"/>
      <c r="O101" s="50"/>
      <c r="P101" s="50"/>
      <c r="T101" s="273"/>
    </row>
    <row r="102" spans="1:20">
      <c r="A102" s="50"/>
      <c r="B102" s="50"/>
      <c r="C102" s="50"/>
      <c r="D102" s="50"/>
      <c r="E102" s="50"/>
      <c r="F102" s="50"/>
      <c r="G102" s="50"/>
      <c r="H102" s="50"/>
      <c r="I102" s="50"/>
      <c r="J102" s="50"/>
      <c r="K102" s="50"/>
      <c r="L102" s="50"/>
      <c r="M102" s="50"/>
      <c r="N102" s="50"/>
      <c r="O102" s="50"/>
      <c r="P102" s="50"/>
    </row>
    <row r="103" spans="1:20">
      <c r="A103" s="50"/>
      <c r="B103" s="50"/>
      <c r="C103" s="50"/>
      <c r="D103" s="50"/>
      <c r="E103" s="50"/>
      <c r="F103" s="50"/>
      <c r="G103" s="50"/>
      <c r="H103" s="50"/>
      <c r="I103" s="50"/>
      <c r="J103" s="50"/>
      <c r="K103" s="50"/>
      <c r="L103" s="50"/>
      <c r="M103" s="50"/>
      <c r="N103" s="50"/>
      <c r="O103" s="50"/>
      <c r="P103" s="50"/>
    </row>
    <row r="104" spans="1:20">
      <c r="A104" s="50"/>
      <c r="B104" s="50"/>
      <c r="C104" s="50"/>
      <c r="D104" s="50"/>
      <c r="E104" s="50"/>
      <c r="F104" s="50"/>
      <c r="G104" s="50"/>
      <c r="H104" s="50"/>
      <c r="I104" s="50"/>
      <c r="J104" s="50"/>
      <c r="K104" s="50"/>
      <c r="L104" s="50"/>
      <c r="M104" s="50"/>
      <c r="N104" s="50"/>
      <c r="O104" s="50"/>
      <c r="P104" s="50"/>
    </row>
    <row r="105" spans="1:20">
      <c r="A105" s="50"/>
      <c r="B105" s="50"/>
      <c r="C105" s="50"/>
      <c r="D105" s="50"/>
      <c r="E105" s="50"/>
      <c r="F105" s="50"/>
      <c r="G105" s="50"/>
      <c r="H105" s="50"/>
      <c r="I105" s="50"/>
      <c r="J105" s="50"/>
      <c r="K105" s="50"/>
      <c r="L105" s="50"/>
      <c r="M105" s="50"/>
      <c r="N105" s="50"/>
      <c r="O105" s="50"/>
      <c r="P105" s="50"/>
    </row>
    <row r="106" spans="1:20">
      <c r="A106" s="50"/>
      <c r="B106" s="50"/>
      <c r="C106" s="50"/>
      <c r="D106" s="50"/>
      <c r="E106" s="50"/>
      <c r="F106" s="50"/>
      <c r="G106" s="50"/>
      <c r="H106" s="50"/>
      <c r="I106" s="50"/>
      <c r="J106" s="50"/>
      <c r="K106" s="50"/>
      <c r="L106" s="50"/>
      <c r="M106" s="50"/>
      <c r="N106" s="50"/>
      <c r="O106" s="50"/>
      <c r="P106" s="50"/>
    </row>
    <row r="107" spans="1:20">
      <c r="A107" s="50"/>
      <c r="B107" s="50"/>
      <c r="C107" s="50"/>
      <c r="D107" s="50"/>
      <c r="E107" s="50"/>
      <c r="F107" s="50"/>
      <c r="G107" s="50"/>
      <c r="H107" s="50"/>
      <c r="I107" s="50"/>
      <c r="J107" s="50"/>
      <c r="K107" s="50"/>
      <c r="L107" s="50"/>
      <c r="M107" s="50"/>
      <c r="N107" s="50"/>
      <c r="O107" s="50"/>
      <c r="P107" s="50"/>
    </row>
    <row r="108" spans="1:20">
      <c r="A108" s="50"/>
      <c r="B108" s="50"/>
      <c r="C108" s="50"/>
      <c r="D108" s="50"/>
      <c r="E108" s="50"/>
      <c r="F108" s="50"/>
      <c r="G108" s="50"/>
      <c r="H108" s="50"/>
      <c r="I108" s="50"/>
      <c r="J108" s="50"/>
      <c r="K108" s="50"/>
      <c r="L108" s="50"/>
      <c r="M108" s="50"/>
      <c r="N108" s="50"/>
      <c r="O108" s="50"/>
      <c r="P108" s="50"/>
    </row>
    <row r="109" spans="1:20">
      <c r="A109" s="50"/>
      <c r="B109" s="50"/>
      <c r="C109" s="50"/>
      <c r="D109" s="50"/>
      <c r="E109" s="50"/>
      <c r="F109" s="50"/>
      <c r="G109" s="50"/>
      <c r="H109" s="50"/>
      <c r="I109" s="50"/>
      <c r="J109" s="50"/>
      <c r="K109" s="50"/>
      <c r="L109" s="50"/>
      <c r="M109" s="50"/>
      <c r="N109" s="50"/>
      <c r="O109" s="50"/>
      <c r="P109" s="50"/>
    </row>
    <row r="110" spans="1:20">
      <c r="A110" s="50"/>
      <c r="B110" s="50"/>
      <c r="C110" s="50"/>
      <c r="D110" s="50"/>
      <c r="E110" s="50"/>
      <c r="F110" s="50"/>
      <c r="G110" s="50"/>
      <c r="H110" s="50"/>
      <c r="I110" s="50"/>
      <c r="J110" s="50"/>
      <c r="K110" s="50"/>
      <c r="L110" s="50"/>
      <c r="M110" s="50"/>
      <c r="N110" s="50"/>
      <c r="O110" s="50"/>
      <c r="P110" s="50"/>
    </row>
    <row r="111" spans="1:20">
      <c r="A111" s="50"/>
      <c r="B111" s="50"/>
      <c r="C111" s="50"/>
      <c r="D111" s="50"/>
      <c r="E111" s="50"/>
      <c r="F111" s="50"/>
      <c r="G111" s="50"/>
      <c r="H111" s="50"/>
      <c r="I111" s="50"/>
      <c r="J111" s="50"/>
      <c r="K111" s="50"/>
      <c r="L111" s="50"/>
      <c r="M111" s="50"/>
      <c r="N111" s="50"/>
      <c r="O111" s="50"/>
      <c r="P111" s="50"/>
    </row>
    <row r="112" spans="1:20">
      <c r="A112" s="50"/>
      <c r="B112" s="50"/>
      <c r="C112" s="50"/>
      <c r="D112" s="50"/>
      <c r="E112" s="50"/>
      <c r="F112" s="50"/>
      <c r="G112" s="50"/>
      <c r="H112" s="50"/>
      <c r="I112" s="50"/>
      <c r="J112" s="50"/>
      <c r="K112" s="50"/>
      <c r="L112" s="50"/>
      <c r="M112" s="50"/>
      <c r="N112" s="50"/>
      <c r="O112" s="50"/>
      <c r="P112" s="50"/>
    </row>
    <row r="113" spans="1:21">
      <c r="A113" s="50"/>
      <c r="B113" s="50"/>
      <c r="C113" s="50"/>
      <c r="D113" s="50"/>
      <c r="E113" s="50"/>
      <c r="F113" s="50"/>
      <c r="G113" s="50"/>
      <c r="H113" s="50"/>
      <c r="I113" s="50"/>
      <c r="J113" s="50"/>
      <c r="K113" s="50"/>
      <c r="L113" s="50"/>
      <c r="M113" s="50"/>
      <c r="N113" s="50"/>
      <c r="O113" s="50"/>
      <c r="P113" s="50"/>
    </row>
    <row r="114" spans="1:21">
      <c r="A114" s="50"/>
      <c r="B114" s="50"/>
      <c r="C114" s="50"/>
      <c r="D114" s="50"/>
      <c r="E114" s="50"/>
      <c r="F114" s="50"/>
      <c r="G114" s="50"/>
      <c r="H114" s="50"/>
      <c r="I114" s="50"/>
      <c r="J114" s="50"/>
      <c r="K114" s="50"/>
      <c r="L114" s="50"/>
      <c r="M114" s="50"/>
      <c r="N114" s="50"/>
      <c r="O114" s="50"/>
      <c r="P114" s="50"/>
    </row>
    <row r="115" spans="1:21">
      <c r="A115" s="50"/>
      <c r="B115" s="50"/>
      <c r="C115" s="50"/>
      <c r="D115" s="50"/>
      <c r="E115" s="50"/>
      <c r="F115" s="50"/>
      <c r="G115" s="50"/>
      <c r="H115" s="50"/>
      <c r="I115" s="50"/>
      <c r="J115" s="50"/>
      <c r="K115" s="50"/>
      <c r="L115" s="50"/>
      <c r="M115" s="50"/>
      <c r="N115" s="50"/>
      <c r="O115" s="50"/>
      <c r="P115" s="50"/>
    </row>
    <row r="116" spans="1:21">
      <c r="A116" s="50"/>
      <c r="C116" s="50"/>
      <c r="D116" s="50"/>
      <c r="E116" s="50"/>
      <c r="F116" s="50"/>
      <c r="G116" s="50"/>
      <c r="H116" s="50"/>
      <c r="I116" s="50"/>
      <c r="J116" s="50"/>
      <c r="K116" s="50"/>
      <c r="L116" s="50"/>
      <c r="M116" s="50"/>
      <c r="N116" s="50"/>
      <c r="O116" s="50"/>
      <c r="P116" s="50"/>
    </row>
    <row r="117" spans="1:21" ht="21">
      <c r="A117" s="50"/>
      <c r="B117" s="17" t="s">
        <v>82</v>
      </c>
      <c r="C117" s="68"/>
      <c r="D117" s="68"/>
      <c r="E117" s="68"/>
      <c r="F117" s="68"/>
      <c r="G117" s="68"/>
      <c r="H117" s="68"/>
    </row>
    <row r="118" spans="1:21">
      <c r="C118" s="388">
        <v>2016</v>
      </c>
      <c r="D118" s="389">
        <v>2017</v>
      </c>
      <c r="E118" s="389">
        <v>2018</v>
      </c>
      <c r="F118" s="389">
        <v>2019</v>
      </c>
      <c r="G118" s="389">
        <v>2020</v>
      </c>
      <c r="H118" s="389">
        <v>2021</v>
      </c>
      <c r="I118" s="389">
        <v>2022</v>
      </c>
      <c r="J118" s="389">
        <v>2023</v>
      </c>
      <c r="K118" s="389">
        <v>2024</v>
      </c>
      <c r="L118" s="389">
        <v>2025</v>
      </c>
      <c r="M118" s="389">
        <v>2026</v>
      </c>
    </row>
    <row r="119" spans="1:21">
      <c r="B119" s="278" t="s">
        <v>63</v>
      </c>
      <c r="C119" s="390">
        <f>SUM('Products x speed'!E9:E12)</f>
        <v>13567410.105</v>
      </c>
      <c r="D119" s="391">
        <f>SUM('Products x speed'!F9:F12)</f>
        <v>11273695.050000001</v>
      </c>
      <c r="E119" s="391">
        <f>SUM('Products x speed'!G9:G12)</f>
        <v>0</v>
      </c>
      <c r="F119" s="391">
        <f>SUM('Products x speed'!H9:H12)</f>
        <v>0</v>
      </c>
      <c r="G119" s="391">
        <f>SUM('Products x speed'!I9:I12)</f>
        <v>0</v>
      </c>
      <c r="H119" s="391">
        <f>SUM('Products x speed'!J9:J12)</f>
        <v>0</v>
      </c>
      <c r="I119" s="391">
        <f>SUM('Products x speed'!K9:K12)</f>
        <v>0</v>
      </c>
      <c r="J119" s="391">
        <f>SUM('Products x speed'!L9:L12)</f>
        <v>0</v>
      </c>
      <c r="K119" s="391">
        <f>SUM('Products x speed'!M9:M12)</f>
        <v>0</v>
      </c>
      <c r="L119" s="391">
        <f>SUM('Products x speed'!N9:N12)</f>
        <v>0</v>
      </c>
      <c r="M119" s="391">
        <f>SUM('Products x speed'!O9:O12)</f>
        <v>0</v>
      </c>
    </row>
    <row r="120" spans="1:21" ht="15.6">
      <c r="B120" s="280" t="s">
        <v>60</v>
      </c>
      <c r="C120" s="392">
        <f>SUM('Products x speed'!E14:E22)</f>
        <v>18516818.93</v>
      </c>
      <c r="D120" s="393">
        <f>SUM('Products x speed'!F14:F22)</f>
        <v>19945022.100000001</v>
      </c>
      <c r="E120" s="393">
        <f>SUM('Products x speed'!G14:G22)</f>
        <v>0</v>
      </c>
      <c r="F120" s="393">
        <f>SUM('Products x speed'!H14:H22)</f>
        <v>0</v>
      </c>
      <c r="G120" s="393">
        <f>SUM('Products x speed'!I14:I22)</f>
        <v>0</v>
      </c>
      <c r="H120" s="393">
        <f>SUM('Products x speed'!J14:J22)</f>
        <v>0</v>
      </c>
      <c r="I120" s="393">
        <f>SUM('Products x speed'!K14:K22)</f>
        <v>0</v>
      </c>
      <c r="J120" s="393">
        <f>SUM('Products x speed'!L14:L22)</f>
        <v>0</v>
      </c>
      <c r="K120" s="393">
        <f>SUM('Products x speed'!M14:M22)</f>
        <v>0</v>
      </c>
      <c r="L120" s="393">
        <f>SUM('Products x speed'!N14:N22)</f>
        <v>0</v>
      </c>
      <c r="M120" s="393">
        <f>SUM('Products x speed'!O14:O22)</f>
        <v>0</v>
      </c>
      <c r="T120" s="544"/>
    </row>
    <row r="121" spans="1:21" ht="15.6">
      <c r="B121" s="280" t="s">
        <v>75</v>
      </c>
      <c r="C121" s="392">
        <f>SUM('Products x speed'!E24:E26)</f>
        <v>11694</v>
      </c>
      <c r="D121" s="393">
        <f>SUM('Products x speed'!F24:F26)</f>
        <v>113327</v>
      </c>
      <c r="E121" s="393">
        <f>SUM('Products x speed'!G24:G26)</f>
        <v>0</v>
      </c>
      <c r="F121" s="393">
        <f>SUM('Products x speed'!H24:H26)</f>
        <v>0</v>
      </c>
      <c r="G121" s="393">
        <f>SUM('Products x speed'!I24:I26)</f>
        <v>0</v>
      </c>
      <c r="H121" s="393">
        <f>SUM('Products x speed'!J24:J26)</f>
        <v>0</v>
      </c>
      <c r="I121" s="393">
        <f>SUM('Products x speed'!K24:K26)</f>
        <v>0</v>
      </c>
      <c r="J121" s="393">
        <f>SUM('Products x speed'!L24:L26)</f>
        <v>0</v>
      </c>
      <c r="K121" s="393">
        <f>SUM('Products x speed'!M24:M26)</f>
        <v>0</v>
      </c>
      <c r="L121" s="393">
        <f>SUM('Products x speed'!N24:N26)</f>
        <v>0</v>
      </c>
      <c r="M121" s="393">
        <f>SUM('Products x speed'!O24:O26)</f>
        <v>0</v>
      </c>
      <c r="T121" s="545"/>
    </row>
    <row r="122" spans="1:21" ht="15.6">
      <c r="B122" s="280" t="s">
        <v>62</v>
      </c>
      <c r="C122" s="392">
        <f>SUM('Products x speed'!E27:E35)</f>
        <v>3153068</v>
      </c>
      <c r="D122" s="393">
        <f>SUM('Products x speed'!F27:F35)</f>
        <v>3864160</v>
      </c>
      <c r="E122" s="393">
        <f>SUM('Products x speed'!G27:G35)</f>
        <v>0</v>
      </c>
      <c r="F122" s="393">
        <f>SUM('Products x speed'!H27:H35)</f>
        <v>0</v>
      </c>
      <c r="G122" s="393">
        <f>SUM('Products x speed'!I27:I35)</f>
        <v>0</v>
      </c>
      <c r="H122" s="393">
        <f>SUM('Products x speed'!J27:J35)</f>
        <v>0</v>
      </c>
      <c r="I122" s="393">
        <f>SUM('Products x speed'!K27:K35)</f>
        <v>0</v>
      </c>
      <c r="J122" s="393">
        <f>SUM('Products x speed'!L27:L35)</f>
        <v>0</v>
      </c>
      <c r="K122" s="393">
        <f>SUM('Products x speed'!M27:M35)</f>
        <v>0</v>
      </c>
      <c r="L122" s="393">
        <f>SUM('Products x speed'!N27:N35)</f>
        <v>0</v>
      </c>
      <c r="M122" s="393">
        <f>SUM('Products x speed'!O27:O35)</f>
        <v>0</v>
      </c>
      <c r="T122" s="545"/>
    </row>
    <row r="123" spans="1:21">
      <c r="B123" s="280" t="s">
        <v>125</v>
      </c>
      <c r="C123" s="392"/>
      <c r="D123" s="393"/>
      <c r="E123" s="393">
        <f>SUM('Products x speed'!G36:G40)</f>
        <v>0</v>
      </c>
      <c r="F123" s="393">
        <f>SUM('Products x speed'!H36:H40)</f>
        <v>0</v>
      </c>
      <c r="G123" s="393">
        <f>SUM('Products x speed'!I36:I40)</f>
        <v>0</v>
      </c>
      <c r="H123" s="393">
        <f>SUM('Products x speed'!J36:J40)</f>
        <v>0</v>
      </c>
      <c r="I123" s="393">
        <f>SUM('Products x speed'!K36:K40)</f>
        <v>0</v>
      </c>
      <c r="J123" s="393">
        <f>SUM('Products x speed'!L36:L40)</f>
        <v>0</v>
      </c>
      <c r="K123" s="393">
        <f>SUM('Products x speed'!M36:M40)</f>
        <v>0</v>
      </c>
      <c r="L123" s="393">
        <f>SUM('Products x speed'!N36:N40)</f>
        <v>0</v>
      </c>
      <c r="M123" s="393">
        <f>SUM('Products x speed'!O36:O40)</f>
        <v>0</v>
      </c>
    </row>
    <row r="124" spans="1:21">
      <c r="B124" s="280" t="s">
        <v>61</v>
      </c>
      <c r="C124" s="392">
        <f>SUM('Products x speed'!E41:E59)</f>
        <v>919370</v>
      </c>
      <c r="D124" s="393">
        <f>SUM('Products x speed'!F41:F59)</f>
        <v>2881490</v>
      </c>
      <c r="E124" s="393">
        <f>SUM('Products x speed'!G41:G59)</f>
        <v>0</v>
      </c>
      <c r="F124" s="393">
        <f>SUM('Products x speed'!H41:H59)</f>
        <v>0</v>
      </c>
      <c r="G124" s="393">
        <f>SUM('Products x speed'!I41:I59)</f>
        <v>0</v>
      </c>
      <c r="H124" s="393">
        <f>SUM('Products x speed'!J41:J59)</f>
        <v>0</v>
      </c>
      <c r="I124" s="393">
        <f>SUM('Products x speed'!K41:K59)</f>
        <v>0</v>
      </c>
      <c r="J124" s="393">
        <f>SUM('Products x speed'!L41:L59)</f>
        <v>0</v>
      </c>
      <c r="K124" s="393">
        <f>SUM('Products x speed'!M41:M59)</f>
        <v>0</v>
      </c>
      <c r="L124" s="393">
        <f>SUM('Products x speed'!N41:N59)</f>
        <v>0</v>
      </c>
      <c r="M124" s="393">
        <f>SUM('Products x speed'!O41:O59)</f>
        <v>0</v>
      </c>
      <c r="U124" s="527"/>
    </row>
    <row r="125" spans="1:21">
      <c r="B125" s="280" t="s">
        <v>126</v>
      </c>
      <c r="C125" s="392"/>
      <c r="D125" s="73"/>
      <c r="E125" s="166">
        <f>SUM('Products x speed'!G60:G64)</f>
        <v>0</v>
      </c>
      <c r="F125" s="166">
        <f>SUM('Products x speed'!H60:H64)</f>
        <v>0</v>
      </c>
      <c r="G125" s="166">
        <f>SUM('Products x speed'!I60:I64)</f>
        <v>0</v>
      </c>
      <c r="H125" s="166">
        <f>SUM('Products x speed'!J60:J64)</f>
        <v>0</v>
      </c>
      <c r="I125" s="166">
        <f>SUM('Products x speed'!K60:K64)</f>
        <v>0</v>
      </c>
      <c r="J125" s="166">
        <f>SUM('Products x speed'!L60:L64)</f>
        <v>0</v>
      </c>
      <c r="K125" s="166">
        <f>SUM('Products x speed'!M60:M64)</f>
        <v>0</v>
      </c>
      <c r="L125" s="166">
        <f>SUM('Products x speed'!N60:N64)</f>
        <v>0</v>
      </c>
      <c r="M125" s="166">
        <f>SUM('Products x speed'!O60:O64)</f>
        <v>0</v>
      </c>
    </row>
    <row r="126" spans="1:21">
      <c r="B126" s="280" t="s">
        <v>115</v>
      </c>
      <c r="C126" s="392"/>
      <c r="D126" s="166">
        <f>SUM('Products x speed'!F65:F71)</f>
        <v>89</v>
      </c>
      <c r="E126" s="166">
        <f>SUM('Products x speed'!G65:G71)</f>
        <v>0</v>
      </c>
      <c r="F126" s="166">
        <f>SUM('Products x speed'!H65:H71)</f>
        <v>0</v>
      </c>
      <c r="G126" s="166">
        <f>SUM('Products x speed'!I65:I71)</f>
        <v>0</v>
      </c>
      <c r="H126" s="166">
        <f>SUM('Products x speed'!J65:J71)</f>
        <v>0</v>
      </c>
      <c r="I126" s="166">
        <f>SUM('Products x speed'!K65:K71)</f>
        <v>0</v>
      </c>
      <c r="J126" s="166">
        <f>SUM('Products x speed'!L65:L71)</f>
        <v>0</v>
      </c>
      <c r="K126" s="166">
        <f>SUM('Products x speed'!M65:M71)</f>
        <v>0</v>
      </c>
      <c r="L126" s="166">
        <f>SUM('Products x speed'!N65:N71)</f>
        <v>0</v>
      </c>
      <c r="M126" s="166">
        <f>SUM('Products x speed'!O65:O71)</f>
        <v>0</v>
      </c>
    </row>
    <row r="127" spans="1:21" s="293" customFormat="1">
      <c r="B127" s="649" t="s">
        <v>346</v>
      </c>
      <c r="C127" s="392"/>
      <c r="D127" s="393"/>
      <c r="E127" s="393"/>
      <c r="F127" s="393">
        <f>SUM('Products x speed'!H72:H88)</f>
        <v>0</v>
      </c>
      <c r="G127" s="393">
        <f>SUM('Products x speed'!I72:I88)</f>
        <v>0</v>
      </c>
      <c r="H127" s="393">
        <f>SUM('Products x speed'!J72:J77)</f>
        <v>0</v>
      </c>
      <c r="I127" s="393">
        <f>SUM('Products x speed'!K72:K77)</f>
        <v>0</v>
      </c>
      <c r="J127" s="393">
        <f>SUM('Products x speed'!L72:L77)</f>
        <v>0</v>
      </c>
      <c r="K127" s="393">
        <f>SUM('Products x speed'!M72:M77)</f>
        <v>0</v>
      </c>
      <c r="L127" s="393">
        <f>SUM('Products x speed'!N72:N77)</f>
        <v>0</v>
      </c>
      <c r="M127" s="393">
        <f>SUM('Products x speed'!O72:O77)</f>
        <v>0</v>
      </c>
    </row>
    <row r="128" spans="1:21" s="293" customFormat="1">
      <c r="B128" s="377" t="s">
        <v>430</v>
      </c>
      <c r="C128" s="392"/>
      <c r="D128" s="393"/>
      <c r="E128" s="393"/>
      <c r="F128" s="393"/>
      <c r="G128" s="393"/>
      <c r="H128" s="393"/>
      <c r="I128" s="393"/>
      <c r="J128" s="393"/>
      <c r="K128" s="393">
        <f>SUM('Products x speed'!M78:M82)</f>
        <v>0</v>
      </c>
      <c r="L128" s="393">
        <f>SUM('Products x speed'!N78:N82)</f>
        <v>0</v>
      </c>
      <c r="M128" s="393">
        <f>SUM('Products x speed'!O78:O82)</f>
        <v>0</v>
      </c>
    </row>
    <row r="129" spans="1:20" s="293" customFormat="1">
      <c r="B129" s="378" t="str">
        <f>'Products x speed'!D23</f>
        <v>Legacy/discontinued</v>
      </c>
      <c r="C129" s="394">
        <f>'Products x speed'!E13+'Products x speed'!E23</f>
        <v>265053</v>
      </c>
      <c r="D129" s="386">
        <f>'Products x speed'!F13+'Products x speed'!F23</f>
        <v>24329</v>
      </c>
      <c r="E129" s="386">
        <f>'Products x speed'!G13+'Products x speed'!G23</f>
        <v>0</v>
      </c>
      <c r="F129" s="386">
        <f>'Products x speed'!H13+'Products x speed'!H23</f>
        <v>0</v>
      </c>
      <c r="G129" s="386"/>
      <c r="H129" s="386"/>
      <c r="I129" s="386"/>
      <c r="J129" s="386"/>
      <c r="K129" s="386"/>
      <c r="L129" s="386"/>
      <c r="M129" s="386"/>
    </row>
    <row r="130" spans="1:20">
      <c r="B130" s="275" t="s">
        <v>13</v>
      </c>
      <c r="C130" s="394">
        <f t="shared" ref="C130:M130" si="0">SUM(C119:C129)</f>
        <v>36433414.034999996</v>
      </c>
      <c r="D130" s="386">
        <f t="shared" si="0"/>
        <v>38102112.150000006</v>
      </c>
      <c r="E130" s="386">
        <f t="shared" si="0"/>
        <v>0</v>
      </c>
      <c r="F130" s="386">
        <f t="shared" si="0"/>
        <v>0</v>
      </c>
      <c r="G130" s="386">
        <f t="shared" si="0"/>
        <v>0</v>
      </c>
      <c r="H130" s="386">
        <f t="shared" si="0"/>
        <v>0</v>
      </c>
      <c r="I130" s="386">
        <f t="shared" si="0"/>
        <v>0</v>
      </c>
      <c r="J130" s="386">
        <f t="shared" si="0"/>
        <v>0</v>
      </c>
      <c r="K130" s="386">
        <f t="shared" si="0"/>
        <v>0</v>
      </c>
      <c r="L130" s="386">
        <f t="shared" si="0"/>
        <v>0</v>
      </c>
      <c r="M130" s="386">
        <f t="shared" si="0"/>
        <v>0</v>
      </c>
    </row>
    <row r="131" spans="1:20">
      <c r="B131" s="327" t="s">
        <v>86</v>
      </c>
      <c r="C131" s="274"/>
      <c r="D131" s="274">
        <f t="shared" ref="D131:K131" si="1">D130/C130-1</f>
        <v>4.5801310670390727E-2</v>
      </c>
      <c r="E131" s="274">
        <f t="shared" si="1"/>
        <v>-1</v>
      </c>
      <c r="F131" s="274" t="e">
        <f t="shared" si="1"/>
        <v>#DIV/0!</v>
      </c>
      <c r="G131" s="274" t="e">
        <f t="shared" si="1"/>
        <v>#DIV/0!</v>
      </c>
      <c r="H131" s="274" t="e">
        <f t="shared" si="1"/>
        <v>#DIV/0!</v>
      </c>
      <c r="I131" s="274" t="e">
        <f t="shared" si="1"/>
        <v>#DIV/0!</v>
      </c>
      <c r="J131" s="274" t="e">
        <f t="shared" si="1"/>
        <v>#DIV/0!</v>
      </c>
      <c r="K131" s="274" t="e">
        <f t="shared" si="1"/>
        <v>#DIV/0!</v>
      </c>
      <c r="L131" s="274" t="e">
        <f t="shared" ref="L131" si="2">L130/K130-1</f>
        <v>#DIV/0!</v>
      </c>
      <c r="M131" s="274" t="e">
        <f t="shared" ref="M131" si="3">M130/L130-1</f>
        <v>#DIV/0!</v>
      </c>
    </row>
    <row r="132" spans="1:20">
      <c r="B132" s="327" t="s">
        <v>263</v>
      </c>
      <c r="C132" s="274"/>
      <c r="D132" s="274">
        <f t="shared" ref="D132:M132" si="4">SUM(D121:D126)/SUM(C121:C126)-1</f>
        <v>0.67944278000808978</v>
      </c>
      <c r="E132" s="274">
        <f t="shared" si="4"/>
        <v>-1</v>
      </c>
      <c r="F132" s="274" t="e">
        <f t="shared" si="4"/>
        <v>#DIV/0!</v>
      </c>
      <c r="G132" s="274" t="e">
        <f t="shared" si="4"/>
        <v>#DIV/0!</v>
      </c>
      <c r="H132" s="274" t="e">
        <f t="shared" si="4"/>
        <v>#DIV/0!</v>
      </c>
      <c r="I132" s="274" t="e">
        <f t="shared" si="4"/>
        <v>#DIV/0!</v>
      </c>
      <c r="J132" s="274" t="e">
        <f t="shared" si="4"/>
        <v>#DIV/0!</v>
      </c>
      <c r="K132" s="274" t="e">
        <f t="shared" si="4"/>
        <v>#DIV/0!</v>
      </c>
      <c r="L132" s="274" t="e">
        <f t="shared" si="4"/>
        <v>#DIV/0!</v>
      </c>
      <c r="M132" s="274" t="e">
        <f t="shared" si="4"/>
        <v>#DIV/0!</v>
      </c>
    </row>
    <row r="133" spans="1:20">
      <c r="B133" s="327"/>
      <c r="C133" s="73"/>
      <c r="D133" s="73"/>
      <c r="E133" s="73"/>
      <c r="F133" s="73"/>
      <c r="G133" s="73"/>
      <c r="H133" s="73"/>
      <c r="I133" s="73"/>
      <c r="J133" s="73"/>
      <c r="K133" s="73"/>
      <c r="L133" s="73"/>
      <c r="M133" s="73"/>
    </row>
    <row r="134" spans="1:20">
      <c r="C134" s="73"/>
      <c r="D134" s="73"/>
      <c r="E134" s="73"/>
      <c r="F134" s="73"/>
      <c r="G134" s="73"/>
      <c r="H134" s="73"/>
      <c r="I134" s="73"/>
      <c r="J134" s="73"/>
      <c r="K134" s="73"/>
      <c r="L134" s="73"/>
      <c r="M134" s="73"/>
      <c r="N134" s="73"/>
      <c r="O134" s="73"/>
      <c r="P134" s="73"/>
    </row>
    <row r="135" spans="1:20" ht="21">
      <c r="A135" s="50"/>
      <c r="B135" s="17" t="s">
        <v>83</v>
      </c>
      <c r="C135" s="50"/>
      <c r="D135" s="50"/>
    </row>
    <row r="136" spans="1:20">
      <c r="C136" s="388">
        <v>2016</v>
      </c>
      <c r="D136" s="389">
        <v>2017</v>
      </c>
      <c r="E136" s="389">
        <v>2018</v>
      </c>
      <c r="F136" s="389">
        <v>2019</v>
      </c>
      <c r="G136" s="389">
        <v>2020</v>
      </c>
      <c r="H136" s="389">
        <v>2021</v>
      </c>
      <c r="I136" s="389">
        <v>2022</v>
      </c>
      <c r="J136" s="389">
        <v>2023</v>
      </c>
      <c r="K136" s="389">
        <v>2024</v>
      </c>
      <c r="L136" s="389">
        <v>2025</v>
      </c>
      <c r="M136" s="389">
        <v>2026</v>
      </c>
    </row>
    <row r="137" spans="1:20">
      <c r="B137" s="278" t="str">
        <f t="shared" ref="B137:B148" si="5">B119</f>
        <v>1G</v>
      </c>
      <c r="C137" s="395">
        <f>SUM('Products x speed'!E201:E204)</f>
        <v>154.16513112975395</v>
      </c>
      <c r="D137" s="396">
        <f>SUM('Products x speed'!F201:F204)</f>
        <v>110.62740763127242</v>
      </c>
      <c r="E137" s="396">
        <f>SUM('Products x speed'!G201:G204)</f>
        <v>0</v>
      </c>
      <c r="F137" s="396">
        <f>SUM('Products x speed'!H201:H204)</f>
        <v>0</v>
      </c>
      <c r="G137" s="396">
        <f>SUM('Products x speed'!I201:I204)</f>
        <v>0</v>
      </c>
      <c r="H137" s="396">
        <f>SUM('Products x speed'!J201:J204)</f>
        <v>0</v>
      </c>
      <c r="I137" s="396">
        <f>SUM('Products x speed'!K201:K204)</f>
        <v>0</v>
      </c>
      <c r="J137" s="396">
        <f>SUM('Products x speed'!L201:L204)</f>
        <v>0</v>
      </c>
      <c r="K137" s="396">
        <f>SUM('Products x speed'!M201:M204)</f>
        <v>0</v>
      </c>
      <c r="L137" s="396">
        <f>SUM('Products x speed'!N201:N204)</f>
        <v>0</v>
      </c>
      <c r="M137" s="396">
        <f>SUM('Products x speed'!O201:O204)</f>
        <v>0</v>
      </c>
    </row>
    <row r="138" spans="1:20">
      <c r="B138" s="280" t="str">
        <f t="shared" si="5"/>
        <v>10G</v>
      </c>
      <c r="C138" s="397">
        <f>SUM('Products x speed'!E206:E214)</f>
        <v>588.89972784362988</v>
      </c>
      <c r="D138" s="283">
        <f>SUM('Products x speed'!F206:F214)</f>
        <v>486.60483553423245</v>
      </c>
      <c r="E138" s="283">
        <f>SUM('Products x speed'!G206:G214)</f>
        <v>0</v>
      </c>
      <c r="F138" s="283">
        <f>SUM('Products x speed'!H206:H214)</f>
        <v>0</v>
      </c>
      <c r="G138" s="283">
        <f>SUM('Products x speed'!I206:I214)</f>
        <v>0</v>
      </c>
      <c r="H138" s="283">
        <f>SUM('Products x speed'!J206:J214)</f>
        <v>0</v>
      </c>
      <c r="I138" s="283">
        <f>SUM('Products x speed'!K206:K214)</f>
        <v>0</v>
      </c>
      <c r="J138" s="283">
        <f>SUM('Products x speed'!L206:L214)</f>
        <v>0</v>
      </c>
      <c r="K138" s="283">
        <f>SUM('Products x speed'!M206:M214)</f>
        <v>0</v>
      </c>
      <c r="L138" s="283">
        <f>SUM('Products x speed'!N206:N214)</f>
        <v>0</v>
      </c>
      <c r="M138" s="283">
        <f>SUM('Products x speed'!O206:O214)</f>
        <v>0</v>
      </c>
    </row>
    <row r="139" spans="1:20">
      <c r="B139" s="280" t="str">
        <f t="shared" si="5"/>
        <v>25G</v>
      </c>
      <c r="C139" s="284">
        <f>SUM('Products x speed'!E216:E218)</f>
        <v>3.4123060000000001</v>
      </c>
      <c r="D139" s="283">
        <f>SUM('Products x speed'!F216:F218)</f>
        <v>19.187075306914231</v>
      </c>
      <c r="E139" s="283">
        <f>SUM('Products x speed'!G216:G218)</f>
        <v>0</v>
      </c>
      <c r="F139" s="283">
        <f>SUM('Products x speed'!H216:H218)</f>
        <v>0</v>
      </c>
      <c r="G139" s="283">
        <f>SUM('Products x speed'!I216:I218)</f>
        <v>0</v>
      </c>
      <c r="H139" s="283">
        <f>SUM('Products x speed'!J216:J218)</f>
        <v>0</v>
      </c>
      <c r="I139" s="283">
        <f>SUM('Products x speed'!K216:K218)</f>
        <v>0</v>
      </c>
      <c r="J139" s="283">
        <f>SUM('Products x speed'!L216:L218)</f>
        <v>0</v>
      </c>
      <c r="K139" s="283">
        <f>SUM('Products x speed'!M216:M218)</f>
        <v>0</v>
      </c>
      <c r="L139" s="283">
        <f>SUM('Products x speed'!N216:N218)</f>
        <v>0</v>
      </c>
      <c r="M139" s="283">
        <f>SUM('Products x speed'!O216:O218)</f>
        <v>0</v>
      </c>
    </row>
    <row r="140" spans="1:20" ht="15.6">
      <c r="B140" s="280" t="str">
        <f t="shared" si="5"/>
        <v>40G</v>
      </c>
      <c r="C140" s="397">
        <f>SUM('Products x speed'!E219:E227)</f>
        <v>787.93297017215446</v>
      </c>
      <c r="D140" s="283">
        <f>SUM('Products x speed'!F219:F227)</f>
        <v>904.27751564220159</v>
      </c>
      <c r="E140" s="283">
        <f>SUM('Products x speed'!G219:G227)</f>
        <v>0</v>
      </c>
      <c r="F140" s="283">
        <f>SUM('Products x speed'!H219:H227)</f>
        <v>0</v>
      </c>
      <c r="G140" s="283">
        <f>SUM('Products x speed'!I219:I227)</f>
        <v>0</v>
      </c>
      <c r="H140" s="283">
        <f>SUM('Products x speed'!J219:J227)</f>
        <v>0</v>
      </c>
      <c r="I140" s="283">
        <f>SUM('Products x speed'!K219:K227)</f>
        <v>0</v>
      </c>
      <c r="J140" s="283">
        <f>SUM('Products x speed'!L219:L227)</f>
        <v>0</v>
      </c>
      <c r="K140" s="283">
        <f>SUM('Products x speed'!M219:M227)</f>
        <v>0</v>
      </c>
      <c r="L140" s="283">
        <f>SUM('Products x speed'!N219:N227)</f>
        <v>0</v>
      </c>
      <c r="M140" s="283">
        <f>SUM('Products x speed'!O219:O227)</f>
        <v>0</v>
      </c>
      <c r="T140" s="657"/>
    </row>
    <row r="141" spans="1:20" ht="15.6">
      <c r="B141" s="280" t="str">
        <f t="shared" si="5"/>
        <v>50G</v>
      </c>
      <c r="C141" s="397"/>
      <c r="D141" s="283"/>
      <c r="E141" s="283">
        <f>SUM('Products x speed'!G228:G232)</f>
        <v>0</v>
      </c>
      <c r="F141" s="283">
        <f>SUM('Products x speed'!H228:H232)</f>
        <v>0</v>
      </c>
      <c r="G141" s="283">
        <f>SUM('Products x speed'!I228:I232)</f>
        <v>0</v>
      </c>
      <c r="H141" s="283">
        <f>SUM('Products x speed'!J228:J232)</f>
        <v>0</v>
      </c>
      <c r="I141" s="283">
        <f>SUM('Products x speed'!K228:K232)</f>
        <v>0</v>
      </c>
      <c r="J141" s="283">
        <f>SUM('Products x speed'!L228:L232)</f>
        <v>0</v>
      </c>
      <c r="K141" s="283">
        <f>SUM('Products x speed'!M228:M232)</f>
        <v>0</v>
      </c>
      <c r="L141" s="283">
        <f>SUM('Products x speed'!N228:N232)</f>
        <v>0</v>
      </c>
      <c r="M141" s="283">
        <f>SUM('Products x speed'!O228:O232)</f>
        <v>0</v>
      </c>
      <c r="T141" s="657"/>
    </row>
    <row r="142" spans="1:20" ht="15.6">
      <c r="B142" s="280" t="str">
        <f t="shared" si="5"/>
        <v>100G</v>
      </c>
      <c r="C142" s="397">
        <f>SUM('Products x speed'!E233:E251)</f>
        <v>1143.1589634696481</v>
      </c>
      <c r="D142" s="283">
        <f>SUM('Products x speed'!F233:F251)</f>
        <v>1653.9743919741536</v>
      </c>
      <c r="E142" s="283">
        <f>SUM('Products x speed'!G233:G251)</f>
        <v>0</v>
      </c>
      <c r="F142" s="283">
        <f>SUM('Products x speed'!H233:H251)</f>
        <v>0</v>
      </c>
      <c r="G142" s="283">
        <f>SUM('Products x speed'!I233:I251)</f>
        <v>0</v>
      </c>
      <c r="H142" s="283">
        <f>SUM('Products x speed'!J233:J251)</f>
        <v>0</v>
      </c>
      <c r="I142" s="283">
        <f>SUM('Products x speed'!K233:K251)</f>
        <v>0</v>
      </c>
      <c r="J142" s="283">
        <f>SUM('Products x speed'!L233:L251)</f>
        <v>0</v>
      </c>
      <c r="K142" s="283">
        <f>SUM('Products x speed'!M233:M251)</f>
        <v>0</v>
      </c>
      <c r="L142" s="283">
        <f>SUM('Products x speed'!N233:N251)</f>
        <v>0</v>
      </c>
      <c r="M142" s="283">
        <f>SUM('Products x speed'!O233:O251)</f>
        <v>0</v>
      </c>
      <c r="T142" s="657"/>
    </row>
    <row r="143" spans="1:20">
      <c r="B143" s="280" t="str">
        <f t="shared" si="5"/>
        <v>200G</v>
      </c>
      <c r="C143" s="397"/>
      <c r="D143" s="604"/>
      <c r="E143" s="175">
        <f>SUM('Products x speed'!G252:G256)</f>
        <v>0</v>
      </c>
      <c r="F143" s="175">
        <f>SUM('Products x speed'!H252:H256)</f>
        <v>0</v>
      </c>
      <c r="G143" s="175">
        <f>SUM('Products x speed'!I252:I256)</f>
        <v>0</v>
      </c>
      <c r="H143" s="175">
        <f>SUM('Products x speed'!J252:J256)</f>
        <v>0</v>
      </c>
      <c r="I143" s="175">
        <f>SUM('Products x speed'!K252:K256)</f>
        <v>0</v>
      </c>
      <c r="J143" s="175">
        <f>SUM('Products x speed'!L252:L256)</f>
        <v>0</v>
      </c>
      <c r="K143" s="175">
        <f>SUM('Products x speed'!M252:M256)</f>
        <v>0</v>
      </c>
      <c r="L143" s="175">
        <f>SUM('Products x speed'!N252:N256)</f>
        <v>0</v>
      </c>
      <c r="M143" s="175">
        <f>SUM('Products x speed'!O252:O256)</f>
        <v>0</v>
      </c>
    </row>
    <row r="144" spans="1:20">
      <c r="B144" s="280" t="str">
        <f t="shared" si="5"/>
        <v>400G</v>
      </c>
      <c r="C144" s="397"/>
      <c r="D144" s="175">
        <f>SUM('Products x speed'!F257:F263)</f>
        <v>1.3482999999999998</v>
      </c>
      <c r="E144" s="175">
        <f>SUM('Products x speed'!G257:G263)</f>
        <v>0</v>
      </c>
      <c r="F144" s="175">
        <f>SUM('Products x speed'!H257:H263)</f>
        <v>0</v>
      </c>
      <c r="G144" s="175">
        <f>SUM('Products x speed'!I257:I263)</f>
        <v>0</v>
      </c>
      <c r="H144" s="175">
        <f>SUM('Products x speed'!J257:J263)</f>
        <v>0</v>
      </c>
      <c r="I144" s="175">
        <f>SUM('Products x speed'!K257:K263)</f>
        <v>0</v>
      </c>
      <c r="J144" s="175">
        <f>SUM('Products x speed'!L257:L263)</f>
        <v>0</v>
      </c>
      <c r="K144" s="175">
        <f>SUM('Products x speed'!M257:M263)</f>
        <v>0</v>
      </c>
      <c r="L144" s="175">
        <f>SUM('Products x speed'!N257:N263)</f>
        <v>0</v>
      </c>
      <c r="M144" s="175">
        <f>SUM('Products x speed'!O257:O263)</f>
        <v>0</v>
      </c>
    </row>
    <row r="145" spans="2:20" s="293" customFormat="1">
      <c r="B145" s="377" t="str">
        <f t="shared" si="5"/>
        <v>800G</v>
      </c>
      <c r="C145" s="397"/>
      <c r="D145" s="283"/>
      <c r="E145" s="283"/>
      <c r="F145" s="283"/>
      <c r="G145" s="283">
        <f>SUM('Products x speed'!I264:I269)</f>
        <v>0</v>
      </c>
      <c r="H145" s="283">
        <f>SUM('Products x speed'!J264:J269)</f>
        <v>0</v>
      </c>
      <c r="I145" s="283">
        <f>SUM('Products x speed'!K264:K269)</f>
        <v>0</v>
      </c>
      <c r="J145" s="283">
        <f>SUM('Products x speed'!L264:L269)</f>
        <v>0</v>
      </c>
      <c r="K145" s="283">
        <f>SUM('Products x speed'!M264:M269)</f>
        <v>0</v>
      </c>
      <c r="L145" s="283">
        <f>SUM('Products x speed'!N264:N269)</f>
        <v>0</v>
      </c>
      <c r="M145" s="283">
        <f>SUM('Products x speed'!O264:O269)</f>
        <v>0</v>
      </c>
    </row>
    <row r="146" spans="2:20" s="293" customFormat="1">
      <c r="B146" s="377" t="str">
        <f t="shared" si="5"/>
        <v>1.6T</v>
      </c>
      <c r="C146" s="397"/>
      <c r="D146" s="283"/>
      <c r="E146" s="283"/>
      <c r="F146" s="283"/>
      <c r="G146" s="283"/>
      <c r="H146" s="283"/>
      <c r="I146" s="283"/>
      <c r="J146" s="283"/>
      <c r="K146" s="283">
        <f>SUM('Products x speed'!M270:M274)</f>
        <v>0</v>
      </c>
      <c r="L146" s="283">
        <f>SUM('Products x speed'!N270:N274)</f>
        <v>0</v>
      </c>
      <c r="M146" s="283">
        <f>SUM('Products x speed'!O270:O274)</f>
        <v>0</v>
      </c>
    </row>
    <row r="147" spans="2:20" s="293" customFormat="1">
      <c r="B147" s="378" t="str">
        <f t="shared" si="5"/>
        <v>Legacy/discontinued</v>
      </c>
      <c r="C147" s="398">
        <f>'Products x speed'!E215+'Products x speed'!E205</f>
        <v>10.04630903</v>
      </c>
      <c r="D147" s="399">
        <f>'Products x speed'!F215+'Products x speed'!F205</f>
        <v>2.2937660000000006</v>
      </c>
      <c r="E147" s="399">
        <f>'Products x speed'!G215+'Products x speed'!G205</f>
        <v>0</v>
      </c>
      <c r="F147" s="399">
        <f>'Products x speed'!H215+'Products x speed'!H205</f>
        <v>0</v>
      </c>
      <c r="G147" s="399"/>
      <c r="H147" s="399"/>
      <c r="I147" s="399"/>
      <c r="J147" s="399"/>
      <c r="K147" s="399"/>
      <c r="L147" s="399"/>
      <c r="M147" s="399"/>
    </row>
    <row r="148" spans="2:20">
      <c r="B148" s="275" t="str">
        <f t="shared" si="5"/>
        <v>Total</v>
      </c>
      <c r="C148" s="398">
        <f t="shared" ref="C148:K148" si="6">SUM(C137:C147)</f>
        <v>2687.6154076451867</v>
      </c>
      <c r="D148" s="399">
        <f t="shared" si="6"/>
        <v>3178.3132920887742</v>
      </c>
      <c r="E148" s="399">
        <f t="shared" si="6"/>
        <v>0</v>
      </c>
      <c r="F148" s="399">
        <f t="shared" si="6"/>
        <v>0</v>
      </c>
      <c r="G148" s="399">
        <f t="shared" si="6"/>
        <v>0</v>
      </c>
      <c r="H148" s="399">
        <f t="shared" si="6"/>
        <v>0</v>
      </c>
      <c r="I148" s="399">
        <f t="shared" si="6"/>
        <v>0</v>
      </c>
      <c r="J148" s="399">
        <f t="shared" si="6"/>
        <v>0</v>
      </c>
      <c r="K148" s="399">
        <f t="shared" si="6"/>
        <v>0</v>
      </c>
      <c r="L148" s="399">
        <f t="shared" ref="L148:M148" si="7">SUM(L137:L147)</f>
        <v>0</v>
      </c>
      <c r="M148" s="399">
        <f t="shared" si="7"/>
        <v>0</v>
      </c>
    </row>
    <row r="149" spans="2:20">
      <c r="B149" s="327" t="s">
        <v>86</v>
      </c>
      <c r="C149" s="274"/>
      <c r="D149" s="274">
        <f t="shared" ref="D149:K149" si="8">D148/C148-1</f>
        <v>0.18257741901901192</v>
      </c>
      <c r="E149" s="274">
        <f t="shared" si="8"/>
        <v>-1</v>
      </c>
      <c r="F149" s="274" t="e">
        <f t="shared" si="8"/>
        <v>#DIV/0!</v>
      </c>
      <c r="G149" s="274" t="e">
        <f t="shared" si="8"/>
        <v>#DIV/0!</v>
      </c>
      <c r="H149" s="274" t="e">
        <f t="shared" si="8"/>
        <v>#DIV/0!</v>
      </c>
      <c r="I149" s="274" t="e">
        <f t="shared" si="8"/>
        <v>#DIV/0!</v>
      </c>
      <c r="J149" s="274" t="e">
        <f t="shared" si="8"/>
        <v>#DIV/0!</v>
      </c>
      <c r="K149" s="274" t="e">
        <f t="shared" si="8"/>
        <v>#DIV/0!</v>
      </c>
      <c r="L149" s="274" t="e">
        <f t="shared" ref="L149" si="9">L148/K148-1</f>
        <v>#DIV/0!</v>
      </c>
      <c r="M149" s="274" t="e">
        <f t="shared" ref="M149" si="10">M148/L148-1</f>
        <v>#DIV/0!</v>
      </c>
    </row>
    <row r="150" spans="2:20">
      <c r="B150" s="327" t="s">
        <v>263</v>
      </c>
      <c r="C150" s="274"/>
      <c r="D150" s="274">
        <f t="shared" ref="D150:K150" si="11">SUM(D139:D144)/SUM(C139:C144)-1</f>
        <v>0.33304814229859958</v>
      </c>
      <c r="E150" s="274">
        <f t="shared" si="11"/>
        <v>-1</v>
      </c>
      <c r="F150" s="274" t="e">
        <f t="shared" si="11"/>
        <v>#DIV/0!</v>
      </c>
      <c r="G150" s="274" t="e">
        <f t="shared" si="11"/>
        <v>#DIV/0!</v>
      </c>
      <c r="H150" s="274" t="e">
        <f t="shared" si="11"/>
        <v>#DIV/0!</v>
      </c>
      <c r="I150" s="274" t="e">
        <f t="shared" si="11"/>
        <v>#DIV/0!</v>
      </c>
      <c r="J150" s="274" t="e">
        <f t="shared" si="11"/>
        <v>#DIV/0!</v>
      </c>
      <c r="K150" s="274" t="e">
        <f t="shared" si="11"/>
        <v>#DIV/0!</v>
      </c>
      <c r="L150" s="274" t="e">
        <f t="shared" ref="L150" si="12">SUM(L139:L144)/SUM(K139:K144)-1</f>
        <v>#DIV/0!</v>
      </c>
      <c r="M150" s="274" t="e">
        <f t="shared" ref="M150" si="13">SUM(M139:M144)/SUM(L139:L144)-1</f>
        <v>#DIV/0!</v>
      </c>
    </row>
    <row r="151" spans="2:20" ht="11.55" customHeight="1">
      <c r="C151" s="73"/>
      <c r="D151" s="73"/>
      <c r="E151" s="73"/>
      <c r="F151" s="73"/>
      <c r="G151" s="73"/>
      <c r="H151" s="73"/>
      <c r="I151" s="73"/>
      <c r="J151" s="73"/>
      <c r="K151" s="73"/>
      <c r="L151" s="73"/>
      <c r="M151" s="73"/>
    </row>
    <row r="153" spans="2:20">
      <c r="B153" s="535" t="s">
        <v>22</v>
      </c>
      <c r="C153" s="383">
        <v>2016</v>
      </c>
      <c r="D153" s="384">
        <v>2017</v>
      </c>
      <c r="E153" s="384">
        <v>2018</v>
      </c>
      <c r="F153" s="384">
        <v>2019</v>
      </c>
      <c r="G153" s="384">
        <v>2020</v>
      </c>
      <c r="H153" s="384">
        <v>2021</v>
      </c>
      <c r="I153" s="384">
        <v>2022</v>
      </c>
      <c r="J153" s="384">
        <v>2023</v>
      </c>
      <c r="K153" s="384">
        <v>2024</v>
      </c>
      <c r="L153" s="384">
        <v>2025</v>
      </c>
      <c r="M153" s="517">
        <v>2026</v>
      </c>
    </row>
    <row r="154" spans="2:20">
      <c r="B154" s="551" t="s">
        <v>323</v>
      </c>
      <c r="C154" s="163">
        <f>SUM(C119:C124)</f>
        <v>36168361.034999996</v>
      </c>
      <c r="D154" s="164">
        <f t="shared" ref="D154:M154" si="14">SUM(D119:D124)</f>
        <v>38077694.150000006</v>
      </c>
      <c r="E154" s="164">
        <f t="shared" si="14"/>
        <v>0</v>
      </c>
      <c r="F154" s="164">
        <f t="shared" si="14"/>
        <v>0</v>
      </c>
      <c r="G154" s="164">
        <f t="shared" si="14"/>
        <v>0</v>
      </c>
      <c r="H154" s="164">
        <f t="shared" si="14"/>
        <v>0</v>
      </c>
      <c r="I154" s="164">
        <f t="shared" si="14"/>
        <v>0</v>
      </c>
      <c r="J154" s="164">
        <f t="shared" si="14"/>
        <v>0</v>
      </c>
      <c r="K154" s="164">
        <f t="shared" si="14"/>
        <v>0</v>
      </c>
      <c r="L154" s="164">
        <f t="shared" si="14"/>
        <v>0</v>
      </c>
      <c r="M154" s="164">
        <f t="shared" si="14"/>
        <v>0</v>
      </c>
    </row>
    <row r="155" spans="2:20">
      <c r="B155" s="552" t="s">
        <v>324</v>
      </c>
      <c r="C155" s="167">
        <f>SUM(C125:C127)</f>
        <v>0</v>
      </c>
      <c r="D155" s="168">
        <f>SUM(D125:D128)</f>
        <v>89</v>
      </c>
      <c r="E155" s="168">
        <f t="shared" ref="E155:M155" si="15">SUM(E125:E128)</f>
        <v>0</v>
      </c>
      <c r="F155" s="168">
        <f t="shared" si="15"/>
        <v>0</v>
      </c>
      <c r="G155" s="168">
        <f t="shared" si="15"/>
        <v>0</v>
      </c>
      <c r="H155" s="168">
        <f t="shared" si="15"/>
        <v>0</v>
      </c>
      <c r="I155" s="168">
        <f t="shared" si="15"/>
        <v>0</v>
      </c>
      <c r="J155" s="168">
        <f t="shared" si="15"/>
        <v>0</v>
      </c>
      <c r="K155" s="168">
        <f t="shared" si="15"/>
        <v>0</v>
      </c>
      <c r="L155" s="168">
        <f t="shared" si="15"/>
        <v>0</v>
      </c>
      <c r="M155" s="168">
        <f t="shared" si="15"/>
        <v>0</v>
      </c>
      <c r="T155" s="655"/>
    </row>
    <row r="156" spans="2:20">
      <c r="B156" s="327"/>
      <c r="C156" s="274"/>
      <c r="D156" s="274"/>
      <c r="E156" s="274"/>
      <c r="F156" s="274"/>
      <c r="G156" s="274"/>
      <c r="H156" s="274"/>
      <c r="I156" s="274"/>
      <c r="J156" s="274"/>
      <c r="K156" s="274"/>
      <c r="L156" s="274"/>
      <c r="M156" s="274"/>
      <c r="T156" s="655"/>
    </row>
    <row r="157" spans="2:20">
      <c r="B157" s="535" t="s">
        <v>15</v>
      </c>
      <c r="C157" s="388">
        <v>2016</v>
      </c>
      <c r="D157" s="389">
        <v>2017</v>
      </c>
      <c r="E157" s="389">
        <v>2018</v>
      </c>
      <c r="F157" s="389">
        <v>2019</v>
      </c>
      <c r="G157" s="389">
        <v>2020</v>
      </c>
      <c r="H157" s="389">
        <v>2021</v>
      </c>
      <c r="I157" s="389">
        <v>2022</v>
      </c>
      <c r="J157" s="389">
        <v>2023</v>
      </c>
      <c r="K157" s="389">
        <v>2024</v>
      </c>
      <c r="L157" s="389">
        <v>2025</v>
      </c>
      <c r="M157" s="656">
        <v>2026</v>
      </c>
    </row>
    <row r="158" spans="2:20">
      <c r="B158" s="551" t="s">
        <v>323</v>
      </c>
      <c r="C158" s="176">
        <f t="shared" ref="C158:L158" si="16">SUM(C137:C142)</f>
        <v>2677.5690986151867</v>
      </c>
      <c r="D158" s="173">
        <f t="shared" si="16"/>
        <v>3174.6712260887743</v>
      </c>
      <c r="E158" s="173">
        <f t="shared" si="16"/>
        <v>0</v>
      </c>
      <c r="F158" s="173">
        <f t="shared" si="16"/>
        <v>0</v>
      </c>
      <c r="G158" s="173">
        <f t="shared" si="16"/>
        <v>0</v>
      </c>
      <c r="H158" s="173">
        <f t="shared" si="16"/>
        <v>0</v>
      </c>
      <c r="I158" s="173">
        <f t="shared" si="16"/>
        <v>0</v>
      </c>
      <c r="J158" s="173">
        <f t="shared" si="16"/>
        <v>0</v>
      </c>
      <c r="K158" s="173">
        <f t="shared" si="16"/>
        <v>0</v>
      </c>
      <c r="L158" s="173">
        <f t="shared" si="16"/>
        <v>0</v>
      </c>
      <c r="M158" s="174">
        <f t="shared" ref="M158" si="17">SUM(M137:M142)</f>
        <v>0</v>
      </c>
    </row>
    <row r="159" spans="2:20">
      <c r="B159" s="552" t="s">
        <v>324</v>
      </c>
      <c r="C159" s="182">
        <f t="shared" ref="C159" si="18">SUM(C143:C145)</f>
        <v>0</v>
      </c>
      <c r="D159" s="171">
        <f>SUM(D143:D146)</f>
        <v>1.3482999999999998</v>
      </c>
      <c r="E159" s="171">
        <f t="shared" ref="E159:M159" si="19">SUM(E143:E146)</f>
        <v>0</v>
      </c>
      <c r="F159" s="171">
        <f t="shared" si="19"/>
        <v>0</v>
      </c>
      <c r="G159" s="171">
        <f t="shared" si="19"/>
        <v>0</v>
      </c>
      <c r="H159" s="171">
        <f t="shared" si="19"/>
        <v>0</v>
      </c>
      <c r="I159" s="171">
        <f t="shared" si="19"/>
        <v>0</v>
      </c>
      <c r="J159" s="171">
        <f t="shared" si="19"/>
        <v>0</v>
      </c>
      <c r="K159" s="171">
        <f t="shared" si="19"/>
        <v>0</v>
      </c>
      <c r="L159" s="171">
        <f t="shared" si="19"/>
        <v>0</v>
      </c>
      <c r="M159" s="172">
        <f t="shared" si="19"/>
        <v>0</v>
      </c>
      <c r="T159" s="621"/>
    </row>
    <row r="160" spans="2:20">
      <c r="B160" s="327"/>
      <c r="C160" s="274"/>
      <c r="D160" s="274"/>
      <c r="E160" s="274"/>
      <c r="F160" s="274"/>
      <c r="G160" s="274"/>
      <c r="H160" s="274"/>
      <c r="I160" s="274"/>
      <c r="J160" s="274"/>
      <c r="K160" s="274"/>
      <c r="L160" s="274"/>
      <c r="M160" s="274"/>
      <c r="T160" s="621"/>
    </row>
    <row r="161" spans="2:19">
      <c r="B161" s="535" t="s">
        <v>15</v>
      </c>
      <c r="C161" s="383">
        <v>2016</v>
      </c>
      <c r="D161" s="384">
        <v>2017</v>
      </c>
      <c r="E161" s="384">
        <v>2018</v>
      </c>
      <c r="F161" s="384">
        <v>2019</v>
      </c>
      <c r="G161" s="384">
        <v>2020</v>
      </c>
      <c r="H161" s="384">
        <v>2021</v>
      </c>
      <c r="I161" s="384">
        <v>2022</v>
      </c>
      <c r="J161" s="384">
        <v>2023</v>
      </c>
      <c r="K161" s="384">
        <v>2024</v>
      </c>
      <c r="L161" s="384">
        <v>2025</v>
      </c>
      <c r="M161" s="517">
        <v>2026</v>
      </c>
    </row>
    <row r="162" spans="2:19">
      <c r="B162" s="553" t="s">
        <v>336</v>
      </c>
      <c r="C162" s="109">
        <f>SUM(C137:C141)</f>
        <v>1534.4101351455383</v>
      </c>
      <c r="D162" s="110">
        <f t="shared" ref="D162:L162" si="20">SUM(D137:D141)</f>
        <v>1520.6968341146207</v>
      </c>
      <c r="E162" s="110">
        <f t="shared" si="20"/>
        <v>0</v>
      </c>
      <c r="F162" s="110">
        <f t="shared" si="20"/>
        <v>0</v>
      </c>
      <c r="G162" s="110">
        <f t="shared" si="20"/>
        <v>0</v>
      </c>
      <c r="H162" s="110">
        <f t="shared" si="20"/>
        <v>0</v>
      </c>
      <c r="I162" s="110">
        <f t="shared" si="20"/>
        <v>0</v>
      </c>
      <c r="J162" s="110">
        <f t="shared" si="20"/>
        <v>0</v>
      </c>
      <c r="K162" s="110">
        <f t="shared" si="20"/>
        <v>0</v>
      </c>
      <c r="L162" s="110">
        <f t="shared" si="20"/>
        <v>0</v>
      </c>
      <c r="M162" s="111">
        <f t="shared" ref="M162" si="21">SUM(M137:M141)</f>
        <v>0</v>
      </c>
    </row>
    <row r="163" spans="2:19">
      <c r="B163" s="327"/>
      <c r="C163" s="73"/>
      <c r="D163" s="274"/>
      <c r="E163" s="274"/>
      <c r="F163" s="274"/>
      <c r="G163" s="274"/>
      <c r="H163" s="274"/>
      <c r="I163" s="274"/>
      <c r="J163" s="274"/>
      <c r="K163" s="274"/>
      <c r="L163" s="274"/>
      <c r="M163" s="274"/>
      <c r="N163" s="274"/>
      <c r="O163" s="274"/>
      <c r="P163" s="274"/>
      <c r="Q163" s="274"/>
      <c r="R163" s="274"/>
      <c r="S163" s="274"/>
    </row>
    <row r="165" spans="2:19" ht="21">
      <c r="B165" s="153" t="s">
        <v>392</v>
      </c>
      <c r="H165" s="153" t="s">
        <v>391</v>
      </c>
    </row>
    <row r="188" spans="2:20" s="4" customFormat="1" ht="22.5" customHeight="1">
      <c r="B188" s="17"/>
      <c r="T188" s="29"/>
    </row>
    <row r="190" spans="2:20" s="4" customFormat="1" ht="13.5" customHeight="1">
      <c r="B190" s="17"/>
      <c r="T190" s="29"/>
    </row>
    <row r="191" spans="2:20" s="4" customFormat="1" ht="13.5" customHeight="1">
      <c r="B191" s="17"/>
      <c r="T191" s="29"/>
    </row>
    <row r="192" spans="2:20" s="4" customFormat="1" ht="13.5" customHeight="1">
      <c r="B192" s="17"/>
      <c r="T192" s="29"/>
    </row>
    <row r="193" spans="2:20" s="4" customFormat="1" ht="13.5" customHeight="1">
      <c r="B193" s="17"/>
      <c r="T193" s="29"/>
    </row>
    <row r="194" spans="2:20" s="4" customFormat="1" ht="13.5" customHeight="1">
      <c r="B194" s="17"/>
      <c r="T194" s="29"/>
    </row>
    <row r="195" spans="2:20" s="4" customFormat="1" ht="13.2">
      <c r="T195" s="29"/>
    </row>
    <row r="196" spans="2:20" s="4" customFormat="1" ht="13.2">
      <c r="T196" s="29"/>
    </row>
    <row r="197" spans="2:20" s="4" customFormat="1" ht="13.2">
      <c r="T197" s="29"/>
    </row>
    <row r="198" spans="2:20" s="4" customFormat="1" ht="13.2">
      <c r="T198" s="29"/>
    </row>
    <row r="199" spans="2:20" s="4" customFormat="1" ht="13.2">
      <c r="T199" s="29"/>
    </row>
    <row r="200" spans="2:20" s="4" customFormat="1" ht="13.2">
      <c r="T200" s="29"/>
    </row>
    <row r="201" spans="2:20" s="4" customFormat="1" ht="13.2">
      <c r="T201" s="29"/>
    </row>
    <row r="202" spans="2:20" s="4" customFormat="1" ht="13.2">
      <c r="T202" s="29"/>
    </row>
    <row r="203" spans="2:20" s="4" customFormat="1" ht="13.2">
      <c r="T203" s="29"/>
    </row>
    <row r="204" spans="2:20" s="4" customFormat="1" ht="13.2">
      <c r="T204" s="29"/>
    </row>
    <row r="205" spans="2:20" s="4" customFormat="1" ht="13.2">
      <c r="T205" s="29"/>
    </row>
    <row r="206" spans="2:20" s="4" customFormat="1" ht="13.2">
      <c r="T206" s="29"/>
    </row>
    <row r="207" spans="2:20" s="4" customFormat="1" ht="13.2">
      <c r="B207" s="3"/>
      <c r="T207" s="29"/>
    </row>
    <row r="208" spans="2:20" s="4" customFormat="1">
      <c r="C208" s="388">
        <v>2016</v>
      </c>
      <c r="D208" s="389">
        <v>2017</v>
      </c>
      <c r="E208" s="389">
        <v>2018</v>
      </c>
      <c r="F208" s="389">
        <v>2019</v>
      </c>
      <c r="G208" s="389">
        <v>2020</v>
      </c>
      <c r="H208" s="389">
        <v>2021</v>
      </c>
      <c r="I208" s="389">
        <v>2022</v>
      </c>
      <c r="J208" s="389">
        <v>2023</v>
      </c>
      <c r="K208" s="389">
        <v>2024</v>
      </c>
      <c r="L208" s="389">
        <v>2025</v>
      </c>
      <c r="M208" s="389">
        <v>2026</v>
      </c>
      <c r="T208" s="29"/>
    </row>
    <row r="209" spans="1:20" s="4" customFormat="1">
      <c r="B209" s="400" t="s">
        <v>112</v>
      </c>
      <c r="C209" s="554"/>
      <c r="D209" s="401"/>
      <c r="E209" s="401"/>
      <c r="F209" s="401"/>
      <c r="G209" s="401"/>
      <c r="H209" s="401"/>
      <c r="I209" s="401"/>
      <c r="J209" s="401"/>
      <c r="K209" s="401"/>
      <c r="L209" s="401"/>
      <c r="M209" s="401"/>
      <c r="T209" s="29"/>
    </row>
    <row r="210" spans="1:20" s="4" customFormat="1">
      <c r="B210" s="286" t="s">
        <v>167</v>
      </c>
      <c r="C210" s="555">
        <f>'Products x speed'!E9</f>
        <v>4496175.0999999996</v>
      </c>
      <c r="D210" s="402">
        <f>'Products x speed'!F9</f>
        <v>4278484</v>
      </c>
      <c r="E210" s="402">
        <f>'Products x speed'!G9</f>
        <v>0</v>
      </c>
      <c r="F210" s="402">
        <f>'Products x speed'!H9</f>
        <v>0</v>
      </c>
      <c r="G210" s="402">
        <f>'Products x speed'!I9</f>
        <v>0</v>
      </c>
      <c r="H210" s="402">
        <f>'Products x speed'!J9</f>
        <v>0</v>
      </c>
      <c r="I210" s="402">
        <f>'Products x speed'!K9</f>
        <v>0</v>
      </c>
      <c r="J210" s="402">
        <f>'Products x speed'!L9</f>
        <v>0</v>
      </c>
      <c r="K210" s="402">
        <f>'Products x speed'!M9</f>
        <v>0</v>
      </c>
      <c r="L210" s="402">
        <f>'Products x speed'!N9</f>
        <v>0</v>
      </c>
      <c r="M210" s="402">
        <f>'Products x speed'!O9</f>
        <v>0</v>
      </c>
      <c r="T210" s="29"/>
    </row>
    <row r="211" spans="1:20" s="4" customFormat="1" ht="15.6">
      <c r="B211" s="286" t="s">
        <v>70</v>
      </c>
      <c r="C211" s="555">
        <f>+'Products x speed'!E14+'Products x speed'!E15+'Products x speed'!E16</f>
        <v>11471385.93</v>
      </c>
      <c r="D211" s="402">
        <f>+'Products x speed'!F14+'Products x speed'!F15+'Products x speed'!F16</f>
        <v>12691744</v>
      </c>
      <c r="E211" s="402">
        <f>+'Products x speed'!G14+'Products x speed'!G15+'Products x speed'!G16</f>
        <v>0</v>
      </c>
      <c r="F211" s="402">
        <f>+'Products x speed'!H14+'Products x speed'!H15+'Products x speed'!H16</f>
        <v>0</v>
      </c>
      <c r="G211" s="402">
        <f>+'Products x speed'!I14+'Products x speed'!I15+'Products x speed'!I16</f>
        <v>0</v>
      </c>
      <c r="H211" s="402">
        <f>+'Products x speed'!J14+'Products x speed'!J15+'Products x speed'!J16</f>
        <v>0</v>
      </c>
      <c r="I211" s="402">
        <f>+'Products x speed'!K14+'Products x speed'!K15+'Products x speed'!K16</f>
        <v>0</v>
      </c>
      <c r="J211" s="402">
        <f>+'Products x speed'!L14+'Products x speed'!L15+'Products x speed'!L16</f>
        <v>0</v>
      </c>
      <c r="K211" s="402">
        <f>+'Products x speed'!M14+'Products x speed'!M15+'Products x speed'!M16</f>
        <v>0</v>
      </c>
      <c r="L211" s="402">
        <f>+'Products x speed'!N14+'Products x speed'!N15+'Products x speed'!N16</f>
        <v>0</v>
      </c>
      <c r="M211" s="402">
        <f>+'Products x speed'!O14+'Products x speed'!O15+'Products x speed'!O16</f>
        <v>0</v>
      </c>
      <c r="T211" s="544"/>
    </row>
    <row r="212" spans="1:20" s="4" customFormat="1" ht="15.6">
      <c r="B212" s="286" t="s">
        <v>71</v>
      </c>
      <c r="C212" s="555">
        <f>'Products x speed'!E24</f>
        <v>7146</v>
      </c>
      <c r="D212" s="402">
        <f>'Products x speed'!F24</f>
        <v>95865</v>
      </c>
      <c r="E212" s="402">
        <f>'Products x speed'!G24</f>
        <v>0</v>
      </c>
      <c r="F212" s="402">
        <f>'Products x speed'!H24</f>
        <v>0</v>
      </c>
      <c r="G212" s="402">
        <f>'Products x speed'!I24</f>
        <v>0</v>
      </c>
      <c r="H212" s="402">
        <f>'Products x speed'!J24</f>
        <v>0</v>
      </c>
      <c r="I212" s="402">
        <f>'Products x speed'!K24</f>
        <v>0</v>
      </c>
      <c r="J212" s="402">
        <f>'Products x speed'!L24</f>
        <v>0</v>
      </c>
      <c r="K212" s="402">
        <f>'Products x speed'!M24</f>
        <v>0</v>
      </c>
      <c r="L212" s="402">
        <f>'Products x speed'!N24</f>
        <v>0</v>
      </c>
      <c r="M212" s="402">
        <f>'Products x speed'!O24</f>
        <v>0</v>
      </c>
      <c r="T212" s="544"/>
    </row>
    <row r="213" spans="1:20" s="4" customFormat="1" ht="15.6">
      <c r="A213" s="273"/>
      <c r="B213" s="286" t="s">
        <v>127</v>
      </c>
      <c r="C213" s="555">
        <f>'Products x speed'!E27+'Products x speed'!E28+'Products x speed'!E29</f>
        <v>1529498</v>
      </c>
      <c r="D213" s="402">
        <f>'Products x speed'!F27+'Products x speed'!F28+'Products x speed'!F29</f>
        <v>2010866</v>
      </c>
      <c r="E213" s="402">
        <f>'Products x speed'!G27+'Products x speed'!G28+'Products x speed'!G29</f>
        <v>0</v>
      </c>
      <c r="F213" s="402">
        <f>'Products x speed'!H27+'Products x speed'!H28+'Products x speed'!H29</f>
        <v>0</v>
      </c>
      <c r="G213" s="402">
        <f>'Products x speed'!I27+'Products x speed'!I28+'Products x speed'!I29</f>
        <v>0</v>
      </c>
      <c r="H213" s="402">
        <f>'Products x speed'!J27+'Products x speed'!J28+'Products x speed'!J29</f>
        <v>0</v>
      </c>
      <c r="I213" s="402">
        <f>'Products x speed'!K27+'Products x speed'!K28+'Products x speed'!K29</f>
        <v>0</v>
      </c>
      <c r="J213" s="402">
        <f>'Products x speed'!L27+'Products x speed'!L28+'Products x speed'!L29</f>
        <v>0</v>
      </c>
      <c r="K213" s="402">
        <f>'Products x speed'!M27+'Products x speed'!M28+'Products x speed'!M29</f>
        <v>0</v>
      </c>
      <c r="L213" s="402">
        <f>'Products x speed'!N27+'Products x speed'!N28+'Products x speed'!N29</f>
        <v>0</v>
      </c>
      <c r="M213" s="402">
        <f>'Products x speed'!O27+'Products x speed'!O28+'Products x speed'!O29</f>
        <v>0</v>
      </c>
      <c r="T213" s="545"/>
    </row>
    <row r="214" spans="1:20" s="4" customFormat="1" ht="15.6">
      <c r="A214" s="273"/>
      <c r="B214" s="286" t="s">
        <v>136</v>
      </c>
      <c r="C214" s="555"/>
      <c r="D214" s="402"/>
      <c r="E214" s="402">
        <f>'Products x speed'!G36</f>
        <v>0</v>
      </c>
      <c r="F214" s="402">
        <f>'Products x speed'!H36</f>
        <v>0</v>
      </c>
      <c r="G214" s="402">
        <f>'Products x speed'!I36</f>
        <v>0</v>
      </c>
      <c r="H214" s="402">
        <f>'Products x speed'!J36</f>
        <v>0</v>
      </c>
      <c r="I214" s="402">
        <f>'Products x speed'!K36</f>
        <v>0</v>
      </c>
      <c r="J214" s="402">
        <f>'Products x speed'!L36</f>
        <v>0</v>
      </c>
      <c r="K214" s="402">
        <f>'Products x speed'!M36</f>
        <v>0</v>
      </c>
      <c r="L214" s="402">
        <f>'Products x speed'!N36</f>
        <v>0</v>
      </c>
      <c r="M214" s="402">
        <f>'Products x speed'!O36</f>
        <v>0</v>
      </c>
      <c r="T214" s="545"/>
    </row>
    <row r="215" spans="1:20" s="4" customFormat="1">
      <c r="A215" s="273"/>
      <c r="B215" s="286" t="s">
        <v>146</v>
      </c>
      <c r="C215" s="555">
        <f>SUM('Products x speed'!E41:E46)</f>
        <v>299241</v>
      </c>
      <c r="D215" s="402">
        <f>SUM('Products x speed'!F41:F46)</f>
        <v>631974</v>
      </c>
      <c r="E215" s="402">
        <f>SUM('Products x speed'!G41:G46)</f>
        <v>0</v>
      </c>
      <c r="F215" s="402">
        <f>SUM('Products x speed'!H41:H46)</f>
        <v>0</v>
      </c>
      <c r="G215" s="402">
        <f>SUM('Products x speed'!I41:I46)</f>
        <v>0</v>
      </c>
      <c r="H215" s="402">
        <f>SUM('Products x speed'!J41:J46)</f>
        <v>0</v>
      </c>
      <c r="I215" s="402">
        <f>SUM('Products x speed'!K41:K46)</f>
        <v>0</v>
      </c>
      <c r="J215" s="402">
        <f>SUM('Products x speed'!L41:L46)</f>
        <v>0</v>
      </c>
      <c r="K215" s="402">
        <f>SUM('Products x speed'!M41:M46)</f>
        <v>0</v>
      </c>
      <c r="L215" s="402">
        <f>SUM('Products x speed'!N41:N46)</f>
        <v>0</v>
      </c>
      <c r="M215" s="402">
        <f>SUM('Products x speed'!O41:O46)</f>
        <v>0</v>
      </c>
      <c r="T215" s="29"/>
    </row>
    <row r="216" spans="1:20" s="4" customFormat="1">
      <c r="A216" s="273"/>
      <c r="B216" s="286" t="s">
        <v>147</v>
      </c>
      <c r="C216" s="555"/>
      <c r="D216" s="402">
        <f>'Products x speed'!F60</f>
        <v>0</v>
      </c>
      <c r="E216" s="402">
        <f>'Products x speed'!G60</f>
        <v>0</v>
      </c>
      <c r="F216" s="402">
        <f>'Products x speed'!H60</f>
        <v>0</v>
      </c>
      <c r="G216" s="402">
        <f>'Products x speed'!I60</f>
        <v>0</v>
      </c>
      <c r="H216" s="402">
        <f>'Products x speed'!J60</f>
        <v>0</v>
      </c>
      <c r="I216" s="402">
        <f>'Products x speed'!K60</f>
        <v>0</v>
      </c>
      <c r="J216" s="402">
        <f>'Products x speed'!L60</f>
        <v>0</v>
      </c>
      <c r="K216" s="402">
        <f>'Products x speed'!M60</f>
        <v>0</v>
      </c>
      <c r="L216" s="402">
        <f>'Products x speed'!N60</f>
        <v>0</v>
      </c>
      <c r="M216" s="402">
        <f>'Products x speed'!O60</f>
        <v>0</v>
      </c>
      <c r="T216" s="29"/>
    </row>
    <row r="217" spans="1:20" s="4" customFormat="1">
      <c r="A217" s="273"/>
      <c r="B217" s="286" t="s">
        <v>148</v>
      </c>
      <c r="C217" s="555"/>
      <c r="D217" s="402">
        <f>'Products x speed'!F66+'Products x speed'!F65</f>
        <v>0</v>
      </c>
      <c r="E217" s="402">
        <f>'Products x speed'!G66+'Products x speed'!G65</f>
        <v>0</v>
      </c>
      <c r="F217" s="402">
        <f>'Products x speed'!H66+'Products x speed'!H65</f>
        <v>0</v>
      </c>
      <c r="G217" s="402">
        <f>'Products x speed'!I66+'Products x speed'!I65</f>
        <v>0</v>
      </c>
      <c r="H217" s="402">
        <f>'Products x speed'!J66+'Products x speed'!J65</f>
        <v>0</v>
      </c>
      <c r="I217" s="402">
        <f>'Products x speed'!K66+'Products x speed'!K65</f>
        <v>0</v>
      </c>
      <c r="J217" s="402">
        <f>'Products x speed'!L66+'Products x speed'!L65</f>
        <v>0</v>
      </c>
      <c r="K217" s="402">
        <f>'Products x speed'!M66+'Products x speed'!M65</f>
        <v>0</v>
      </c>
      <c r="L217" s="402">
        <f>'Products x speed'!N66+'Products x speed'!N65</f>
        <v>0</v>
      </c>
      <c r="M217" s="402">
        <f>'Products x speed'!O66+'Products x speed'!O65</f>
        <v>0</v>
      </c>
      <c r="T217" s="29"/>
    </row>
    <row r="218" spans="1:20" s="4" customFormat="1">
      <c r="A218" s="273"/>
      <c r="B218" s="286" t="s">
        <v>445</v>
      </c>
      <c r="C218" s="555"/>
      <c r="D218" s="402"/>
      <c r="E218" s="402"/>
      <c r="F218" s="402"/>
      <c r="G218" s="402"/>
      <c r="H218" s="402">
        <f>'Products x speed'!J72</f>
        <v>0</v>
      </c>
      <c r="I218" s="402">
        <f>'Products x speed'!K72</f>
        <v>0</v>
      </c>
      <c r="J218" s="402">
        <f>'Products x speed'!L72</f>
        <v>0</v>
      </c>
      <c r="K218" s="402">
        <f>'Products x speed'!M72</f>
        <v>0</v>
      </c>
      <c r="L218" s="402">
        <f>'Products x speed'!N72</f>
        <v>0</v>
      </c>
      <c r="M218" s="402">
        <f>'Products x speed'!O72</f>
        <v>0</v>
      </c>
      <c r="T218" s="29"/>
    </row>
    <row r="219" spans="1:20" s="29" customFormat="1">
      <c r="A219" s="293"/>
      <c r="B219" s="286" t="s">
        <v>446</v>
      </c>
      <c r="C219" s="555"/>
      <c r="D219" s="402"/>
      <c r="E219" s="402"/>
      <c r="F219" s="402"/>
      <c r="G219" s="402"/>
      <c r="H219" s="402"/>
      <c r="I219" s="402"/>
      <c r="J219" s="402"/>
      <c r="K219" s="402">
        <f>'Products x speed'!M78</f>
        <v>0</v>
      </c>
      <c r="L219" s="402">
        <f>'Products x speed'!N78</f>
        <v>0</v>
      </c>
      <c r="M219" s="402">
        <f>'Products x speed'!O78</f>
        <v>0</v>
      </c>
    </row>
    <row r="220" spans="1:20" s="4" customFormat="1">
      <c r="A220" s="273"/>
      <c r="B220" s="403" t="s">
        <v>120</v>
      </c>
      <c r="C220" s="556"/>
      <c r="D220" s="404"/>
      <c r="E220" s="404"/>
      <c r="F220" s="404"/>
      <c r="G220" s="404"/>
      <c r="H220" s="404"/>
      <c r="I220" s="404"/>
      <c r="J220" s="404"/>
      <c r="K220" s="404"/>
      <c r="L220" s="404"/>
      <c r="M220" s="404"/>
      <c r="T220" s="29"/>
    </row>
    <row r="221" spans="1:20" s="4" customFormat="1">
      <c r="A221" s="273"/>
      <c r="B221" s="405" t="s">
        <v>168</v>
      </c>
      <c r="C221" s="556">
        <f>'Products x speed'!E10+'Products x speed'!E11+'Products x speed'!E12</f>
        <v>9071235.0050000008</v>
      </c>
      <c r="D221" s="406">
        <f>'Products x speed'!F10+'Products x speed'!F11+'Products x speed'!F12</f>
        <v>6995211.0500000007</v>
      </c>
      <c r="E221" s="406">
        <f>'Products x speed'!G10+'Products x speed'!G11+'Products x speed'!G12</f>
        <v>0</v>
      </c>
      <c r="F221" s="406">
        <f>'Products x speed'!H10+'Products x speed'!H11+'Products x speed'!H12</f>
        <v>0</v>
      </c>
      <c r="G221" s="406">
        <f>'Products x speed'!I10+'Products x speed'!I11+'Products x speed'!I12</f>
        <v>0</v>
      </c>
      <c r="H221" s="406">
        <f>'Products x speed'!J10+'Products x speed'!J11+'Products x speed'!J12</f>
        <v>0</v>
      </c>
      <c r="I221" s="406">
        <f>'Products x speed'!K10+'Products x speed'!K11+'Products x speed'!K12</f>
        <v>0</v>
      </c>
      <c r="J221" s="406">
        <f>'Products x speed'!L10+'Products x speed'!L11+'Products x speed'!L12</f>
        <v>0</v>
      </c>
      <c r="K221" s="406">
        <f>'Products x speed'!M10+'Products x speed'!M11+'Products x speed'!M12</f>
        <v>0</v>
      </c>
      <c r="L221" s="406">
        <f>'Products x speed'!N10+'Products x speed'!N11+'Products x speed'!N12</f>
        <v>0</v>
      </c>
      <c r="M221" s="406">
        <f>'Products x speed'!O10+'Products x speed'!O11+'Products x speed'!O12</f>
        <v>0</v>
      </c>
      <c r="T221" s="29"/>
    </row>
    <row r="222" spans="1:20" s="4" customFormat="1">
      <c r="A222" s="273"/>
      <c r="B222" s="405" t="s">
        <v>73</v>
      </c>
      <c r="C222" s="556">
        <f>SUM('Products x speed'!E17:E22)</f>
        <v>7045433</v>
      </c>
      <c r="D222" s="406">
        <f>SUM('Products x speed'!F17:F22)</f>
        <v>7253278.0999999996</v>
      </c>
      <c r="E222" s="406">
        <f>SUM('Products x speed'!G17:G22)</f>
        <v>0</v>
      </c>
      <c r="F222" s="406">
        <f>SUM('Products x speed'!H17:H22)</f>
        <v>0</v>
      </c>
      <c r="G222" s="406">
        <f>SUM('Products x speed'!I17:I22)</f>
        <v>0</v>
      </c>
      <c r="H222" s="406">
        <f>SUM('Products x speed'!J17:J22)</f>
        <v>0</v>
      </c>
      <c r="I222" s="406">
        <f>SUM('Products x speed'!K17:K22)</f>
        <v>0</v>
      </c>
      <c r="J222" s="406">
        <f>SUM('Products x speed'!L17:L22)</f>
        <v>0</v>
      </c>
      <c r="K222" s="406">
        <f>SUM('Products x speed'!M17:M22)</f>
        <v>0</v>
      </c>
      <c r="L222" s="406">
        <f>SUM('Products x speed'!N17:N22)</f>
        <v>0</v>
      </c>
      <c r="M222" s="406">
        <f>SUM('Products x speed'!O17:O22)</f>
        <v>0</v>
      </c>
      <c r="T222" s="29"/>
    </row>
    <row r="223" spans="1:20" s="4" customFormat="1">
      <c r="A223" s="273"/>
      <c r="B223" s="405" t="s">
        <v>74</v>
      </c>
      <c r="C223" s="556">
        <f>SUM('Products x speed'!E25:E26)</f>
        <v>4548</v>
      </c>
      <c r="D223" s="406">
        <f>SUM('Products x speed'!F25:F26)</f>
        <v>17462</v>
      </c>
      <c r="E223" s="406">
        <f>SUM('Products x speed'!G25:G26)</f>
        <v>0</v>
      </c>
      <c r="F223" s="406">
        <f>SUM('Products x speed'!H25:H26)</f>
        <v>0</v>
      </c>
      <c r="G223" s="406">
        <f>SUM('Products x speed'!I25:I26)</f>
        <v>0</v>
      </c>
      <c r="H223" s="406">
        <f>SUM('Products x speed'!J25:J26)</f>
        <v>0</v>
      </c>
      <c r="I223" s="406">
        <f>SUM('Products x speed'!K25:K26)</f>
        <v>0</v>
      </c>
      <c r="J223" s="406">
        <f>SUM('Products x speed'!L25:L26)</f>
        <v>0</v>
      </c>
      <c r="K223" s="406">
        <f>SUM('Products x speed'!M25:M26)</f>
        <v>0</v>
      </c>
      <c r="L223" s="406">
        <f>SUM('Products x speed'!N25:N26)</f>
        <v>0</v>
      </c>
      <c r="M223" s="406">
        <f>SUM('Products x speed'!O25:O26)</f>
        <v>0</v>
      </c>
      <c r="T223" s="29"/>
    </row>
    <row r="224" spans="1:20" s="4" customFormat="1">
      <c r="A224" s="273"/>
      <c r="B224" s="405" t="s">
        <v>130</v>
      </c>
      <c r="C224" s="556">
        <f>SUM('Products x speed'!E30:E35)</f>
        <v>1623570</v>
      </c>
      <c r="D224" s="406">
        <f>SUM('Products x speed'!F30:F35)</f>
        <v>1853294</v>
      </c>
      <c r="E224" s="406">
        <f>SUM('Products x speed'!G30:G35)</f>
        <v>0</v>
      </c>
      <c r="F224" s="406">
        <f>SUM('Products x speed'!H30:H35)</f>
        <v>0</v>
      </c>
      <c r="G224" s="406">
        <f>SUM('Products x speed'!I30:I35)</f>
        <v>0</v>
      </c>
      <c r="H224" s="406">
        <f>SUM('Products x speed'!J30:J35)</f>
        <v>0</v>
      </c>
      <c r="I224" s="406">
        <f>SUM('Products x speed'!K30:K35)</f>
        <v>0</v>
      </c>
      <c r="J224" s="406">
        <f>SUM('Products x speed'!L30:L35)</f>
        <v>0</v>
      </c>
      <c r="K224" s="406">
        <f>SUM('Products x speed'!M30:M35)</f>
        <v>0</v>
      </c>
      <c r="L224" s="406">
        <f>SUM('Products x speed'!N30:N35)</f>
        <v>0</v>
      </c>
      <c r="M224" s="406">
        <f>SUM('Products x speed'!O30:O35)</f>
        <v>0</v>
      </c>
      <c r="T224" s="29"/>
    </row>
    <row r="225" spans="1:20" s="4" customFormat="1">
      <c r="A225" s="273"/>
      <c r="B225" s="405" t="s">
        <v>135</v>
      </c>
      <c r="C225" s="556"/>
      <c r="D225" s="406"/>
      <c r="E225" s="406">
        <f>SUM('Products x speed'!G37:G40)</f>
        <v>0</v>
      </c>
      <c r="F225" s="406">
        <f>SUM('Products x speed'!H37:H40)</f>
        <v>0</v>
      </c>
      <c r="G225" s="406">
        <f>SUM('Products x speed'!I37:I40)</f>
        <v>0</v>
      </c>
      <c r="H225" s="406">
        <f>SUM('Products x speed'!J37:J40)</f>
        <v>0</v>
      </c>
      <c r="I225" s="406">
        <f>SUM('Products x speed'!K37:K40)</f>
        <v>0</v>
      </c>
      <c r="J225" s="406">
        <f>SUM('Products x speed'!L37:L40)</f>
        <v>0</v>
      </c>
      <c r="K225" s="406">
        <f>SUM('Products x speed'!M37:M40)</f>
        <v>0</v>
      </c>
      <c r="L225" s="406">
        <f>SUM('Products x speed'!N37:N40)</f>
        <v>0</v>
      </c>
      <c r="M225" s="406">
        <f>SUM('Products x speed'!O37:O40)</f>
        <v>0</v>
      </c>
      <c r="T225" s="29"/>
    </row>
    <row r="226" spans="1:20" s="4" customFormat="1">
      <c r="A226" s="273"/>
      <c r="B226" s="405" t="s">
        <v>129</v>
      </c>
      <c r="C226" s="556">
        <f>SUM('Products x speed'!E47:E59)</f>
        <v>620129</v>
      </c>
      <c r="D226" s="406">
        <f>SUM('Products x speed'!F47:F59)</f>
        <v>2249516</v>
      </c>
      <c r="E226" s="406">
        <f>SUM('Products x speed'!G47:G59)</f>
        <v>0</v>
      </c>
      <c r="F226" s="406">
        <f>SUM('Products x speed'!H47:H59)</f>
        <v>0</v>
      </c>
      <c r="G226" s="406">
        <f>SUM('Products x speed'!I47:I59)</f>
        <v>0</v>
      </c>
      <c r="H226" s="406">
        <f>SUM('Products x speed'!J47:J59)</f>
        <v>0</v>
      </c>
      <c r="I226" s="406">
        <f>SUM('Products x speed'!K47:K59)</f>
        <v>0</v>
      </c>
      <c r="J226" s="406">
        <f>SUM('Products x speed'!L47:L59)</f>
        <v>0</v>
      </c>
      <c r="K226" s="406">
        <f>SUM('Products x speed'!M47:M59)</f>
        <v>0</v>
      </c>
      <c r="L226" s="406">
        <f>SUM('Products x speed'!N47:N59)</f>
        <v>0</v>
      </c>
      <c r="M226" s="406">
        <f>SUM('Products x speed'!O47:O59)</f>
        <v>0</v>
      </c>
      <c r="T226" s="29"/>
    </row>
    <row r="227" spans="1:20" s="4" customFormat="1">
      <c r="A227" s="273"/>
      <c r="B227" s="405" t="s">
        <v>150</v>
      </c>
      <c r="C227" s="556"/>
      <c r="D227" s="406">
        <f>SUM('Products x speed'!F61:F64)</f>
        <v>0</v>
      </c>
      <c r="E227" s="406">
        <f>SUM('Products x speed'!G61:G64)</f>
        <v>0</v>
      </c>
      <c r="F227" s="406">
        <f>SUM('Products x speed'!H61:H64)</f>
        <v>0</v>
      </c>
      <c r="G227" s="406">
        <f>SUM('Products x speed'!I61:I64)</f>
        <v>0</v>
      </c>
      <c r="H227" s="406">
        <f>SUM('Products x speed'!J61:J64)</f>
        <v>0</v>
      </c>
      <c r="I227" s="406">
        <f>SUM('Products x speed'!K61:K64)</f>
        <v>0</v>
      </c>
      <c r="J227" s="406">
        <f>SUM('Products x speed'!L61:L64)</f>
        <v>0</v>
      </c>
      <c r="K227" s="406">
        <f>SUM('Products x speed'!M61:M64)</f>
        <v>0</v>
      </c>
      <c r="L227" s="406">
        <f>SUM('Products x speed'!N61:N64)</f>
        <v>0</v>
      </c>
      <c r="M227" s="406">
        <f>SUM('Products x speed'!O61:O64)</f>
        <v>0</v>
      </c>
      <c r="T227" s="29"/>
    </row>
    <row r="228" spans="1:20" s="4" customFormat="1">
      <c r="A228" s="273"/>
      <c r="B228" s="405" t="s">
        <v>151</v>
      </c>
      <c r="C228" s="556"/>
      <c r="D228" s="406">
        <f>SUM('Products x speed'!F67:F71)</f>
        <v>89</v>
      </c>
      <c r="E228" s="406">
        <f>SUM('Products x speed'!G67:G71)</f>
        <v>0</v>
      </c>
      <c r="F228" s="406">
        <f>SUM('Products x speed'!H67:H71)</f>
        <v>0</v>
      </c>
      <c r="G228" s="406">
        <f>SUM('Products x speed'!I67:I71)</f>
        <v>0</v>
      </c>
      <c r="H228" s="406">
        <f>SUM('Products x speed'!J67:J71)</f>
        <v>0</v>
      </c>
      <c r="I228" s="406">
        <f>SUM('Products x speed'!K67:K71)</f>
        <v>0</v>
      </c>
      <c r="J228" s="406">
        <f>SUM('Products x speed'!L67:L71)</f>
        <v>0</v>
      </c>
      <c r="K228" s="406">
        <f>SUM('Products x speed'!M67:M71)</f>
        <v>0</v>
      </c>
      <c r="L228" s="406">
        <f>SUM('Products x speed'!N67:N71)</f>
        <v>0</v>
      </c>
      <c r="M228" s="406">
        <f>SUM('Products x speed'!O67:O71)</f>
        <v>0</v>
      </c>
      <c r="T228" s="29"/>
    </row>
    <row r="229" spans="1:20" s="4" customFormat="1">
      <c r="A229" s="273"/>
      <c r="B229" s="405" t="s">
        <v>447</v>
      </c>
      <c r="C229" s="556"/>
      <c r="D229" s="406"/>
      <c r="E229" s="406"/>
      <c r="F229" s="406"/>
      <c r="G229" s="406"/>
      <c r="H229" s="406">
        <f>SUM('Products x speed'!J73:J77)</f>
        <v>0</v>
      </c>
      <c r="I229" s="406">
        <f>SUM('Products x speed'!K73:K77)</f>
        <v>0</v>
      </c>
      <c r="J229" s="406">
        <f>SUM('Products x speed'!L73:L77)</f>
        <v>0</v>
      </c>
      <c r="K229" s="406">
        <f>SUM('Products x speed'!M73:M77)</f>
        <v>0</v>
      </c>
      <c r="L229" s="406">
        <f>SUM('Products x speed'!N73:N77)</f>
        <v>0</v>
      </c>
      <c r="M229" s="406">
        <f>SUM('Products x speed'!O73:O77)</f>
        <v>0</v>
      </c>
      <c r="T229" s="29"/>
    </row>
    <row r="230" spans="1:20" s="4" customFormat="1">
      <c r="A230" s="273"/>
      <c r="B230" s="650" t="s">
        <v>448</v>
      </c>
      <c r="C230" s="404"/>
      <c r="D230" s="406"/>
      <c r="E230" s="406"/>
      <c r="F230" s="406"/>
      <c r="G230" s="406"/>
      <c r="H230" s="406"/>
      <c r="I230" s="406"/>
      <c r="J230" s="406"/>
      <c r="K230" s="406">
        <f>SUM('Products x speed'!M79:M82)</f>
        <v>0</v>
      </c>
      <c r="L230" s="406">
        <f>SUM('Products x speed'!N79:N82)</f>
        <v>0</v>
      </c>
      <c r="M230" s="406">
        <f>SUM('Products x speed'!O79:O82)</f>
        <v>0</v>
      </c>
      <c r="T230" s="29"/>
    </row>
    <row r="231" spans="1:20" s="4" customFormat="1">
      <c r="A231" s="273"/>
      <c r="B231" s="187"/>
      <c r="T231" s="29"/>
    </row>
    <row r="232" spans="1:20" s="4" customFormat="1">
      <c r="A232" s="273"/>
      <c r="B232" s="651" t="s">
        <v>149</v>
      </c>
      <c r="C232" s="294"/>
      <c r="D232" s="294"/>
      <c r="E232" s="294"/>
      <c r="F232" s="294"/>
      <c r="G232" s="294"/>
      <c r="H232" s="294"/>
      <c r="I232" s="294"/>
      <c r="J232" s="294"/>
      <c r="T232" s="29"/>
    </row>
    <row r="233" spans="1:20" s="4" customFormat="1">
      <c r="A233" s="273"/>
      <c r="B233" s="652" t="s">
        <v>449</v>
      </c>
      <c r="C233" s="627">
        <f>(C210+C221)/SUM(C210:C230)</f>
        <v>0.37511818939959324</v>
      </c>
      <c r="D233" s="627">
        <f t="shared" ref="D233" si="22">(D210+D221)/SUM(D210:D230)</f>
        <v>0.2960701521301668</v>
      </c>
      <c r="E233" s="627"/>
      <c r="F233" s="627"/>
      <c r="G233" s="627"/>
      <c r="H233" s="627"/>
      <c r="I233" s="627"/>
      <c r="J233" s="627"/>
      <c r="K233" s="627"/>
      <c r="L233" s="627"/>
      <c r="M233" s="627"/>
      <c r="T233" s="29"/>
    </row>
    <row r="234" spans="1:20" s="4" customFormat="1">
      <c r="A234" s="273"/>
      <c r="B234" s="652" t="s">
        <v>450</v>
      </c>
      <c r="C234" s="627">
        <f>(C211+C222)/SUM(C$210:C$228)</f>
        <v>0.51196179202262815</v>
      </c>
      <c r="D234" s="627">
        <f t="shared" ref="D234" si="23">(D211+D222)/SUM(D$210:D$228)</f>
        <v>0.52379682980572895</v>
      </c>
      <c r="E234" s="627"/>
      <c r="F234" s="627"/>
      <c r="G234" s="627"/>
      <c r="H234" s="627"/>
      <c r="I234" s="627"/>
      <c r="J234" s="627"/>
      <c r="K234" s="627"/>
      <c r="L234" s="627"/>
      <c r="M234" s="627"/>
      <c r="T234" s="29"/>
    </row>
    <row r="235" spans="1:20" s="4" customFormat="1">
      <c r="A235" s="273"/>
      <c r="B235" s="652" t="s">
        <v>451</v>
      </c>
      <c r="C235" s="627">
        <f t="shared" ref="C235:D235" si="24">(C212+C223)/SUM(C$210:C$228)</f>
        <v>3.2332125828659351E-4</v>
      </c>
      <c r="D235" s="627">
        <f t="shared" si="24"/>
        <v>2.976197420778683E-3</v>
      </c>
      <c r="E235" s="627"/>
      <c r="F235" s="627"/>
      <c r="G235" s="627"/>
      <c r="H235" s="627"/>
      <c r="I235" s="627"/>
      <c r="J235" s="627"/>
      <c r="K235" s="627"/>
      <c r="L235" s="627"/>
      <c r="M235" s="627"/>
      <c r="T235" s="29"/>
    </row>
    <row r="236" spans="1:20" s="4" customFormat="1">
      <c r="A236" s="273"/>
      <c r="B236" s="652" t="s">
        <v>452</v>
      </c>
      <c r="C236" s="627">
        <f t="shared" ref="C236:D236" si="25">(C213+C224)/SUM(C$210:C$228)</f>
        <v>8.7177519516264138E-2</v>
      </c>
      <c r="D236" s="627">
        <f t="shared" si="25"/>
        <v>0.10148069767554208</v>
      </c>
      <c r="E236" s="627"/>
      <c r="F236" s="627"/>
      <c r="G236" s="627"/>
      <c r="H236" s="627"/>
      <c r="I236" s="627"/>
      <c r="J236" s="627"/>
      <c r="K236" s="627"/>
      <c r="L236" s="627"/>
      <c r="M236" s="627"/>
      <c r="T236" s="29"/>
    </row>
    <row r="237" spans="1:20" s="4" customFormat="1">
      <c r="B237" s="652" t="s">
        <v>235</v>
      </c>
      <c r="C237" s="627">
        <f t="shared" ref="C237:D237" si="26">(C214+C225)/SUM(C$210:C$228)</f>
        <v>0</v>
      </c>
      <c r="D237" s="627">
        <f t="shared" si="26"/>
        <v>0</v>
      </c>
      <c r="E237" s="627"/>
      <c r="F237" s="627"/>
      <c r="G237" s="627"/>
      <c r="H237" s="627"/>
      <c r="I237" s="627"/>
      <c r="J237" s="627"/>
      <c r="K237" s="627"/>
      <c r="L237" s="627"/>
      <c r="M237" s="627"/>
      <c r="T237" s="29"/>
    </row>
    <row r="238" spans="1:20" s="4" customFormat="1">
      <c r="B238" s="652" t="s">
        <v>355</v>
      </c>
      <c r="C238" s="627">
        <f t="shared" ref="C238:D238" si="27">(C215+C226)/SUM(C$210:C$228)</f>
        <v>2.5419177803227763E-2</v>
      </c>
      <c r="D238" s="627">
        <f t="shared" si="27"/>
        <v>7.5673785646841157E-2</v>
      </c>
      <c r="E238" s="627"/>
      <c r="F238" s="627"/>
      <c r="G238" s="627"/>
      <c r="H238" s="627"/>
      <c r="I238" s="627"/>
      <c r="J238" s="627"/>
      <c r="K238" s="627"/>
      <c r="L238" s="627"/>
      <c r="M238" s="627"/>
      <c r="T238" s="29"/>
    </row>
    <row r="239" spans="1:20" s="4" customFormat="1">
      <c r="B239" s="652" t="s">
        <v>453</v>
      </c>
      <c r="C239" s="627">
        <f>(C216+C227)/SUM(C$210:C$228)</f>
        <v>0</v>
      </c>
      <c r="D239" s="627">
        <f t="shared" ref="D239" si="28">(D216+D227)/SUM(D$210:D$228)</f>
        <v>0</v>
      </c>
      <c r="E239" s="627"/>
      <c r="F239" s="627"/>
      <c r="G239" s="627"/>
      <c r="H239" s="627"/>
      <c r="I239" s="627"/>
      <c r="J239" s="627"/>
      <c r="K239" s="627"/>
      <c r="L239" s="627"/>
      <c r="M239" s="627"/>
      <c r="T239" s="29"/>
    </row>
    <row r="240" spans="1:20" s="4" customFormat="1">
      <c r="B240" s="652" t="s">
        <v>454</v>
      </c>
      <c r="C240" s="627">
        <f t="shared" ref="C240:D240" si="29">(C217+C228)/SUM(C$210:C$228)</f>
        <v>0</v>
      </c>
      <c r="D240" s="627">
        <f t="shared" si="29"/>
        <v>2.3373209424876932E-6</v>
      </c>
      <c r="E240" s="627"/>
      <c r="F240" s="627"/>
      <c r="G240" s="627"/>
      <c r="H240" s="627"/>
      <c r="I240" s="627"/>
      <c r="J240" s="627"/>
      <c r="K240" s="627"/>
      <c r="L240" s="627"/>
      <c r="M240" s="627"/>
      <c r="T240" s="29"/>
    </row>
    <row r="241" spans="1:27" s="4" customFormat="1">
      <c r="B241" s="652" t="s">
        <v>346</v>
      </c>
      <c r="C241" s="627">
        <f t="shared" ref="C241:D241" si="30">(C218+C229)/SUM(C$210:C$228)</f>
        <v>0</v>
      </c>
      <c r="D241" s="627">
        <f t="shared" si="30"/>
        <v>0</v>
      </c>
      <c r="E241" s="627"/>
      <c r="F241" s="627"/>
      <c r="G241" s="627"/>
      <c r="H241" s="627"/>
      <c r="I241" s="627"/>
      <c r="J241" s="627"/>
      <c r="K241" s="627"/>
      <c r="L241" s="627"/>
      <c r="M241" s="627"/>
      <c r="T241" s="29"/>
    </row>
    <row r="242" spans="1:27" s="29" customFormat="1">
      <c r="B242" s="652" t="s">
        <v>430</v>
      </c>
      <c r="C242" s="627">
        <f t="shared" ref="C242:D242" si="31">(C219+C230)/SUM(C$210:C$228)</f>
        <v>0</v>
      </c>
      <c r="D242" s="654">
        <f t="shared" si="31"/>
        <v>0</v>
      </c>
      <c r="E242" s="654"/>
      <c r="F242" s="654"/>
      <c r="G242" s="654"/>
      <c r="H242" s="654"/>
      <c r="I242" s="654"/>
      <c r="J242" s="654"/>
      <c r="K242" s="654"/>
      <c r="L242" s="654"/>
      <c r="M242" s="654"/>
    </row>
    <row r="243" spans="1:27" s="4" customFormat="1">
      <c r="A243" s="407"/>
      <c r="B243" s="653" t="s">
        <v>145</v>
      </c>
      <c r="T243" s="29"/>
    </row>
    <row r="244" spans="1:27" s="4" customFormat="1">
      <c r="A244" s="407"/>
      <c r="B244" s="652" t="s">
        <v>152</v>
      </c>
      <c r="C244" s="276">
        <f>SUM(C210:C219)</f>
        <v>17803446.030000001</v>
      </c>
      <c r="D244" s="276">
        <f t="shared" ref="D244" si="32">SUM(D210:D219)</f>
        <v>19708933</v>
      </c>
      <c r="E244" s="276"/>
      <c r="F244" s="276"/>
      <c r="G244" s="276"/>
      <c r="H244" s="276"/>
      <c r="I244" s="276"/>
      <c r="J244" s="276"/>
      <c r="K244" s="276"/>
      <c r="L244" s="276"/>
      <c r="M244" s="276"/>
      <c r="T244" s="29"/>
    </row>
    <row r="245" spans="1:27" s="4" customFormat="1">
      <c r="A245" s="407"/>
      <c r="B245" s="652" t="s">
        <v>153</v>
      </c>
      <c r="C245" s="276">
        <f>SUM(C221:C230)</f>
        <v>18364915.005000003</v>
      </c>
      <c r="D245" s="276">
        <f t="shared" ref="D245" si="33">SUM(D221:D230)</f>
        <v>18368850.149999999</v>
      </c>
      <c r="E245" s="276"/>
      <c r="F245" s="276"/>
      <c r="G245" s="276"/>
      <c r="H245" s="276"/>
      <c r="I245" s="276"/>
      <c r="J245" s="276"/>
      <c r="K245" s="276"/>
      <c r="L245" s="276"/>
      <c r="M245" s="276"/>
      <c r="T245" s="29"/>
    </row>
    <row r="246" spans="1:27" s="4" customFormat="1">
      <c r="A246" s="407"/>
      <c r="B246" s="652" t="s">
        <v>78</v>
      </c>
      <c r="C246" s="627">
        <f t="shared" ref="C246:D246" si="34">SUM(C210:C217)/SUM(C210:C228)</f>
        <v>0.49223811974149628</v>
      </c>
      <c r="D246" s="274">
        <f t="shared" si="34"/>
        <v>0.51759665005603139</v>
      </c>
      <c r="E246" s="274"/>
      <c r="F246" s="274"/>
      <c r="G246" s="274"/>
      <c r="H246" s="274"/>
      <c r="I246" s="274"/>
      <c r="J246" s="274"/>
      <c r="K246" s="274"/>
      <c r="L246" s="274"/>
      <c r="M246" s="274"/>
      <c r="T246" s="29"/>
    </row>
    <row r="247" spans="1:27" s="4" customFormat="1">
      <c r="A247" s="407"/>
      <c r="B247" s="652" t="s">
        <v>79</v>
      </c>
      <c r="C247" s="627">
        <f t="shared" ref="C247:D247" si="35">SUM(C221:C228)/SUM(C210:C228)</f>
        <v>0.50776188025850366</v>
      </c>
      <c r="D247" s="274">
        <f t="shared" si="35"/>
        <v>0.48240334994396855</v>
      </c>
      <c r="E247" s="274"/>
      <c r="F247" s="274"/>
      <c r="G247" s="274"/>
      <c r="H247" s="274"/>
      <c r="I247" s="274"/>
      <c r="J247" s="274"/>
      <c r="K247" s="274"/>
      <c r="L247" s="274"/>
      <c r="M247" s="274"/>
      <c r="T247" s="29"/>
    </row>
    <row r="248" spans="1:27" s="4" customFormat="1">
      <c r="A248" s="273"/>
      <c r="B248" s="652"/>
      <c r="C248" s="19"/>
      <c r="T248" s="29"/>
    </row>
    <row r="249" spans="1:27" s="4" customFormat="1">
      <c r="B249" s="162" t="s">
        <v>455</v>
      </c>
      <c r="C249" s="280"/>
      <c r="D249" s="273"/>
      <c r="E249" s="273"/>
      <c r="F249" s="273"/>
      <c r="G249" s="273"/>
      <c r="H249" s="273"/>
      <c r="I249" s="273"/>
      <c r="J249" s="273"/>
      <c r="K249" s="273"/>
      <c r="L249" s="273"/>
      <c r="M249" s="273"/>
    </row>
    <row r="250" spans="1:27" s="4" customFormat="1">
      <c r="A250" s="273"/>
      <c r="B250" s="287" t="s">
        <v>152</v>
      </c>
      <c r="C250" s="276">
        <f>SUM(C215:C219)</f>
        <v>299241</v>
      </c>
      <c r="D250" s="276">
        <f t="shared" ref="D250" si="36">SUM(D215:D219)</f>
        <v>631974</v>
      </c>
      <c r="E250" s="276"/>
      <c r="F250" s="276"/>
      <c r="G250" s="276"/>
      <c r="H250" s="276"/>
      <c r="I250" s="276"/>
      <c r="J250" s="276"/>
      <c r="K250" s="276"/>
      <c r="L250" s="276"/>
      <c r="M250" s="276"/>
    </row>
    <row r="251" spans="1:27" s="4" customFormat="1">
      <c r="A251" s="273"/>
      <c r="B251" s="287" t="s">
        <v>153</v>
      </c>
      <c r="C251" s="276">
        <f>SUM(C226:C230)</f>
        <v>620129</v>
      </c>
      <c r="D251" s="276">
        <f t="shared" ref="D251" si="37">SUM(D226:D230)</f>
        <v>2249605</v>
      </c>
      <c r="E251" s="276"/>
      <c r="F251" s="276"/>
      <c r="G251" s="276"/>
      <c r="H251" s="276"/>
      <c r="I251" s="276"/>
      <c r="J251" s="276"/>
      <c r="K251" s="276"/>
      <c r="L251" s="276"/>
      <c r="M251" s="276"/>
    </row>
    <row r="252" spans="1:27" s="4" customFormat="1">
      <c r="A252" s="273"/>
      <c r="B252" s="287" t="s">
        <v>78</v>
      </c>
      <c r="C252" s="627">
        <f>C250/(C250+C251)</f>
        <v>0.32548484288153845</v>
      </c>
      <c r="D252" s="274">
        <f t="shared" ref="D252" si="38">D250/(D250+D251)</f>
        <v>0.21931517407643517</v>
      </c>
      <c r="E252" s="274"/>
      <c r="F252" s="274"/>
      <c r="G252" s="274"/>
      <c r="H252" s="274"/>
      <c r="I252" s="274"/>
      <c r="J252" s="274"/>
      <c r="K252" s="274"/>
      <c r="L252" s="274"/>
      <c r="M252" s="274"/>
    </row>
    <row r="253" spans="1:27" s="4" customFormat="1">
      <c r="A253" s="273"/>
      <c r="B253" s="287" t="s">
        <v>79</v>
      </c>
      <c r="C253" s="627">
        <f t="shared" ref="C253:D253" si="39">1-C252</f>
        <v>0.67451515711846155</v>
      </c>
      <c r="D253" s="274">
        <f t="shared" si="39"/>
        <v>0.78068482592356481</v>
      </c>
      <c r="E253" s="274"/>
      <c r="F253" s="274"/>
      <c r="G253" s="274"/>
      <c r="H253" s="274"/>
      <c r="I253" s="274"/>
      <c r="J253" s="274"/>
      <c r="K253" s="274"/>
      <c r="L253" s="274"/>
      <c r="M253" s="274"/>
    </row>
    <row r="254" spans="1:27" s="4" customFormat="1">
      <c r="A254" s="273"/>
      <c r="T254" s="29"/>
      <c r="U254" s="29"/>
      <c r="V254" s="29"/>
      <c r="W254" s="29"/>
      <c r="X254" s="29"/>
      <c r="Y254" s="29"/>
      <c r="Z254" s="29"/>
      <c r="AA254" s="29"/>
    </row>
    <row r="255" spans="1:27" s="4" customFormat="1" ht="21">
      <c r="A255" s="273"/>
      <c r="B255" s="17" t="s">
        <v>171</v>
      </c>
      <c r="T255" s="29"/>
    </row>
    <row r="256" spans="1:27" s="4" customFormat="1" ht="22.5" customHeight="1">
      <c r="A256" s="273"/>
      <c r="T256" s="29"/>
    </row>
    <row r="258" spans="1:20" s="4" customFormat="1" ht="13.5" customHeight="1">
      <c r="A258" s="273"/>
      <c r="B258" s="17"/>
      <c r="T258" s="29"/>
    </row>
    <row r="259" spans="1:20" s="4" customFormat="1" ht="13.5" customHeight="1">
      <c r="A259" s="273"/>
      <c r="B259" s="17"/>
      <c r="T259" s="29"/>
    </row>
    <row r="260" spans="1:20" s="4" customFormat="1" ht="13.5" customHeight="1">
      <c r="A260" s="273"/>
      <c r="B260" s="17"/>
      <c r="T260" s="29"/>
    </row>
    <row r="261" spans="1:20" s="4" customFormat="1" ht="13.5" customHeight="1">
      <c r="A261" s="273"/>
      <c r="B261" s="17"/>
      <c r="T261" s="29"/>
    </row>
    <row r="262" spans="1:20" s="4" customFormat="1" ht="13.5" customHeight="1">
      <c r="A262" s="273"/>
      <c r="B262" s="17"/>
      <c r="T262" s="29"/>
    </row>
    <row r="263" spans="1:20" s="4" customFormat="1">
      <c r="A263" s="273"/>
      <c r="T263" s="29"/>
    </row>
    <row r="264" spans="1:20" s="4" customFormat="1">
      <c r="A264" s="273"/>
      <c r="T264" s="29"/>
    </row>
    <row r="265" spans="1:20" s="4" customFormat="1">
      <c r="A265" s="273"/>
      <c r="T265" s="29"/>
    </row>
    <row r="266" spans="1:20" s="4" customFormat="1">
      <c r="A266" s="273"/>
      <c r="T266" s="29"/>
    </row>
    <row r="267" spans="1:20" s="4" customFormat="1">
      <c r="A267" s="273"/>
      <c r="T267" s="29"/>
    </row>
    <row r="268" spans="1:20" s="4" customFormat="1">
      <c r="A268" s="273"/>
      <c r="T268" s="29"/>
    </row>
    <row r="269" spans="1:20" s="4" customFormat="1">
      <c r="A269" s="273"/>
      <c r="T269" s="29"/>
    </row>
    <row r="270" spans="1:20" s="4" customFormat="1">
      <c r="A270" s="273"/>
      <c r="T270" s="29"/>
    </row>
    <row r="271" spans="1:20" s="4" customFormat="1">
      <c r="A271" s="273"/>
      <c r="T271" s="29"/>
    </row>
    <row r="272" spans="1:20" s="4" customFormat="1">
      <c r="A272" s="273"/>
      <c r="T272" s="29"/>
    </row>
    <row r="273" spans="1:20" s="4" customFormat="1">
      <c r="A273" s="273"/>
      <c r="T273" s="29"/>
    </row>
    <row r="274" spans="1:20" s="4" customFormat="1">
      <c r="A274" s="273"/>
      <c r="T274" s="29"/>
    </row>
    <row r="275" spans="1:20" s="4" customFormat="1">
      <c r="A275" s="273"/>
      <c r="T275" s="29"/>
    </row>
    <row r="276" spans="1:20" s="4" customFormat="1">
      <c r="A276" s="273"/>
      <c r="T276" s="29"/>
    </row>
    <row r="277" spans="1:20" s="4" customFormat="1">
      <c r="A277" s="273"/>
      <c r="B277" s="3" t="s">
        <v>172</v>
      </c>
      <c r="T277" s="29"/>
    </row>
    <row r="278" spans="1:20" s="4" customFormat="1">
      <c r="A278" s="273"/>
      <c r="B278" s="4" t="s">
        <v>173</v>
      </c>
      <c r="T278" s="29"/>
    </row>
    <row r="279" spans="1:20" s="4" customFormat="1">
      <c r="A279" s="273"/>
      <c r="B279" s="4" t="s">
        <v>174</v>
      </c>
      <c r="T279" s="29"/>
    </row>
    <row r="280" spans="1:20" s="4" customFormat="1">
      <c r="A280" s="273"/>
      <c r="B280" s="4" t="s">
        <v>175</v>
      </c>
      <c r="C280" s="383">
        <v>2016</v>
      </c>
      <c r="D280" s="384">
        <v>2017</v>
      </c>
      <c r="E280" s="384">
        <v>2018</v>
      </c>
      <c r="F280" s="384">
        <v>2019</v>
      </c>
      <c r="G280" s="384">
        <v>2020</v>
      </c>
      <c r="H280" s="384">
        <v>2021</v>
      </c>
      <c r="I280" s="384">
        <v>2022</v>
      </c>
      <c r="J280" s="384">
        <v>2023</v>
      </c>
      <c r="K280" s="384">
        <v>2024</v>
      </c>
      <c r="L280" s="384">
        <v>2025</v>
      </c>
      <c r="M280" s="384">
        <v>2026</v>
      </c>
      <c r="T280" s="29"/>
    </row>
    <row r="281" spans="1:20" s="4" customFormat="1" ht="15.6">
      <c r="A281" s="273"/>
      <c r="B281" s="596" t="s">
        <v>69</v>
      </c>
      <c r="C281" s="392">
        <f>SUM('Products x speed'!E9)</f>
        <v>4496175.0999999996</v>
      </c>
      <c r="D281" s="385">
        <f>SUM('Products x speed'!F9)</f>
        <v>4278484</v>
      </c>
      <c r="E281" s="385">
        <f>SUM('Products x speed'!G9)</f>
        <v>0</v>
      </c>
      <c r="F281" s="385">
        <f>SUM('Products x speed'!H9)</f>
        <v>0</v>
      </c>
      <c r="G281" s="385">
        <f>SUM('Products x speed'!I9)</f>
        <v>0</v>
      </c>
      <c r="H281" s="385">
        <f>SUM('Products x speed'!J9)</f>
        <v>0</v>
      </c>
      <c r="I281" s="385">
        <f>SUM('Products x speed'!K9)</f>
        <v>0</v>
      </c>
      <c r="J281" s="385">
        <f>SUM('Products x speed'!L9)</f>
        <v>0</v>
      </c>
      <c r="K281" s="385">
        <f>SUM('Products x speed'!M9)</f>
        <v>0</v>
      </c>
      <c r="L281" s="385">
        <f>SUM('Products x speed'!N9)</f>
        <v>0</v>
      </c>
      <c r="M281" s="385">
        <f>SUM('Products x speed'!O9)</f>
        <v>0</v>
      </c>
      <c r="T281" s="29"/>
    </row>
    <row r="282" spans="1:20" s="4" customFormat="1" ht="15.6">
      <c r="A282" s="273"/>
      <c r="B282" s="597" t="s">
        <v>70</v>
      </c>
      <c r="C282" s="392">
        <f>SUM('Products x speed'!E14:E16)+SUM('Products x speed'!E27:E29)</f>
        <v>13000883.93</v>
      </c>
      <c r="D282" s="385">
        <f>SUM('Products x speed'!F14:F16)+SUM('Products x speed'!F27:F29)</f>
        <v>14702610</v>
      </c>
      <c r="E282" s="385">
        <f>SUM('Products x speed'!G14:G16)+SUM('Products x speed'!G27:G29)</f>
        <v>0</v>
      </c>
      <c r="F282" s="385">
        <f>SUM('Products x speed'!H14:H16)+SUM('Products x speed'!H27:H29)</f>
        <v>0</v>
      </c>
      <c r="G282" s="385">
        <f>SUM('Products x speed'!I14:I16)+SUM('Products x speed'!I27:I29)</f>
        <v>0</v>
      </c>
      <c r="H282" s="385">
        <f>SUM('Products x speed'!J14:J16)+SUM('Products x speed'!J27:J29)</f>
        <v>0</v>
      </c>
      <c r="I282" s="385">
        <f>SUM('Products x speed'!K14:K16)+SUM('Products x speed'!K27:K29)</f>
        <v>0</v>
      </c>
      <c r="J282" s="385">
        <f>SUM('Products x speed'!L14:L16)+SUM('Products x speed'!L27:L29)</f>
        <v>0</v>
      </c>
      <c r="K282" s="385">
        <f>SUM('Products x speed'!M14:M16)+SUM('Products x speed'!M27:M29)</f>
        <v>0</v>
      </c>
      <c r="L282" s="385">
        <f>SUM('Products x speed'!N14:N16)+SUM('Products x speed'!N27:N29)</f>
        <v>0</v>
      </c>
      <c r="M282" s="385">
        <f>SUM('Products x speed'!O14:O16)+SUM('Products x speed'!O27:O29)</f>
        <v>0</v>
      </c>
      <c r="T282" s="29"/>
    </row>
    <row r="283" spans="1:20" s="4" customFormat="1" ht="15.6">
      <c r="A283" s="273"/>
      <c r="B283" s="598" t="s">
        <v>71</v>
      </c>
      <c r="C283" s="392">
        <f>'Products x speed'!E24+SUM('Products x speed'!E41:E44)+'Products x speed'!E46</f>
        <v>306387</v>
      </c>
      <c r="D283" s="385">
        <f>'Products x speed'!F24+SUM('Products x speed'!F41:F44)+'Products x speed'!F46</f>
        <v>727839</v>
      </c>
      <c r="E283" s="385">
        <f>'Products x speed'!G24+SUM('Products x speed'!G41:G44)+'Products x speed'!G46</f>
        <v>0</v>
      </c>
      <c r="F283" s="385">
        <f>'Products x speed'!H24+SUM('Products x speed'!H41:H44)+'Products x speed'!H46</f>
        <v>0</v>
      </c>
      <c r="G283" s="385">
        <f>'Products x speed'!I24+SUM('Products x speed'!I41:I44)+'Products x speed'!I46</f>
        <v>0</v>
      </c>
      <c r="H283" s="385">
        <f>'Products x speed'!J24+SUM('Products x speed'!J41:J44)+'Products x speed'!J46</f>
        <v>0</v>
      </c>
      <c r="I283" s="385">
        <f>'Products x speed'!K24+SUM('Products x speed'!K41:K44)+'Products x speed'!K46</f>
        <v>0</v>
      </c>
      <c r="J283" s="385">
        <f>'Products x speed'!L24+SUM('Products x speed'!L41:L44)+'Products x speed'!L46</f>
        <v>0</v>
      </c>
      <c r="K283" s="385">
        <f>'Products x speed'!M24+SUM('Products x speed'!M41:M44)+'Products x speed'!M46</f>
        <v>0</v>
      </c>
      <c r="L283" s="385">
        <f>'Products x speed'!N24+SUM('Products x speed'!N41:N44)+'Products x speed'!N46</f>
        <v>0</v>
      </c>
      <c r="M283" s="385">
        <f>'Products x speed'!O24+SUM('Products x speed'!O41:O44)+'Products x speed'!O46</f>
        <v>0</v>
      </c>
      <c r="T283" s="544"/>
    </row>
    <row r="284" spans="1:20" s="4" customFormat="1" ht="15.6">
      <c r="A284" s="273"/>
      <c r="B284" s="658" t="s">
        <v>136</v>
      </c>
      <c r="C284" s="385"/>
      <c r="D284" s="385"/>
      <c r="E284" s="385">
        <f>'Products x speed'!G36+'Products x speed'!G45+'Products x speed'!G60+'Products x speed'!G65</f>
        <v>0</v>
      </c>
      <c r="F284" s="385">
        <f>'Products x speed'!H36+'Products x speed'!H45+'Products x speed'!H60+'Products x speed'!H65</f>
        <v>0</v>
      </c>
      <c r="G284" s="385">
        <f>'Products x speed'!I36+'Products x speed'!I45+'Products x speed'!I60+'Products x speed'!I65</f>
        <v>0</v>
      </c>
      <c r="H284" s="385">
        <f>'Products x speed'!J36+'Products x speed'!J45+'Products x speed'!J60+'Products x speed'!J65</f>
        <v>0</v>
      </c>
      <c r="I284" s="385">
        <f>'Products x speed'!K36+'Products x speed'!K45+'Products x speed'!K60+'Products x speed'!K65</f>
        <v>0</v>
      </c>
      <c r="J284" s="385">
        <f>'Products x speed'!L36+'Products x speed'!L45+'Products x speed'!L60+'Products x speed'!L65</f>
        <v>0</v>
      </c>
      <c r="K284" s="385">
        <f>'Products x speed'!M36+'Products x speed'!M45+'Products x speed'!M60+'Products x speed'!M65</f>
        <v>0</v>
      </c>
      <c r="L284" s="385">
        <f>'Products x speed'!N36+'Products x speed'!N45+'Products x speed'!N60+'Products x speed'!N65</f>
        <v>0</v>
      </c>
      <c r="M284" s="385">
        <f>'Products x speed'!O36+'Products x speed'!O45+'Products x speed'!O60+'Products x speed'!O65</f>
        <v>0</v>
      </c>
      <c r="N284" s="29" t="s">
        <v>468</v>
      </c>
      <c r="T284" s="545"/>
    </row>
    <row r="285" spans="1:20" s="4" customFormat="1" ht="16.2" thickBot="1">
      <c r="A285" s="273"/>
      <c r="B285" s="661" t="s">
        <v>146</v>
      </c>
      <c r="C285" s="385"/>
      <c r="D285" s="385"/>
      <c r="E285" s="385">
        <f>'Products x speed'!G66+'Products x speed'!G72+'Products x speed'!G78</f>
        <v>0</v>
      </c>
      <c r="F285" s="385">
        <f>'Products x speed'!H66+'Products x speed'!H72+'Products x speed'!H78</f>
        <v>0</v>
      </c>
      <c r="G285" s="385">
        <f>'Products x speed'!I66+'Products x speed'!I72+'Products x speed'!I78</f>
        <v>0</v>
      </c>
      <c r="H285" s="385">
        <f>'Products x speed'!J66+'Products x speed'!J72+'Products x speed'!J78</f>
        <v>0</v>
      </c>
      <c r="I285" s="385">
        <f>'Products x speed'!K66+'Products x speed'!K72+'Products x speed'!K78</f>
        <v>0</v>
      </c>
      <c r="J285" s="385">
        <f>'Products x speed'!L66+'Products x speed'!L72+'Products x speed'!L78</f>
        <v>0</v>
      </c>
      <c r="K285" s="385">
        <f>'Products x speed'!M66+'Products x speed'!M72+'Products x speed'!M78</f>
        <v>0</v>
      </c>
      <c r="L285" s="385">
        <f>'Products x speed'!N66+'Products x speed'!N72+'Products x speed'!N78</f>
        <v>0</v>
      </c>
      <c r="M285" s="385">
        <f>'Products x speed'!O66+'Products x speed'!O72+'Products x speed'!O78</f>
        <v>0</v>
      </c>
      <c r="N285" s="29" t="s">
        <v>464</v>
      </c>
      <c r="T285" s="545"/>
    </row>
    <row r="286" spans="1:20" s="4" customFormat="1" ht="16.2" thickBot="1">
      <c r="A286" s="273"/>
      <c r="B286" s="692" t="s">
        <v>147</v>
      </c>
      <c r="C286" s="690"/>
      <c r="D286" s="691"/>
      <c r="E286" s="691"/>
      <c r="F286" s="691"/>
      <c r="G286" s="691"/>
      <c r="H286" s="691"/>
      <c r="I286" s="691"/>
      <c r="J286" s="691"/>
      <c r="K286" s="691"/>
      <c r="L286" s="691"/>
      <c r="M286" s="691"/>
      <c r="N286" s="29"/>
      <c r="T286" s="545"/>
    </row>
    <row r="287" spans="1:20" s="4" customFormat="1" ht="15.6">
      <c r="A287" s="273"/>
      <c r="B287" s="599" t="s">
        <v>72</v>
      </c>
      <c r="C287" s="392">
        <f>SUM('Products x speed'!E10:E12)</f>
        <v>9071235.0050000008</v>
      </c>
      <c r="D287" s="385">
        <f>SUM('Products x speed'!F10:F12)</f>
        <v>6995211.0500000007</v>
      </c>
      <c r="E287" s="385">
        <f>SUM('Products x speed'!G10:G12)</f>
        <v>0</v>
      </c>
      <c r="F287" s="385">
        <f>SUM('Products x speed'!H10:H12)</f>
        <v>0</v>
      </c>
      <c r="G287" s="385">
        <f>SUM('Products x speed'!I10:I12)</f>
        <v>0</v>
      </c>
      <c r="H287" s="385">
        <f>SUM('Products x speed'!J10:J12)</f>
        <v>0</v>
      </c>
      <c r="I287" s="385">
        <f>SUM('Products x speed'!K10:K12)</f>
        <v>0</v>
      </c>
      <c r="J287" s="385">
        <f>SUM('Products x speed'!L10:L12)</f>
        <v>0</v>
      </c>
      <c r="K287" s="385">
        <f>SUM('Products x speed'!M10:M12)</f>
        <v>0</v>
      </c>
      <c r="L287" s="385">
        <f>SUM('Products x speed'!N10:N12)</f>
        <v>0</v>
      </c>
      <c r="M287" s="385">
        <f>SUM('Products x speed'!O10:O12)</f>
        <v>0</v>
      </c>
      <c r="N287" s="29"/>
    </row>
    <row r="288" spans="1:20" s="4" customFormat="1" ht="15.6">
      <c r="A288" s="273"/>
      <c r="B288" s="600" t="s">
        <v>73</v>
      </c>
      <c r="C288" s="392">
        <f>SUM('Products x speed'!E17:E22)+SUM('Products x speed'!E30:E35)</f>
        <v>8669003</v>
      </c>
      <c r="D288" s="385">
        <f>SUM('Products x speed'!F17:F22)+SUM('Products x speed'!F30:F35)</f>
        <v>9106572.0999999996</v>
      </c>
      <c r="E288" s="385">
        <f>SUM('Products x speed'!G17:G22)+SUM('Products x speed'!G30:G35)</f>
        <v>0</v>
      </c>
      <c r="F288" s="385">
        <f>SUM('Products x speed'!H17:H22)+SUM('Products x speed'!H30:H35)</f>
        <v>0</v>
      </c>
      <c r="G288" s="385">
        <f>SUM('Products x speed'!I17:I22)+SUM('Products x speed'!I30:I35)</f>
        <v>0</v>
      </c>
      <c r="H288" s="385">
        <f>SUM('Products x speed'!J17:J22)+SUM('Products x speed'!J30:J35)</f>
        <v>0</v>
      </c>
      <c r="I288" s="385">
        <f>SUM('Products x speed'!K17:K22)+SUM('Products x speed'!K30:K35)</f>
        <v>0</v>
      </c>
      <c r="J288" s="385">
        <f>SUM('Products x speed'!L17:L22)+SUM('Products x speed'!L30:L35)</f>
        <v>0</v>
      </c>
      <c r="K288" s="385">
        <f>SUM('Products x speed'!M17:M22)+SUM('Products x speed'!M30:M35)</f>
        <v>0</v>
      </c>
      <c r="L288" s="385">
        <f>SUM('Products x speed'!N17:N22)+SUM('Products x speed'!N30:N35)</f>
        <v>0</v>
      </c>
      <c r="M288" s="385">
        <f>SUM('Products x speed'!O17:O22)+SUM('Products x speed'!O30:O35)</f>
        <v>0</v>
      </c>
      <c r="N288" s="29"/>
      <c r="T288" s="29"/>
    </row>
    <row r="289" spans="1:20" s="4" customFormat="1" ht="15.6">
      <c r="A289" s="273"/>
      <c r="B289" s="601" t="s">
        <v>74</v>
      </c>
      <c r="C289" s="392">
        <f>'Products x speed'!E25+'Products x speed'!E26+SUM('Products x speed'!E47:E59)-'Products x speed'!E48</f>
        <v>624677</v>
      </c>
      <c r="D289" s="385">
        <f>'Products x speed'!F25+'Products x speed'!F26+SUM('Products x speed'!F47:F59)-'Products x speed'!F48</f>
        <v>2266978</v>
      </c>
      <c r="E289" s="385">
        <f>'Products x speed'!G25+'Products x speed'!G26+SUM('Products x speed'!G47:G59)-'Products x speed'!G48</f>
        <v>0</v>
      </c>
      <c r="F289" s="385">
        <f>'Products x speed'!H25+'Products x speed'!H26+SUM('Products x speed'!H47:H59)-'Products x speed'!H48</f>
        <v>0</v>
      </c>
      <c r="G289" s="385">
        <f>'Products x speed'!I25+'Products x speed'!I26+SUM('Products x speed'!I47:I59)-'Products x speed'!I48</f>
        <v>0</v>
      </c>
      <c r="H289" s="385">
        <f>'Products x speed'!J25+'Products x speed'!J26+SUM('Products x speed'!J47:J59)-'Products x speed'!J48</f>
        <v>0</v>
      </c>
      <c r="I289" s="385">
        <f>'Products x speed'!K25+'Products x speed'!K26+SUM('Products x speed'!K47:K59)-'Products x speed'!K48</f>
        <v>0</v>
      </c>
      <c r="J289" s="385">
        <f>'Products x speed'!L25+'Products x speed'!L26+SUM('Products x speed'!L47:L59)-'Products x speed'!L48</f>
        <v>0</v>
      </c>
      <c r="K289" s="385">
        <f>'Products x speed'!M25+'Products x speed'!M26+SUM('Products x speed'!M47:M59)-'Products x speed'!M48</f>
        <v>0</v>
      </c>
      <c r="L289" s="385">
        <f>'Products x speed'!N25+'Products x speed'!N26+SUM('Products x speed'!N47:N59)-'Products x speed'!N48</f>
        <v>0</v>
      </c>
      <c r="M289" s="385">
        <f>'Products x speed'!O25+'Products x speed'!O26+SUM('Products x speed'!O47:O59)-'Products x speed'!O48</f>
        <v>0</v>
      </c>
      <c r="N289" s="29"/>
      <c r="T289" s="29"/>
    </row>
    <row r="290" spans="1:20" s="4" customFormat="1" ht="15.6">
      <c r="A290" s="273"/>
      <c r="B290" s="602" t="s">
        <v>135</v>
      </c>
      <c r="C290" s="392"/>
      <c r="D290" s="385">
        <f>'Products x speed'!F37+'Products x speed'!F38+'Products x speed'!F39+'Products x speed'!F40+'Products x speed'!F62+'Products x speed'!F68+'Products x speed'!F70</f>
        <v>82</v>
      </c>
      <c r="E290" s="385">
        <f>'Products x speed'!G37+'Products x speed'!G38+'Products x speed'!G39+'Products x speed'!G40+'Products x speed'!G62+'Products x speed'!G68+'Products x speed'!G70</f>
        <v>0</v>
      </c>
      <c r="F290" s="385">
        <f>'Products x speed'!H37+'Products x speed'!H38+'Products x speed'!H39+'Products x speed'!H40+'Products x speed'!H62+'Products x speed'!H68+'Products x speed'!H70</f>
        <v>0</v>
      </c>
      <c r="G290" s="385">
        <f>'Products x speed'!I37+'Products x speed'!I38+'Products x speed'!I39+'Products x speed'!I40+'Products x speed'!I62+'Products x speed'!I68+'Products x speed'!I70</f>
        <v>0</v>
      </c>
      <c r="H290" s="385">
        <f>'Products x speed'!J37+'Products x speed'!J38+'Products x speed'!J39+'Products x speed'!J40+'Products x speed'!J62+'Products x speed'!J68+'Products x speed'!J70</f>
        <v>0</v>
      </c>
      <c r="I290" s="385">
        <f>'Products x speed'!K37+'Products x speed'!K38+'Products x speed'!K39+'Products x speed'!K40+'Products x speed'!K62+'Products x speed'!K68+'Products x speed'!K70</f>
        <v>0</v>
      </c>
      <c r="J290" s="385">
        <f>'Products x speed'!L37+'Products x speed'!L38+'Products x speed'!L39+'Products x speed'!L40+'Products x speed'!L62+'Products x speed'!L68+'Products x speed'!L70</f>
        <v>0</v>
      </c>
      <c r="K290" s="385">
        <f>'Products x speed'!M37+'Products x speed'!M38+'Products x speed'!M39+'Products x speed'!M40+'Products x speed'!M62+'Products x speed'!M68+'Products x speed'!M70</f>
        <v>0</v>
      </c>
      <c r="L290" s="385">
        <f>'Products x speed'!N37+'Products x speed'!N38+'Products x speed'!N39+'Products x speed'!N40+'Products x speed'!N62+'Products x speed'!N68+'Products x speed'!N70</f>
        <v>0</v>
      </c>
      <c r="M290" s="385">
        <f>'Products x speed'!O37+'Products x speed'!O38+'Products x speed'!O39+'Products x speed'!O40+'Products x speed'!O62+'Products x speed'!O68+'Products x speed'!O70</f>
        <v>0</v>
      </c>
      <c r="N290" s="502" t="s">
        <v>412</v>
      </c>
      <c r="T290" s="29"/>
    </row>
    <row r="291" spans="1:20" s="4" customFormat="1" ht="15.6">
      <c r="A291" s="273"/>
      <c r="B291" s="659" t="s">
        <v>129</v>
      </c>
      <c r="C291" s="392"/>
      <c r="D291" s="385">
        <f>'Products x speed'!F48+'Products x speed'!F67+'Products x speed'!F69+'Products x speed'!F74+'Products x speed'!F73+'Products x speed'!F75+'Products x speed'!F76+'Products x speed'!F77-(3/4*D292)</f>
        <v>7</v>
      </c>
      <c r="E291" s="385">
        <f>'Products x speed'!G48+'Products x speed'!G67+'Products x speed'!G69+'Products x speed'!G74+'Products x speed'!G73+'Products x speed'!G75+'Products x speed'!G76+'Products x speed'!G77-(3/4*E292)</f>
        <v>0</v>
      </c>
      <c r="F291" s="385">
        <f>'Products x speed'!H48+'Products x speed'!H67+'Products x speed'!H69+'Products x speed'!H74+'Products x speed'!H73+'Products x speed'!H75+'Products x speed'!H76+'Products x speed'!H77-(3/4*F292)</f>
        <v>0</v>
      </c>
      <c r="G291" s="385">
        <f>'Products x speed'!I48+'Products x speed'!I67+'Products x speed'!I69+'Products x speed'!I74+'Products x speed'!I73+'Products x speed'!I75+'Products x speed'!I76+'Products x speed'!I77-(3/4*G292)</f>
        <v>0</v>
      </c>
      <c r="H291" s="385">
        <f>'Products x speed'!J48+'Products x speed'!J67+'Products x speed'!J69+'Products x speed'!J74+'Products x speed'!J73+'Products x speed'!J75+'Products x speed'!J76+'Products x speed'!J77-(3/4*H292)</f>
        <v>0</v>
      </c>
      <c r="I291" s="385">
        <f>'Products x speed'!K48+'Products x speed'!K67+'Products x speed'!K69+'Products x speed'!K74+'Products x speed'!K73+'Products x speed'!K75+'Products x speed'!K76+'Products x speed'!K77-(3/4*I292)</f>
        <v>0</v>
      </c>
      <c r="J291" s="385">
        <f>'Products x speed'!L48+'Products x speed'!L67+'Products x speed'!L69+'Products x speed'!L74+'Products x speed'!L73+'Products x speed'!L75+'Products x speed'!L76+'Products x speed'!L77-(3/4*J292)</f>
        <v>0</v>
      </c>
      <c r="K291" s="385">
        <f>'Products x speed'!M48+'Products x speed'!M67+'Products x speed'!M69+'Products x speed'!M74+'Products x speed'!M73+'Products x speed'!M75+'Products x speed'!M76+'Products x speed'!M77-(3/4*K292)</f>
        <v>0</v>
      </c>
      <c r="L291" s="385">
        <f>'Products x speed'!N48+'Products x speed'!N67+'Products x speed'!N69+'Products x speed'!N74+'Products x speed'!N73+'Products x speed'!N75+'Products x speed'!N76+'Products x speed'!N77-(3/4*L292)</f>
        <v>0</v>
      </c>
      <c r="M291" s="385">
        <f>'Products x speed'!O48+'Products x speed'!O67+'Products x speed'!O69+'Products x speed'!O74+'Products x speed'!O73+'Products x speed'!O75+'Products x speed'!O76+'Products x speed'!O77-(3/4*M292)</f>
        <v>0</v>
      </c>
      <c r="N291" s="502" t="s">
        <v>470</v>
      </c>
      <c r="T291" s="29"/>
    </row>
    <row r="292" spans="1:20" s="4" customFormat="1" ht="15.6">
      <c r="A292" s="273"/>
      <c r="B292" s="660" t="s">
        <v>150</v>
      </c>
      <c r="C292" s="394"/>
      <c r="D292" s="386"/>
      <c r="E292" s="386"/>
      <c r="F292" s="386"/>
      <c r="G292" s="386"/>
      <c r="H292" s="386"/>
      <c r="I292" s="386"/>
      <c r="J292" s="386"/>
      <c r="K292" s="386">
        <f>('Products x speed'!M79+'Products x speed'!M80)*4</f>
        <v>0</v>
      </c>
      <c r="L292" s="386">
        <f>('Products x speed'!N79+'Products x speed'!N80)*4</f>
        <v>0</v>
      </c>
      <c r="M292" s="386">
        <f>('Products x speed'!O79+'Products x speed'!O80)*4</f>
        <v>0</v>
      </c>
      <c r="N292" s="29" t="s">
        <v>469</v>
      </c>
      <c r="O292" s="502"/>
      <c r="T292" s="29"/>
    </row>
    <row r="293" spans="1:20" s="4" customFormat="1">
      <c r="A293" s="273"/>
      <c r="B293" s="102"/>
      <c r="C293" s="189"/>
      <c r="D293" s="189"/>
      <c r="E293" s="189"/>
      <c r="F293" s="189"/>
      <c r="G293" s="189"/>
      <c r="H293" s="189"/>
      <c r="I293" s="189"/>
      <c r="J293" s="189"/>
      <c r="K293" s="189"/>
      <c r="L293" s="189"/>
      <c r="M293" s="189"/>
      <c r="T293" s="29"/>
    </row>
    <row r="294" spans="1:20" s="4" customFormat="1">
      <c r="A294" s="273"/>
      <c r="B294" s="408" t="s">
        <v>76</v>
      </c>
      <c r="C294" s="558"/>
      <c r="D294" s="294"/>
      <c r="E294" s="294"/>
      <c r="F294" s="294"/>
      <c r="G294" s="294"/>
      <c r="H294" s="294"/>
      <c r="I294" s="294"/>
      <c r="J294" s="294"/>
      <c r="K294" s="294"/>
      <c r="L294" s="294"/>
      <c r="M294" s="294"/>
      <c r="T294" s="29"/>
    </row>
    <row r="295" spans="1:20" s="4" customFormat="1">
      <c r="A295" s="273"/>
      <c r="B295" s="287" t="s">
        <v>140</v>
      </c>
      <c r="C295" s="557">
        <f>(C281+C287)/SUM(C$281:C$292)</f>
        <v>0.37511818939959324</v>
      </c>
      <c r="D295" s="627">
        <f t="shared" ref="D295:M295" si="40">(D281+D287)/SUM(D$281:D$292)</f>
        <v>0.2960701521301668</v>
      </c>
      <c r="E295" s="627" t="e">
        <f t="shared" si="40"/>
        <v>#DIV/0!</v>
      </c>
      <c r="F295" s="627" t="e">
        <f t="shared" si="40"/>
        <v>#DIV/0!</v>
      </c>
      <c r="G295" s="627" t="e">
        <f t="shared" si="40"/>
        <v>#DIV/0!</v>
      </c>
      <c r="H295" s="627" t="e">
        <f t="shared" si="40"/>
        <v>#DIV/0!</v>
      </c>
      <c r="I295" s="627" t="e">
        <f t="shared" si="40"/>
        <v>#DIV/0!</v>
      </c>
      <c r="J295" s="627" t="e">
        <f t="shared" si="40"/>
        <v>#DIV/0!</v>
      </c>
      <c r="K295" s="627" t="e">
        <f t="shared" si="40"/>
        <v>#DIV/0!</v>
      </c>
      <c r="L295" s="627" t="e">
        <f t="shared" si="40"/>
        <v>#DIV/0!</v>
      </c>
      <c r="M295" s="627" t="e">
        <f t="shared" si="40"/>
        <v>#DIV/0!</v>
      </c>
      <c r="T295" s="29"/>
    </row>
    <row r="296" spans="1:20" s="4" customFormat="1">
      <c r="A296" s="273"/>
      <c r="B296" s="287" t="s">
        <v>60</v>
      </c>
      <c r="C296" s="557">
        <f t="shared" ref="C296:M300" si="41">(C282+C288)/SUM(C$281:C$292)</f>
        <v>0.59913931153889233</v>
      </c>
      <c r="D296" s="627">
        <f t="shared" si="41"/>
        <v>0.62527752748127097</v>
      </c>
      <c r="E296" s="627" t="e">
        <f t="shared" si="41"/>
        <v>#DIV/0!</v>
      </c>
      <c r="F296" s="627" t="e">
        <f t="shared" si="41"/>
        <v>#DIV/0!</v>
      </c>
      <c r="G296" s="627" t="e">
        <f t="shared" si="41"/>
        <v>#DIV/0!</v>
      </c>
      <c r="H296" s="627" t="e">
        <f t="shared" si="41"/>
        <v>#DIV/0!</v>
      </c>
      <c r="I296" s="627" t="e">
        <f t="shared" si="41"/>
        <v>#DIV/0!</v>
      </c>
      <c r="J296" s="627" t="e">
        <f t="shared" si="41"/>
        <v>#DIV/0!</v>
      </c>
      <c r="K296" s="627" t="e">
        <f t="shared" si="41"/>
        <v>#DIV/0!</v>
      </c>
      <c r="L296" s="627" t="e">
        <f t="shared" si="41"/>
        <v>#DIV/0!</v>
      </c>
      <c r="M296" s="627" t="e">
        <f t="shared" si="41"/>
        <v>#DIV/0!</v>
      </c>
      <c r="T296" s="29"/>
    </row>
    <row r="297" spans="1:20" s="4" customFormat="1">
      <c r="A297" s="273"/>
      <c r="B297" s="287" t="s">
        <v>75</v>
      </c>
      <c r="C297" s="557">
        <f t="shared" si="41"/>
        <v>2.5742499061514355E-2</v>
      </c>
      <c r="D297" s="627">
        <f t="shared" si="41"/>
        <v>7.8649983067619847E-2</v>
      </c>
      <c r="E297" s="627" t="e">
        <f t="shared" si="41"/>
        <v>#DIV/0!</v>
      </c>
      <c r="F297" s="627" t="e">
        <f t="shared" si="41"/>
        <v>#DIV/0!</v>
      </c>
      <c r="G297" s="627" t="e">
        <f t="shared" si="41"/>
        <v>#DIV/0!</v>
      </c>
      <c r="H297" s="627" t="e">
        <f t="shared" si="41"/>
        <v>#DIV/0!</v>
      </c>
      <c r="I297" s="627" t="e">
        <f t="shared" si="41"/>
        <v>#DIV/0!</v>
      </c>
      <c r="J297" s="627" t="e">
        <f t="shared" si="41"/>
        <v>#DIV/0!</v>
      </c>
      <c r="K297" s="627" t="e">
        <f t="shared" si="41"/>
        <v>#DIV/0!</v>
      </c>
      <c r="L297" s="627" t="e">
        <f t="shared" si="41"/>
        <v>#DIV/0!</v>
      </c>
      <c r="M297" s="627" t="e">
        <f t="shared" si="41"/>
        <v>#DIV/0!</v>
      </c>
      <c r="T297" s="29"/>
    </row>
    <row r="298" spans="1:20" s="4" customFormat="1">
      <c r="A298" s="273"/>
      <c r="B298" s="287" t="s">
        <v>125</v>
      </c>
      <c r="C298" s="557">
        <f t="shared" si="41"/>
        <v>0</v>
      </c>
      <c r="D298" s="627">
        <f t="shared" si="41"/>
        <v>2.1534867110560769E-6</v>
      </c>
      <c r="E298" s="627" t="e">
        <f t="shared" si="41"/>
        <v>#DIV/0!</v>
      </c>
      <c r="F298" s="627" t="e">
        <f t="shared" si="41"/>
        <v>#DIV/0!</v>
      </c>
      <c r="G298" s="627" t="e">
        <f t="shared" si="41"/>
        <v>#DIV/0!</v>
      </c>
      <c r="H298" s="627" t="e">
        <f t="shared" si="41"/>
        <v>#DIV/0!</v>
      </c>
      <c r="I298" s="627" t="e">
        <f t="shared" si="41"/>
        <v>#DIV/0!</v>
      </c>
      <c r="J298" s="627" t="e">
        <f t="shared" si="41"/>
        <v>#DIV/0!</v>
      </c>
      <c r="K298" s="627" t="e">
        <f t="shared" si="41"/>
        <v>#DIV/0!</v>
      </c>
      <c r="L298" s="627" t="e">
        <f t="shared" si="41"/>
        <v>#DIV/0!</v>
      </c>
      <c r="M298" s="627" t="e">
        <f t="shared" si="41"/>
        <v>#DIV/0!</v>
      </c>
      <c r="T298" s="29"/>
    </row>
    <row r="299" spans="1:20" s="4" customFormat="1">
      <c r="A299" s="273"/>
      <c r="B299" s="287" t="s">
        <v>61</v>
      </c>
      <c r="C299" s="557">
        <f t="shared" si="41"/>
        <v>0</v>
      </c>
      <c r="D299" s="627">
        <f t="shared" si="41"/>
        <v>1.8383423143161633E-7</v>
      </c>
      <c r="E299" s="627" t="e">
        <f t="shared" si="41"/>
        <v>#DIV/0!</v>
      </c>
      <c r="F299" s="627" t="e">
        <f t="shared" si="41"/>
        <v>#DIV/0!</v>
      </c>
      <c r="G299" s="627" t="e">
        <f t="shared" si="41"/>
        <v>#DIV/0!</v>
      </c>
      <c r="H299" s="627" t="e">
        <f t="shared" si="41"/>
        <v>#DIV/0!</v>
      </c>
      <c r="I299" s="627" t="e">
        <f t="shared" si="41"/>
        <v>#DIV/0!</v>
      </c>
      <c r="J299" s="627" t="e">
        <f t="shared" si="41"/>
        <v>#DIV/0!</v>
      </c>
      <c r="K299" s="627" t="e">
        <f t="shared" si="41"/>
        <v>#DIV/0!</v>
      </c>
      <c r="L299" s="627" t="e">
        <f t="shared" si="41"/>
        <v>#DIV/0!</v>
      </c>
      <c r="M299" s="627" t="e">
        <f t="shared" si="41"/>
        <v>#DIV/0!</v>
      </c>
      <c r="T299" s="29"/>
    </row>
    <row r="300" spans="1:20" s="4" customFormat="1">
      <c r="A300" s="273"/>
      <c r="B300" s="287" t="s">
        <v>126</v>
      </c>
      <c r="C300" s="557">
        <f t="shared" si="41"/>
        <v>0</v>
      </c>
      <c r="D300" s="627">
        <f t="shared" si="41"/>
        <v>0</v>
      </c>
      <c r="E300" s="627" t="e">
        <f t="shared" si="41"/>
        <v>#DIV/0!</v>
      </c>
      <c r="F300" s="627" t="e">
        <f t="shared" si="41"/>
        <v>#DIV/0!</v>
      </c>
      <c r="G300" s="627" t="e">
        <f t="shared" si="41"/>
        <v>#DIV/0!</v>
      </c>
      <c r="H300" s="627" t="e">
        <f t="shared" si="41"/>
        <v>#DIV/0!</v>
      </c>
      <c r="I300" s="627" t="e">
        <f t="shared" si="41"/>
        <v>#DIV/0!</v>
      </c>
      <c r="J300" s="627" t="e">
        <f t="shared" si="41"/>
        <v>#DIV/0!</v>
      </c>
      <c r="K300" s="627" t="e">
        <f t="shared" si="41"/>
        <v>#DIV/0!</v>
      </c>
      <c r="L300" s="627" t="e">
        <f t="shared" si="41"/>
        <v>#DIV/0!</v>
      </c>
      <c r="M300" s="627" t="e">
        <f t="shared" si="41"/>
        <v>#DIV/0!</v>
      </c>
      <c r="T300" s="29"/>
    </row>
    <row r="301" spans="1:20" s="4" customFormat="1">
      <c r="A301" s="273"/>
      <c r="B301" s="287"/>
      <c r="C301" s="559"/>
      <c r="D301" s="498"/>
      <c r="E301" s="498"/>
      <c r="F301" s="498"/>
      <c r="G301" s="498"/>
      <c r="H301" s="498"/>
      <c r="I301" s="498"/>
      <c r="J301" s="498"/>
      <c r="K301" s="498"/>
      <c r="L301" s="498"/>
      <c r="M301" s="498"/>
      <c r="T301" s="29"/>
    </row>
    <row r="302" spans="1:20" s="4" customFormat="1">
      <c r="A302" s="273"/>
      <c r="B302" s="162" t="s">
        <v>77</v>
      </c>
      <c r="C302" s="558"/>
      <c r="D302" s="294"/>
      <c r="E302" s="294"/>
      <c r="F302" s="294"/>
      <c r="G302" s="294"/>
      <c r="H302" s="294"/>
      <c r="I302" s="294"/>
      <c r="J302" s="294"/>
      <c r="K302" s="294"/>
      <c r="L302" s="294"/>
      <c r="M302" s="294"/>
      <c r="T302" s="29"/>
    </row>
    <row r="303" spans="1:20" s="4" customFormat="1">
      <c r="A303" s="273"/>
      <c r="B303" s="287" t="s">
        <v>78</v>
      </c>
      <c r="C303" s="557">
        <f t="shared" ref="C303:L303" si="42">SUM(C281:C284)/SUM(C281:C291)</f>
        <v>0.49223811974149628</v>
      </c>
      <c r="D303" s="274">
        <f t="shared" si="42"/>
        <v>0.51759665005603139</v>
      </c>
      <c r="E303" s="274" t="e">
        <f t="shared" si="42"/>
        <v>#DIV/0!</v>
      </c>
      <c r="F303" s="274" t="e">
        <f t="shared" si="42"/>
        <v>#DIV/0!</v>
      </c>
      <c r="G303" s="274" t="e">
        <f t="shared" si="42"/>
        <v>#DIV/0!</v>
      </c>
      <c r="H303" s="274" t="e">
        <f t="shared" si="42"/>
        <v>#DIV/0!</v>
      </c>
      <c r="I303" s="274" t="e">
        <f t="shared" si="42"/>
        <v>#DIV/0!</v>
      </c>
      <c r="J303" s="274" t="e">
        <f t="shared" si="42"/>
        <v>#DIV/0!</v>
      </c>
      <c r="K303" s="274" t="e">
        <f t="shared" si="42"/>
        <v>#DIV/0!</v>
      </c>
      <c r="L303" s="274" t="e">
        <f t="shared" si="42"/>
        <v>#DIV/0!</v>
      </c>
      <c r="M303" s="274" t="e">
        <f t="shared" ref="M303" si="43">SUM(M281:M284)/SUM(M281:M291)</f>
        <v>#DIV/0!</v>
      </c>
      <c r="T303" s="29"/>
    </row>
    <row r="304" spans="1:20" s="4" customFormat="1">
      <c r="A304" s="273"/>
      <c r="B304" s="287" t="s">
        <v>79</v>
      </c>
      <c r="C304" s="557">
        <f t="shared" ref="C304:L304" si="44">SUM(C287:C291)/SUM(C281:C291)</f>
        <v>0.50776188025850366</v>
      </c>
      <c r="D304" s="274">
        <f t="shared" si="44"/>
        <v>0.48240334994396855</v>
      </c>
      <c r="E304" s="274" t="e">
        <f t="shared" si="44"/>
        <v>#DIV/0!</v>
      </c>
      <c r="F304" s="274" t="e">
        <f t="shared" si="44"/>
        <v>#DIV/0!</v>
      </c>
      <c r="G304" s="274" t="e">
        <f t="shared" si="44"/>
        <v>#DIV/0!</v>
      </c>
      <c r="H304" s="274" t="e">
        <f t="shared" si="44"/>
        <v>#DIV/0!</v>
      </c>
      <c r="I304" s="274" t="e">
        <f t="shared" si="44"/>
        <v>#DIV/0!</v>
      </c>
      <c r="J304" s="274" t="e">
        <f t="shared" si="44"/>
        <v>#DIV/0!</v>
      </c>
      <c r="K304" s="274" t="e">
        <f t="shared" si="44"/>
        <v>#DIV/0!</v>
      </c>
      <c r="L304" s="274" t="e">
        <f t="shared" si="44"/>
        <v>#DIV/0!</v>
      </c>
      <c r="M304" s="274" t="e">
        <f t="shared" ref="M304" si="45">SUM(M287:M291)/SUM(M281:M291)</f>
        <v>#DIV/0!</v>
      </c>
      <c r="T304" s="29"/>
    </row>
    <row r="305" spans="1:20" s="4" customFormat="1">
      <c r="A305" s="273"/>
      <c r="B305" s="287"/>
      <c r="C305" s="559"/>
      <c r="D305" s="498"/>
      <c r="E305" s="498"/>
      <c r="F305" s="498"/>
      <c r="G305" s="498"/>
      <c r="H305" s="498"/>
      <c r="I305" s="498"/>
      <c r="J305" s="498"/>
      <c r="K305" s="498"/>
      <c r="L305" s="498"/>
      <c r="M305" s="498"/>
      <c r="T305" s="29"/>
    </row>
    <row r="306" spans="1:20" s="4" customFormat="1">
      <c r="A306" s="273"/>
      <c r="B306" s="162" t="s">
        <v>80</v>
      </c>
      <c r="C306" s="280"/>
      <c r="D306" s="273"/>
      <c r="E306" s="273"/>
      <c r="F306" s="273"/>
      <c r="G306" s="273"/>
      <c r="H306" s="273"/>
      <c r="I306" s="273"/>
      <c r="J306" s="273"/>
      <c r="K306" s="273"/>
      <c r="L306" s="273"/>
      <c r="M306" s="273"/>
      <c r="T306" s="29"/>
    </row>
    <row r="307" spans="1:20" s="4" customFormat="1">
      <c r="A307" s="273"/>
      <c r="B307" s="287" t="s">
        <v>78</v>
      </c>
      <c r="C307" s="557">
        <f t="shared" ref="C307:K307" si="46">(C282+C283+C284)/(C282+C283+C288+C289+C290+C291)</f>
        <v>0.5887925234303405</v>
      </c>
      <c r="D307" s="274">
        <f t="shared" si="46"/>
        <v>0.57567520829033536</v>
      </c>
      <c r="E307" s="274" t="e">
        <f t="shared" si="46"/>
        <v>#DIV/0!</v>
      </c>
      <c r="F307" s="274" t="e">
        <f t="shared" si="46"/>
        <v>#DIV/0!</v>
      </c>
      <c r="G307" s="274" t="e">
        <f t="shared" si="46"/>
        <v>#DIV/0!</v>
      </c>
      <c r="H307" s="274" t="e">
        <f t="shared" si="46"/>
        <v>#DIV/0!</v>
      </c>
      <c r="I307" s="274" t="e">
        <f t="shared" si="46"/>
        <v>#DIV/0!</v>
      </c>
      <c r="J307" s="274" t="e">
        <f t="shared" si="46"/>
        <v>#DIV/0!</v>
      </c>
      <c r="K307" s="274" t="e">
        <f t="shared" si="46"/>
        <v>#DIV/0!</v>
      </c>
      <c r="L307" s="274" t="e">
        <f>(L282+L283+L284)/(L282+L283+L288+L289+L290+L291)</f>
        <v>#DIV/0!</v>
      </c>
      <c r="M307" s="274" t="e">
        <f>(M282+M283+M284)/(M282+M283+M288+M289+M290+M291)</f>
        <v>#DIV/0!</v>
      </c>
      <c r="T307" s="29"/>
    </row>
    <row r="308" spans="1:20" s="4" customFormat="1">
      <c r="A308" s="273"/>
      <c r="B308" s="287" t="s">
        <v>79</v>
      </c>
      <c r="C308" s="557">
        <f t="shared" ref="C308:L308" si="47">1-C307</f>
        <v>0.4112074765696595</v>
      </c>
      <c r="D308" s="274">
        <f t="shared" si="47"/>
        <v>0.42432479170966464</v>
      </c>
      <c r="E308" s="274" t="e">
        <f t="shared" si="47"/>
        <v>#DIV/0!</v>
      </c>
      <c r="F308" s="274" t="e">
        <f t="shared" si="47"/>
        <v>#DIV/0!</v>
      </c>
      <c r="G308" s="274" t="e">
        <f t="shared" si="47"/>
        <v>#DIV/0!</v>
      </c>
      <c r="H308" s="274" t="e">
        <f t="shared" si="47"/>
        <v>#DIV/0!</v>
      </c>
      <c r="I308" s="274" t="e">
        <f t="shared" si="47"/>
        <v>#DIV/0!</v>
      </c>
      <c r="J308" s="274" t="e">
        <f t="shared" si="47"/>
        <v>#DIV/0!</v>
      </c>
      <c r="K308" s="274" t="e">
        <f t="shared" si="47"/>
        <v>#DIV/0!</v>
      </c>
      <c r="L308" s="274" t="e">
        <f t="shared" si="47"/>
        <v>#DIV/0!</v>
      </c>
      <c r="M308" s="274" t="e">
        <f t="shared" ref="M308" si="48">1-M307</f>
        <v>#DIV/0!</v>
      </c>
      <c r="T308" s="29"/>
    </row>
    <row r="309" spans="1:20" s="4" customFormat="1">
      <c r="A309" s="273"/>
      <c r="B309" s="273"/>
      <c r="C309" s="288"/>
      <c r="D309" s="288"/>
      <c r="E309" s="288"/>
      <c r="F309" s="288"/>
      <c r="G309" s="288"/>
      <c r="H309" s="288"/>
      <c r="I309" s="288"/>
      <c r="J309" s="288"/>
      <c r="K309" s="288"/>
      <c r="L309" s="288"/>
      <c r="M309" s="288"/>
      <c r="N309" s="288"/>
      <c r="O309" s="288"/>
      <c r="P309" s="288"/>
      <c r="T309" s="29"/>
    </row>
    <row r="311" spans="1:20" s="4" customFormat="1" ht="13.2">
      <c r="A311" s="10"/>
      <c r="T311" s="29"/>
    </row>
    <row r="312" spans="1:20" ht="21">
      <c r="A312" s="10"/>
      <c r="B312" s="153" t="s">
        <v>320</v>
      </c>
    </row>
    <row r="314" spans="1:20" ht="17.25" customHeight="1">
      <c r="B314" s="531" t="s">
        <v>319</v>
      </c>
      <c r="I314" s="531" t="s">
        <v>321</v>
      </c>
    </row>
    <row r="335" spans="2:13" ht="15.6">
      <c r="B335" s="115" t="s">
        <v>264</v>
      </c>
    </row>
    <row r="336" spans="2:13">
      <c r="C336" s="388">
        <v>2016</v>
      </c>
      <c r="D336" s="389">
        <v>2017</v>
      </c>
      <c r="E336" s="389">
        <v>2018</v>
      </c>
      <c r="F336" s="389">
        <v>2019</v>
      </c>
      <c r="G336" s="389">
        <v>2020</v>
      </c>
      <c r="H336" s="389">
        <v>2021</v>
      </c>
      <c r="I336" s="389">
        <v>2022</v>
      </c>
      <c r="J336" s="389">
        <v>2023</v>
      </c>
      <c r="K336" s="389">
        <v>2024</v>
      </c>
      <c r="L336" s="389">
        <v>2025</v>
      </c>
      <c r="M336" s="389">
        <v>2026</v>
      </c>
    </row>
    <row r="337" spans="2:20">
      <c r="B337" s="278" t="s">
        <v>186</v>
      </c>
      <c r="C337" s="163">
        <f>'Products x speed'!E41+'Products x speed'!E42+'Products x speed'!E43+'Products x speed'!E44+'Products x speed'!E45+'Products x speed'!E46</f>
        <v>299241</v>
      </c>
      <c r="D337" s="164">
        <f>'Products x speed'!F41+'Products x speed'!F42+'Products x speed'!F43+'Products x speed'!F44+'Products x speed'!F45+'Products x speed'!F46</f>
        <v>631974</v>
      </c>
      <c r="E337" s="164">
        <f>'Products x speed'!G41+'Products x speed'!G42+'Products x speed'!G43+'Products x speed'!G44+'Products x speed'!G45+'Products x speed'!G46</f>
        <v>0</v>
      </c>
      <c r="F337" s="164">
        <f>'Products x speed'!H41+'Products x speed'!H42+'Products x speed'!H43+'Products x speed'!H44+'Products x speed'!H45+'Products x speed'!H46</f>
        <v>0</v>
      </c>
      <c r="G337" s="164">
        <f>'Products x speed'!I41+'Products x speed'!I42+'Products x speed'!I43+'Products x speed'!I44+'Products x speed'!I45+'Products x speed'!I46</f>
        <v>0</v>
      </c>
      <c r="H337" s="164">
        <f>'Products x speed'!J41+'Products x speed'!J42+'Products x speed'!J43+'Products x speed'!J44+'Products x speed'!J45+'Products x speed'!J46</f>
        <v>0</v>
      </c>
      <c r="I337" s="164">
        <f>'Products x speed'!K41+'Products x speed'!K42+'Products x speed'!K43+'Products x speed'!K44+'Products x speed'!K45+'Products x speed'!K46</f>
        <v>0</v>
      </c>
      <c r="J337" s="164">
        <f>'Products x speed'!L41+'Products x speed'!L42+'Products x speed'!L43+'Products x speed'!L44+'Products x speed'!L45+'Products x speed'!L46</f>
        <v>0</v>
      </c>
      <c r="K337" s="164">
        <f>'Products x speed'!M41+'Products x speed'!M42+'Products x speed'!M43+'Products x speed'!M44+'Products x speed'!M45+'Products x speed'!M46</f>
        <v>0</v>
      </c>
      <c r="L337" s="164">
        <f>'Products x speed'!N41+'Products x speed'!N42+'Products x speed'!N43+'Products x speed'!N44+'Products x speed'!N45+'Products x speed'!N46</f>
        <v>0</v>
      </c>
      <c r="M337" s="164">
        <f>'Products x speed'!O41+'Products x speed'!O42+'Products x speed'!O43+'Products x speed'!O44+'Products x speed'!O45+'Products x speed'!O46</f>
        <v>0</v>
      </c>
    </row>
    <row r="338" spans="2:20" ht="15.6">
      <c r="B338" s="280" t="s">
        <v>44</v>
      </c>
      <c r="C338" s="165">
        <f>'Products x speed'!E47+'Products x speed'!E48+'Products x speed'!E49</f>
        <v>289061.59999999998</v>
      </c>
      <c r="D338" s="166">
        <f>'Products x speed'!F47+'Products x speed'!F48+'Products x speed'!F49</f>
        <v>1393450.1</v>
      </c>
      <c r="E338" s="166">
        <f>'Products x speed'!G47+'Products x speed'!G48+'Products x speed'!G49</f>
        <v>0</v>
      </c>
      <c r="F338" s="166">
        <f>'Products x speed'!H47+'Products x speed'!H48+'Products x speed'!H49</f>
        <v>0</v>
      </c>
      <c r="G338" s="166">
        <f>'Products x speed'!I47+'Products x speed'!I48+'Products x speed'!I49</f>
        <v>0</v>
      </c>
      <c r="H338" s="166">
        <f>'Products x speed'!J47+'Products x speed'!J48+'Products x speed'!J49</f>
        <v>0</v>
      </c>
      <c r="I338" s="166">
        <f>'Products x speed'!K47+'Products x speed'!K48+'Products x speed'!K49</f>
        <v>0</v>
      </c>
      <c r="J338" s="166">
        <f>'Products x speed'!L47+'Products x speed'!L48+'Products x speed'!L49</f>
        <v>0</v>
      </c>
      <c r="K338" s="166">
        <f>'Products x speed'!M47+'Products x speed'!M48+'Products x speed'!M49</f>
        <v>0</v>
      </c>
      <c r="L338" s="166">
        <f>'Products x speed'!N47+'Products x speed'!N48+'Products x speed'!N49</f>
        <v>0</v>
      </c>
      <c r="M338" s="166">
        <f>'Products x speed'!O47+'Products x speed'!O48+'Products x speed'!O49</f>
        <v>0</v>
      </c>
      <c r="T338" s="545"/>
    </row>
    <row r="339" spans="2:20" ht="15.6">
      <c r="B339" s="280" t="s">
        <v>47</v>
      </c>
      <c r="C339" s="165">
        <f>'Products x speed'!E50+'Products x speed'!E51</f>
        <v>30989.399999999994</v>
      </c>
      <c r="D339" s="166">
        <f>'Products x speed'!F50+'Products x speed'!F51</f>
        <v>292890.90000000002</v>
      </c>
      <c r="E339" s="166">
        <f>'Products x speed'!G50+'Products x speed'!G51</f>
        <v>0</v>
      </c>
      <c r="F339" s="166">
        <f>'Products x speed'!H50+'Products x speed'!H51</f>
        <v>0</v>
      </c>
      <c r="G339" s="166">
        <f>'Products x speed'!I50+'Products x speed'!I51</f>
        <v>0</v>
      </c>
      <c r="H339" s="166">
        <f>'Products x speed'!J50+'Products x speed'!J51</f>
        <v>0</v>
      </c>
      <c r="I339" s="166">
        <f>'Products x speed'!K50+'Products x speed'!K51</f>
        <v>0</v>
      </c>
      <c r="J339" s="166">
        <f>'Products x speed'!L50+'Products x speed'!L51</f>
        <v>0</v>
      </c>
      <c r="K339" s="166">
        <f>'Products x speed'!M50+'Products x speed'!M51</f>
        <v>0</v>
      </c>
      <c r="L339" s="166">
        <f>'Products x speed'!N50+'Products x speed'!N51</f>
        <v>0</v>
      </c>
      <c r="M339" s="166">
        <f>'Products x speed'!O50+'Products x speed'!O51</f>
        <v>0</v>
      </c>
      <c r="T339" s="545"/>
    </row>
    <row r="340" spans="2:20" ht="15.6">
      <c r="B340" s="280" t="s">
        <v>159</v>
      </c>
      <c r="C340" s="165">
        <f>'Products x speed'!E52+'Products x speed'!E53+'Products x speed'!E54+'Products x speed'!E55+'Products x speed'!E56</f>
        <v>292622</v>
      </c>
      <c r="D340" s="166">
        <f>'Products x speed'!F52+'Products x speed'!F53+'Products x speed'!F54+'Products x speed'!F55+'Products x speed'!F56</f>
        <v>552903</v>
      </c>
      <c r="E340" s="166">
        <f>'Products x speed'!G52+'Products x speed'!G53+'Products x speed'!G54+'Products x speed'!G55+'Products x speed'!G56</f>
        <v>0</v>
      </c>
      <c r="F340" s="166">
        <f>'Products x speed'!H52+'Products x speed'!H53+'Products x speed'!H54+'Products x speed'!H55+'Products x speed'!H56</f>
        <v>0</v>
      </c>
      <c r="G340" s="166">
        <f>'Products x speed'!I52+'Products x speed'!I53+'Products x speed'!I54+'Products x speed'!I55+'Products x speed'!I56</f>
        <v>0</v>
      </c>
      <c r="H340" s="166">
        <f>'Products x speed'!J52+'Products x speed'!J53+'Products x speed'!J54+'Products x speed'!J55+'Products x speed'!J56</f>
        <v>0</v>
      </c>
      <c r="I340" s="166">
        <f>'Products x speed'!K52+'Products x speed'!K53+'Products x speed'!K54+'Products x speed'!K55+'Products x speed'!K56</f>
        <v>0</v>
      </c>
      <c r="J340" s="166">
        <f>'Products x speed'!L52+'Products x speed'!L53+'Products x speed'!L54+'Products x speed'!L55+'Products x speed'!L56</f>
        <v>0</v>
      </c>
      <c r="K340" s="166">
        <f>'Products x speed'!M52+'Products x speed'!M53+'Products x speed'!M54+'Products x speed'!M55+'Products x speed'!M56</f>
        <v>0</v>
      </c>
      <c r="L340" s="166">
        <f>'Products x speed'!N52+'Products x speed'!N53+'Products x speed'!N54+'Products x speed'!N55+'Products x speed'!N56</f>
        <v>0</v>
      </c>
      <c r="M340" s="166">
        <f>'Products x speed'!O52+'Products x speed'!O53+'Products x speed'!O54+'Products x speed'!O55+'Products x speed'!O56</f>
        <v>0</v>
      </c>
      <c r="T340" s="546"/>
    </row>
    <row r="341" spans="2:20">
      <c r="B341" s="280" t="s">
        <v>55</v>
      </c>
      <c r="C341" s="167">
        <f>'Products x speed'!E59</f>
        <v>0</v>
      </c>
      <c r="D341" s="168">
        <f>'Products x speed'!F59</f>
        <v>0</v>
      </c>
      <c r="E341" s="168">
        <f>'Products x speed'!G59</f>
        <v>0</v>
      </c>
      <c r="F341" s="168">
        <f>'Products x speed'!H59</f>
        <v>0</v>
      </c>
      <c r="G341" s="168">
        <f>'Products x speed'!I59</f>
        <v>0</v>
      </c>
      <c r="H341" s="168">
        <f>'Products x speed'!J59</f>
        <v>0</v>
      </c>
      <c r="I341" s="168">
        <f>'Products x speed'!K59</f>
        <v>0</v>
      </c>
      <c r="J341" s="168">
        <f>'Products x speed'!L59</f>
        <v>0</v>
      </c>
      <c r="K341" s="168">
        <f>'Products x speed'!M59</f>
        <v>0</v>
      </c>
      <c r="L341" s="168">
        <f>'Products x speed'!N59</f>
        <v>0</v>
      </c>
      <c r="M341" s="168">
        <f>'Products x speed'!O59</f>
        <v>0</v>
      </c>
    </row>
    <row r="342" spans="2:20">
      <c r="B342" s="275" t="s">
        <v>84</v>
      </c>
      <c r="C342" s="169">
        <f t="shared" ref="C342:I342" si="49">SUM(C337:C341)</f>
        <v>911914</v>
      </c>
      <c r="D342" s="170">
        <f t="shared" si="49"/>
        <v>2871218</v>
      </c>
      <c r="E342" s="170">
        <f t="shared" si="49"/>
        <v>0</v>
      </c>
      <c r="F342" s="170">
        <f t="shared" si="49"/>
        <v>0</v>
      </c>
      <c r="G342" s="170">
        <f t="shared" si="49"/>
        <v>0</v>
      </c>
      <c r="H342" s="170">
        <f t="shared" si="49"/>
        <v>0</v>
      </c>
      <c r="I342" s="170">
        <f t="shared" si="49"/>
        <v>0</v>
      </c>
      <c r="J342" s="170">
        <f t="shared" ref="J342:M342" si="50">SUM(J337:J341)</f>
        <v>0</v>
      </c>
      <c r="K342" s="170">
        <f t="shared" si="50"/>
        <v>0</v>
      </c>
      <c r="L342" s="170">
        <f t="shared" si="50"/>
        <v>0</v>
      </c>
      <c r="M342" s="170">
        <f t="shared" si="50"/>
        <v>0</v>
      </c>
    </row>
    <row r="343" spans="2:20">
      <c r="B343" s="327" t="s">
        <v>86</v>
      </c>
      <c r="C343" s="274"/>
      <c r="D343" s="274">
        <f t="shared" ref="D343:I343" si="51">D342/C342-1</f>
        <v>2.1485622547740246</v>
      </c>
      <c r="E343" s="274">
        <f t="shared" si="51"/>
        <v>-1</v>
      </c>
      <c r="F343" s="274" t="e">
        <f t="shared" si="51"/>
        <v>#DIV/0!</v>
      </c>
      <c r="G343" s="274" t="e">
        <f t="shared" si="51"/>
        <v>#DIV/0!</v>
      </c>
      <c r="H343" s="274" t="e">
        <f t="shared" si="51"/>
        <v>#DIV/0!</v>
      </c>
      <c r="I343" s="274" t="e">
        <f t="shared" si="51"/>
        <v>#DIV/0!</v>
      </c>
      <c r="J343" s="274" t="e">
        <f t="shared" ref="J343" si="52">J342/I342-1</f>
        <v>#DIV/0!</v>
      </c>
      <c r="K343" s="274" t="e">
        <f t="shared" ref="K343" si="53">K342/J342-1</f>
        <v>#DIV/0!</v>
      </c>
      <c r="L343" s="274" t="e">
        <f t="shared" ref="L343" si="54">L342/K342-1</f>
        <v>#DIV/0!</v>
      </c>
      <c r="M343" s="274" t="e">
        <f t="shared" ref="M343" si="55">M342/L342-1</f>
        <v>#DIV/0!</v>
      </c>
    </row>
    <row r="344" spans="2:20">
      <c r="B344" s="327"/>
      <c r="C344" s="274"/>
      <c r="D344" s="274"/>
      <c r="E344" s="274"/>
      <c r="F344" s="274"/>
      <c r="G344" s="274"/>
      <c r="H344" s="274"/>
      <c r="I344" s="274"/>
      <c r="J344" s="274"/>
      <c r="K344" s="274"/>
      <c r="L344" s="274"/>
      <c r="M344" s="274"/>
    </row>
    <row r="345" spans="2:20" ht="15.6">
      <c r="B345" s="115" t="s">
        <v>265</v>
      </c>
      <c r="C345" s="50"/>
      <c r="D345" s="50"/>
      <c r="E345" s="50"/>
      <c r="F345" s="50"/>
      <c r="G345" s="50"/>
      <c r="H345" s="50"/>
      <c r="I345" s="50"/>
      <c r="J345" s="50"/>
      <c r="K345" s="50"/>
      <c r="L345" s="50"/>
      <c r="M345" s="50"/>
    </row>
    <row r="346" spans="2:20">
      <c r="B346" s="273" t="s">
        <v>85</v>
      </c>
      <c r="C346" s="388">
        <v>2016</v>
      </c>
      <c r="D346" s="389">
        <v>2017</v>
      </c>
      <c r="E346" s="389">
        <v>2018</v>
      </c>
      <c r="F346" s="389">
        <v>2019</v>
      </c>
      <c r="G346" s="389">
        <v>2020</v>
      </c>
      <c r="H346" s="389">
        <v>2021</v>
      </c>
      <c r="I346" s="389">
        <v>2022</v>
      </c>
      <c r="J346" s="389">
        <v>2023</v>
      </c>
      <c r="K346" s="389">
        <v>2024</v>
      </c>
      <c r="L346" s="389">
        <v>2025</v>
      </c>
      <c r="M346" s="389">
        <v>2026</v>
      </c>
    </row>
    <row r="347" spans="2:20">
      <c r="B347" s="278" t="s">
        <v>38</v>
      </c>
      <c r="C347" s="163">
        <f>'Products x speed'!E41+'Products x speed'!E52</f>
        <v>124752</v>
      </c>
      <c r="D347" s="164">
        <f>'Products x speed'!F41+'Products x speed'!F52</f>
        <v>74262</v>
      </c>
      <c r="E347" s="164">
        <f>'Products x speed'!G41+'Products x speed'!G52</f>
        <v>0</v>
      </c>
      <c r="F347" s="164">
        <f>'Products x speed'!H41+'Products x speed'!H52</f>
        <v>0</v>
      </c>
      <c r="G347" s="164">
        <f>'Products x speed'!I41+'Products x speed'!I52</f>
        <v>0</v>
      </c>
      <c r="H347" s="164">
        <f>'Products x speed'!J41+'Products x speed'!J52</f>
        <v>0</v>
      </c>
      <c r="I347" s="164">
        <f>'Products x speed'!K41+'Products x speed'!K52</f>
        <v>0</v>
      </c>
      <c r="J347" s="164">
        <f>'Products x speed'!L41+'Products x speed'!L52</f>
        <v>0</v>
      </c>
      <c r="K347" s="164">
        <f>'Products x speed'!M41+'Products x speed'!M52</f>
        <v>0</v>
      </c>
      <c r="L347" s="164">
        <f>'Products x speed'!N41+'Products x speed'!N52</f>
        <v>0</v>
      </c>
      <c r="M347" s="164">
        <f>'Products x speed'!O41+'Products x speed'!O52</f>
        <v>0</v>
      </c>
    </row>
    <row r="348" spans="2:20">
      <c r="B348" s="280" t="s">
        <v>131</v>
      </c>
      <c r="C348" s="165">
        <f>'Products x speed'!E42+'Products x speed'!E53</f>
        <v>96610</v>
      </c>
      <c r="D348" s="166">
        <f>'Products x speed'!F42+'Products x speed'!F53</f>
        <v>80471</v>
      </c>
      <c r="E348" s="166">
        <f>'Products x speed'!G42+'Products x speed'!G53</f>
        <v>0</v>
      </c>
      <c r="F348" s="166">
        <f>'Products x speed'!H42+'Products x speed'!H53</f>
        <v>0</v>
      </c>
      <c r="G348" s="166">
        <f>'Products x speed'!I42+'Products x speed'!I53</f>
        <v>0</v>
      </c>
      <c r="H348" s="166">
        <f>'Products x speed'!J42+'Products x speed'!J53</f>
        <v>0</v>
      </c>
      <c r="I348" s="166">
        <f>'Products x speed'!K42+'Products x speed'!K53</f>
        <v>0</v>
      </c>
      <c r="J348" s="166">
        <f>'Products x speed'!L42+'Products x speed'!L53</f>
        <v>0</v>
      </c>
      <c r="K348" s="166">
        <f>'Products x speed'!M42+'Products x speed'!M53</f>
        <v>0</v>
      </c>
      <c r="L348" s="166">
        <f>'Products x speed'!N42+'Products x speed'!N53</f>
        <v>0</v>
      </c>
      <c r="M348" s="166">
        <f>'Products x speed'!O42+'Products x speed'!O53</f>
        <v>0</v>
      </c>
    </row>
    <row r="349" spans="2:20">
      <c r="B349" s="280" t="s">
        <v>40</v>
      </c>
      <c r="C349" s="165">
        <f>SUM('Products x speed'!E43:E51)+'Products x speed'!E54+'Products x speed'!E56+'Products x speed'!E55+'Products x speed'!E59</f>
        <v>690552</v>
      </c>
      <c r="D349" s="166">
        <f>SUM('Products x speed'!F43:F51)+'Products x speed'!F54+'Products x speed'!F56+'Products x speed'!F55+'Products x speed'!F59</f>
        <v>2716485</v>
      </c>
      <c r="E349" s="166">
        <f>SUM('Products x speed'!G43:G51)+'Products x speed'!G54+'Products x speed'!G56+'Products x speed'!G55+'Products x speed'!G59</f>
        <v>0</v>
      </c>
      <c r="F349" s="166">
        <f>SUM('Products x speed'!H43:H51)+'Products x speed'!H54+'Products x speed'!H56+'Products x speed'!H55+'Products x speed'!H59</f>
        <v>0</v>
      </c>
      <c r="G349" s="166">
        <f>SUM('Products x speed'!I43:I51)+'Products x speed'!I54+'Products x speed'!I56+'Products x speed'!I55+'Products x speed'!I59</f>
        <v>0</v>
      </c>
      <c r="H349" s="166">
        <f>SUM('Products x speed'!J43:J51)+'Products x speed'!J54+'Products x speed'!J56+'Products x speed'!J55+'Products x speed'!J59</f>
        <v>0</v>
      </c>
      <c r="I349" s="166">
        <f>SUM('Products x speed'!K43:K51)+'Products x speed'!K54+'Products x speed'!K56+'Products x speed'!K55+'Products x speed'!K59</f>
        <v>0</v>
      </c>
      <c r="J349" s="166">
        <f>SUM('Products x speed'!L43:L51)+'Products x speed'!L54+'Products x speed'!L56+'Products x speed'!L55+'Products x speed'!L59</f>
        <v>0</v>
      </c>
      <c r="K349" s="166">
        <f>SUM('Products x speed'!M43:M51)+'Products x speed'!M54+'Products x speed'!M56+'Products x speed'!M55+'Products x speed'!M59</f>
        <v>0</v>
      </c>
      <c r="L349" s="166">
        <f>SUM('Products x speed'!N43:N51)+'Products x speed'!N54+'Products x speed'!N56+'Products x speed'!N55+'Products x speed'!N59</f>
        <v>0</v>
      </c>
      <c r="M349" s="166">
        <f>SUM('Products x speed'!O43:O51)+'Products x speed'!O54+'Products x speed'!O56+'Products x speed'!O55+'Products x speed'!O59</f>
        <v>0</v>
      </c>
    </row>
    <row r="350" spans="2:20">
      <c r="B350" s="275" t="s">
        <v>84</v>
      </c>
      <c r="C350" s="379">
        <f t="shared" ref="C350:I350" si="56">SUM(C347:C349)</f>
        <v>911914</v>
      </c>
      <c r="D350" s="380">
        <f t="shared" si="56"/>
        <v>2871218</v>
      </c>
      <c r="E350" s="380">
        <f t="shared" si="56"/>
        <v>0</v>
      </c>
      <c r="F350" s="380">
        <f t="shared" si="56"/>
        <v>0</v>
      </c>
      <c r="G350" s="380">
        <f t="shared" si="56"/>
        <v>0</v>
      </c>
      <c r="H350" s="380">
        <f t="shared" si="56"/>
        <v>0</v>
      </c>
      <c r="I350" s="380">
        <f t="shared" si="56"/>
        <v>0</v>
      </c>
      <c r="J350" s="380">
        <f t="shared" ref="J350:M350" si="57">SUM(J347:J349)</f>
        <v>0</v>
      </c>
      <c r="K350" s="380">
        <f t="shared" si="57"/>
        <v>0</v>
      </c>
      <c r="L350" s="380">
        <f t="shared" si="57"/>
        <v>0</v>
      </c>
      <c r="M350" s="380">
        <f t="shared" si="57"/>
        <v>0</v>
      </c>
    </row>
    <row r="351" spans="2:20">
      <c r="B351" s="327" t="s">
        <v>86</v>
      </c>
      <c r="C351" s="274"/>
      <c r="D351" s="274">
        <f t="shared" ref="D351:I351" si="58">D350/C350-1</f>
        <v>2.1485622547740246</v>
      </c>
      <c r="E351" s="274">
        <f t="shared" si="58"/>
        <v>-1</v>
      </c>
      <c r="F351" s="274" t="e">
        <f t="shared" si="58"/>
        <v>#DIV/0!</v>
      </c>
      <c r="G351" s="274" t="e">
        <f t="shared" si="58"/>
        <v>#DIV/0!</v>
      </c>
      <c r="H351" s="274" t="e">
        <f t="shared" si="58"/>
        <v>#DIV/0!</v>
      </c>
      <c r="I351" s="274" t="e">
        <f t="shared" si="58"/>
        <v>#DIV/0!</v>
      </c>
      <c r="J351" s="274" t="e">
        <f t="shared" ref="J351" si="59">J350/I350-1</f>
        <v>#DIV/0!</v>
      </c>
      <c r="K351" s="274" t="e">
        <f t="shared" ref="K351" si="60">K350/J350-1</f>
        <v>#DIV/0!</v>
      </c>
      <c r="L351" s="274" t="e">
        <f t="shared" ref="L351" si="61">L350/K350-1</f>
        <v>#DIV/0!</v>
      </c>
      <c r="M351" s="274" t="e">
        <f t="shared" ref="M351" si="62">M350/L350-1</f>
        <v>#DIV/0!</v>
      </c>
    </row>
    <row r="352" spans="2:20">
      <c r="B352" s="327"/>
    </row>
    <row r="353" spans="1:20">
      <c r="B353" s="327"/>
      <c r="D353" s="274"/>
      <c r="E353" s="274"/>
      <c r="F353" s="274"/>
      <c r="G353" s="274"/>
      <c r="H353" s="274"/>
      <c r="I353" s="274"/>
      <c r="J353" s="274"/>
      <c r="K353" s="274"/>
      <c r="L353" s="274"/>
      <c r="M353" s="274"/>
      <c r="N353" s="274"/>
      <c r="O353" s="274"/>
    </row>
    <row r="354" spans="1:20" s="4" customFormat="1" ht="21">
      <c r="A354" s="10"/>
      <c r="B354" s="17" t="s">
        <v>187</v>
      </c>
      <c r="T354" s="29"/>
    </row>
    <row r="355" spans="1:20" ht="21">
      <c r="B355" s="302" t="s">
        <v>22</v>
      </c>
      <c r="G355" s="302" t="s">
        <v>21</v>
      </c>
      <c r="N355" s="302" t="s">
        <v>15</v>
      </c>
    </row>
    <row r="356" spans="1:20" s="4" customFormat="1" ht="13.2">
      <c r="A356" s="10"/>
      <c r="T356" s="29"/>
    </row>
    <row r="357" spans="1:20" s="4" customFormat="1" ht="13.2">
      <c r="A357" s="10"/>
      <c r="T357" s="29"/>
    </row>
    <row r="358" spans="1:20" s="4" customFormat="1" ht="13.2">
      <c r="A358" s="10"/>
      <c r="T358" s="29"/>
    </row>
    <row r="359" spans="1:20" s="4" customFormat="1" ht="13.2">
      <c r="A359" s="10"/>
      <c r="T359" s="29"/>
    </row>
    <row r="360" spans="1:20" s="4" customFormat="1" ht="13.2">
      <c r="A360" s="10"/>
      <c r="T360" s="29"/>
    </row>
    <row r="361" spans="1:20" s="4" customFormat="1" ht="13.2">
      <c r="A361" s="10"/>
      <c r="T361" s="29"/>
    </row>
    <row r="362" spans="1:20" s="4" customFormat="1" ht="13.2">
      <c r="A362" s="10"/>
      <c r="T362" s="29"/>
    </row>
    <row r="363" spans="1:20" s="4" customFormat="1" ht="13.2">
      <c r="A363" s="10"/>
      <c r="T363" s="29"/>
    </row>
    <row r="364" spans="1:20" s="4" customFormat="1" ht="13.2">
      <c r="A364" s="10"/>
      <c r="T364" s="29"/>
    </row>
    <row r="365" spans="1:20" s="4" customFormat="1" ht="13.2">
      <c r="A365" s="10"/>
      <c r="T365" s="29"/>
    </row>
    <row r="366" spans="1:20" s="4" customFormat="1" ht="13.2">
      <c r="A366" s="10"/>
      <c r="T366" s="29"/>
    </row>
    <row r="367" spans="1:20" s="4" customFormat="1" ht="11.55" customHeight="1">
      <c r="A367" s="10"/>
      <c r="T367" s="29"/>
    </row>
    <row r="368" spans="1:20" s="4" customFormat="1" ht="13.2">
      <c r="A368" s="10"/>
      <c r="T368" s="29"/>
    </row>
    <row r="369" spans="1:20" s="4" customFormat="1" ht="13.2">
      <c r="A369" s="10"/>
      <c r="T369" s="29"/>
    </row>
    <row r="370" spans="1:20" s="4" customFormat="1" ht="13.2">
      <c r="A370" s="10"/>
      <c r="T370" s="29"/>
    </row>
    <row r="371" spans="1:20" s="4" customFormat="1" ht="13.2">
      <c r="A371" s="10"/>
      <c r="T371" s="29"/>
    </row>
    <row r="372" spans="1:20" s="4" customFormat="1" ht="13.2">
      <c r="A372" s="10"/>
      <c r="T372" s="29"/>
    </row>
    <row r="373" spans="1:20" s="4" customFormat="1" ht="13.2">
      <c r="A373" s="10"/>
      <c r="T373" s="29"/>
    </row>
    <row r="374" spans="1:20" s="4" customFormat="1" ht="13.2">
      <c r="A374" s="10"/>
      <c r="T374" s="29"/>
    </row>
    <row r="375" spans="1:20" s="305" customFormat="1" ht="14.25" customHeight="1">
      <c r="B375" s="80" t="s">
        <v>22</v>
      </c>
      <c r="C375" s="383">
        <v>2016</v>
      </c>
      <c r="D375" s="389">
        <v>2017</v>
      </c>
      <c r="E375" s="389">
        <v>2018</v>
      </c>
      <c r="F375" s="389">
        <v>2019</v>
      </c>
      <c r="G375" s="389">
        <v>2020</v>
      </c>
      <c r="H375" s="389">
        <v>2021</v>
      </c>
      <c r="I375" s="389">
        <v>2022</v>
      </c>
      <c r="J375" s="389">
        <v>2023</v>
      </c>
      <c r="K375" s="389">
        <v>2024</v>
      </c>
      <c r="L375" s="389">
        <v>2025</v>
      </c>
      <c r="M375" s="389">
        <v>2026</v>
      </c>
      <c r="T375" s="547"/>
    </row>
    <row r="376" spans="1:20" s="4" customFormat="1" ht="15.6">
      <c r="A376" s="10"/>
      <c r="B376" s="358" t="s">
        <v>81</v>
      </c>
      <c r="C376" s="391">
        <f>'Products x speed'!E41</f>
        <v>14816</v>
      </c>
      <c r="D376" s="391">
        <f>'Products x speed'!F41</f>
        <v>6913</v>
      </c>
      <c r="E376" s="391">
        <f>'Products x speed'!G41</f>
        <v>0</v>
      </c>
      <c r="F376" s="391">
        <f>'Products x speed'!H41</f>
        <v>0</v>
      </c>
      <c r="G376" s="391">
        <f>'Products x speed'!I41</f>
        <v>0</v>
      </c>
      <c r="H376" s="391">
        <f>'Products x speed'!J41</f>
        <v>0</v>
      </c>
      <c r="I376" s="391">
        <f>'Products x speed'!K41</f>
        <v>0</v>
      </c>
      <c r="J376" s="391">
        <f>'Products x speed'!L41</f>
        <v>0</v>
      </c>
      <c r="K376" s="391">
        <f>'Products x speed'!M41</f>
        <v>0</v>
      </c>
      <c r="L376" s="391">
        <f>'Products x speed'!N41</f>
        <v>0</v>
      </c>
      <c r="M376" s="391">
        <f>'Products x speed'!O41</f>
        <v>0</v>
      </c>
      <c r="T376" s="545"/>
    </row>
    <row r="377" spans="1:20" s="4" customFormat="1" ht="15.6">
      <c r="A377" s="10"/>
      <c r="B377" s="289" t="s">
        <v>141</v>
      </c>
      <c r="C377" s="393">
        <f>'Products x speed'!E42</f>
        <v>4367</v>
      </c>
      <c r="D377" s="393">
        <f>'Products x speed'!F42</f>
        <v>2269</v>
      </c>
      <c r="E377" s="393">
        <f>'Products x speed'!G42</f>
        <v>0</v>
      </c>
      <c r="F377" s="393">
        <f>'Products x speed'!H42</f>
        <v>0</v>
      </c>
      <c r="G377" s="393">
        <f>'Products x speed'!I42</f>
        <v>0</v>
      </c>
      <c r="H377" s="393">
        <f>'Products x speed'!J42</f>
        <v>0</v>
      </c>
      <c r="I377" s="393">
        <f>'Products x speed'!K42</f>
        <v>0</v>
      </c>
      <c r="J377" s="393">
        <f>'Products x speed'!L42</f>
        <v>0</v>
      </c>
      <c r="K377" s="393">
        <f>'Products x speed'!M42</f>
        <v>0</v>
      </c>
      <c r="L377" s="393">
        <f>'Products x speed'!N42</f>
        <v>0</v>
      </c>
      <c r="M377" s="393">
        <f>'Products x speed'!O42</f>
        <v>0</v>
      </c>
      <c r="T377" s="545"/>
    </row>
    <row r="378" spans="1:20" s="4" customFormat="1" ht="15.6">
      <c r="A378" s="10"/>
      <c r="B378" s="289" t="s">
        <v>190</v>
      </c>
      <c r="C378" s="393">
        <f>'Products x speed'!E43+'Products x speed'!E44</f>
        <v>280058</v>
      </c>
      <c r="D378" s="393">
        <f>'Products x speed'!F43+'Products x speed'!F44</f>
        <v>622792</v>
      </c>
      <c r="E378" s="393">
        <f>'Products x speed'!G43+'Products x speed'!G44</f>
        <v>0</v>
      </c>
      <c r="F378" s="393">
        <f>'Products x speed'!H43+'Products x speed'!H44</f>
        <v>0</v>
      </c>
      <c r="G378" s="393">
        <f>'Products x speed'!I43+'Products x speed'!I44</f>
        <v>0</v>
      </c>
      <c r="H378" s="393">
        <f>'Products x speed'!J43+'Products x speed'!J44</f>
        <v>0</v>
      </c>
      <c r="I378" s="393">
        <f>'Products x speed'!K43+'Products x speed'!K44</f>
        <v>0</v>
      </c>
      <c r="J378" s="393">
        <f>'Products x speed'!L43+'Products x speed'!L44</f>
        <v>0</v>
      </c>
      <c r="K378" s="393">
        <f>'Products x speed'!M43+'Products x speed'!M44</f>
        <v>0</v>
      </c>
      <c r="L378" s="393">
        <f>'Products x speed'!N43+'Products x speed'!N44</f>
        <v>0</v>
      </c>
      <c r="M378" s="393">
        <f>'Products x speed'!O43+'Products x speed'!O44</f>
        <v>0</v>
      </c>
      <c r="T378" s="545"/>
    </row>
    <row r="379" spans="1:20" s="4" customFormat="1" ht="15.6">
      <c r="A379" s="10"/>
      <c r="B379" s="289" t="s">
        <v>189</v>
      </c>
      <c r="C379" s="393"/>
      <c r="D379" s="393"/>
      <c r="E379" s="393">
        <f>'Products x speed'!G45</f>
        <v>0</v>
      </c>
      <c r="F379" s="393">
        <f>'Products x speed'!H45</f>
        <v>0</v>
      </c>
      <c r="G379" s="393">
        <f>'Products x speed'!I45</f>
        <v>0</v>
      </c>
      <c r="H379" s="393">
        <f>'Products x speed'!J45</f>
        <v>0</v>
      </c>
      <c r="I379" s="393">
        <f>'Products x speed'!K45</f>
        <v>0</v>
      </c>
      <c r="J379" s="393">
        <f>'Products x speed'!L45</f>
        <v>0</v>
      </c>
      <c r="K379" s="393">
        <f>'Products x speed'!M45</f>
        <v>0</v>
      </c>
      <c r="L379" s="393">
        <f>'Products x speed'!N45</f>
        <v>0</v>
      </c>
      <c r="M379" s="393">
        <f>'Products x speed'!O45</f>
        <v>0</v>
      </c>
      <c r="T379" s="545"/>
    </row>
    <row r="380" spans="1:20" s="4" customFormat="1" ht="15.6">
      <c r="A380" s="10"/>
      <c r="B380" s="289" t="s">
        <v>222</v>
      </c>
      <c r="C380" s="386"/>
      <c r="D380" s="386"/>
      <c r="E380" s="386">
        <f>'Products x speed'!G46</f>
        <v>0</v>
      </c>
      <c r="F380" s="386">
        <f>'Products x speed'!H46</f>
        <v>0</v>
      </c>
      <c r="G380" s="386">
        <f>'Products x speed'!I46</f>
        <v>0</v>
      </c>
      <c r="H380" s="386">
        <f>'Products x speed'!J46</f>
        <v>0</v>
      </c>
      <c r="I380" s="386">
        <f>'Products x speed'!K46</f>
        <v>0</v>
      </c>
      <c r="J380" s="386">
        <f>'Products x speed'!L46</f>
        <v>0</v>
      </c>
      <c r="K380" s="386">
        <f>'Products x speed'!M46</f>
        <v>0</v>
      </c>
      <c r="L380" s="386">
        <f>'Products x speed'!N46</f>
        <v>0</v>
      </c>
      <c r="M380" s="386">
        <f>'Products x speed'!O46</f>
        <v>0</v>
      </c>
      <c r="T380" s="545"/>
    </row>
    <row r="381" spans="1:20" s="4" customFormat="1">
      <c r="A381" s="10"/>
      <c r="B381" s="297" t="s">
        <v>176</v>
      </c>
      <c r="C381" s="386">
        <f t="shared" ref="C381:K381" si="63">SUM(C376:C380)</f>
        <v>299241</v>
      </c>
      <c r="D381" s="386">
        <f t="shared" si="63"/>
        <v>631974</v>
      </c>
      <c r="E381" s="386">
        <f t="shared" si="63"/>
        <v>0</v>
      </c>
      <c r="F381" s="386">
        <f t="shared" si="63"/>
        <v>0</v>
      </c>
      <c r="G381" s="386">
        <f t="shared" si="63"/>
        <v>0</v>
      </c>
      <c r="H381" s="386">
        <f t="shared" si="63"/>
        <v>0</v>
      </c>
      <c r="I381" s="386">
        <f t="shared" si="63"/>
        <v>0</v>
      </c>
      <c r="J381" s="386">
        <f t="shared" si="63"/>
        <v>0</v>
      </c>
      <c r="K381" s="386">
        <f t="shared" si="63"/>
        <v>0</v>
      </c>
      <c r="L381" s="386">
        <f>SUM(L376:L380)</f>
        <v>0</v>
      </c>
      <c r="M381" s="386">
        <f>SUM(M376:M380)</f>
        <v>0</v>
      </c>
      <c r="T381" s="29"/>
    </row>
    <row r="382" spans="1:20" s="4" customFormat="1" ht="13.2">
      <c r="A382" s="10"/>
      <c r="C382" s="66"/>
      <c r="D382" s="66">
        <f t="shared" ref="D382:M382" si="64">D381/C381-1</f>
        <v>1.111923165608991</v>
      </c>
      <c r="E382" s="66">
        <f t="shared" si="64"/>
        <v>-1</v>
      </c>
      <c r="F382" s="66" t="e">
        <f t="shared" si="64"/>
        <v>#DIV/0!</v>
      </c>
      <c r="G382" s="66" t="e">
        <f t="shared" si="64"/>
        <v>#DIV/0!</v>
      </c>
      <c r="H382" s="66" t="e">
        <f t="shared" si="64"/>
        <v>#DIV/0!</v>
      </c>
      <c r="I382" s="66" t="e">
        <f t="shared" si="64"/>
        <v>#DIV/0!</v>
      </c>
      <c r="J382" s="66" t="e">
        <f t="shared" si="64"/>
        <v>#DIV/0!</v>
      </c>
      <c r="K382" s="66" t="e">
        <f t="shared" si="64"/>
        <v>#DIV/0!</v>
      </c>
      <c r="L382" s="66" t="e">
        <f t="shared" si="64"/>
        <v>#DIV/0!</v>
      </c>
      <c r="M382" s="66" t="e">
        <f t="shared" si="64"/>
        <v>#DIV/0!</v>
      </c>
      <c r="T382" s="29"/>
    </row>
    <row r="383" spans="1:20" s="4" customFormat="1">
      <c r="A383" s="10"/>
      <c r="B383" s="80" t="s">
        <v>21</v>
      </c>
      <c r="C383" s="383">
        <v>2016</v>
      </c>
      <c r="D383" s="389">
        <v>2017</v>
      </c>
      <c r="E383" s="389">
        <v>2018</v>
      </c>
      <c r="F383" s="389">
        <v>2019</v>
      </c>
      <c r="G383" s="389">
        <v>2020</v>
      </c>
      <c r="H383" s="389">
        <v>2021</v>
      </c>
      <c r="I383" s="389">
        <v>2022</v>
      </c>
      <c r="J383" s="389">
        <v>2023</v>
      </c>
      <c r="K383" s="389">
        <v>2024</v>
      </c>
      <c r="L383" s="389">
        <v>2025</v>
      </c>
      <c r="M383" s="389">
        <v>2026</v>
      </c>
      <c r="T383" s="29"/>
    </row>
    <row r="384" spans="1:20" s="4" customFormat="1">
      <c r="A384" s="10"/>
      <c r="B384" s="358" t="str">
        <f t="shared" ref="B384:B389" si="65">B376</f>
        <v>100 m  100G CFP</v>
      </c>
      <c r="C384" s="396">
        <f t="shared" ref="C384:F385" si="66">IF(C376=0,"",C392*10^6/C376)</f>
        <v>1422.7039686825053</v>
      </c>
      <c r="D384" s="396">
        <f t="shared" si="66"/>
        <v>1273.3986691740201</v>
      </c>
      <c r="E384" s="396" t="str">
        <f t="shared" si="66"/>
        <v/>
      </c>
      <c r="F384" s="396" t="str">
        <f t="shared" si="66"/>
        <v/>
      </c>
      <c r="G384" s="396" t="str">
        <f>IF(G376=0,"",G392*10^6/G376)</f>
        <v/>
      </c>
      <c r="H384" s="396" t="str">
        <f>IF(H376=0,"",H392*10^6/H376)</f>
        <v/>
      </c>
      <c r="I384" s="396" t="str">
        <f t="shared" ref="I384:K385" si="67">IF(I376=0,"",I392*10^6/I376)</f>
        <v/>
      </c>
      <c r="J384" s="396" t="str">
        <f t="shared" si="67"/>
        <v/>
      </c>
      <c r="K384" s="396" t="str">
        <f t="shared" si="67"/>
        <v/>
      </c>
      <c r="L384" s="396" t="str">
        <f>IF(L376=0,"",L392*10^6/L376)</f>
        <v/>
      </c>
      <c r="M384" s="396" t="str">
        <f>IF(M376=0,"",M392*10^6/M376)</f>
        <v/>
      </c>
      <c r="T384" s="29"/>
    </row>
    <row r="385" spans="1:20" s="4" customFormat="1">
      <c r="A385" s="10"/>
      <c r="B385" s="289" t="str">
        <f t="shared" si="65"/>
        <v>100 m  100G CFP2/CFP4</v>
      </c>
      <c r="C385" s="283">
        <f t="shared" si="66"/>
        <v>1204.7629951912068</v>
      </c>
      <c r="D385" s="283">
        <f t="shared" si="66"/>
        <v>1092.608197443808</v>
      </c>
      <c r="E385" s="283" t="str">
        <f t="shared" si="66"/>
        <v/>
      </c>
      <c r="F385" s="283" t="str">
        <f t="shared" si="66"/>
        <v/>
      </c>
      <c r="G385" s="283" t="str">
        <f>IF(G377=0,"",G393*10^6/G377)</f>
        <v/>
      </c>
      <c r="H385" s="283" t="str">
        <f>IF(H377=0,"",H393*10^6/H377)</f>
        <v/>
      </c>
      <c r="I385" s="283" t="str">
        <f t="shared" si="67"/>
        <v/>
      </c>
      <c r="J385" s="283" t="str">
        <f t="shared" si="67"/>
        <v/>
      </c>
      <c r="K385" s="283" t="str">
        <f t="shared" si="67"/>
        <v/>
      </c>
      <c r="L385" s="283" t="str">
        <f>IF(L377=0,"",L393*10^6/L377)</f>
        <v/>
      </c>
      <c r="M385" s="283" t="str">
        <f>IF(M377=0,"",M393*10^6/M377)</f>
        <v/>
      </c>
      <c r="T385" s="29"/>
    </row>
    <row r="386" spans="1:20" s="4" customFormat="1">
      <c r="A386" s="10"/>
      <c r="B386" s="289" t="str">
        <f t="shared" si="65"/>
        <v>100 m  100G SR2, SR4  QSFP28</v>
      </c>
      <c r="C386" s="283">
        <f>IF(C378=0,"",C394*10^6/C378)</f>
        <v>258.09426618771823</v>
      </c>
      <c r="D386" s="283">
        <f>IF(D378=0,"",D394*10^6/D378)</f>
        <v>182.02277386466108</v>
      </c>
      <c r="E386" s="283" t="str">
        <f>IF(E378=0,"",E394*10^6/E378)</f>
        <v/>
      </c>
      <c r="F386" s="283" t="str">
        <f t="shared" ref="F386:L386" si="68">IF(F378=0,"",F394*10^6/F378)</f>
        <v/>
      </c>
      <c r="G386" s="283" t="str">
        <f t="shared" si="68"/>
        <v/>
      </c>
      <c r="H386" s="283" t="str">
        <f t="shared" si="68"/>
        <v/>
      </c>
      <c r="I386" s="283" t="str">
        <f t="shared" si="68"/>
        <v/>
      </c>
      <c r="J386" s="283" t="str">
        <f t="shared" si="68"/>
        <v/>
      </c>
      <c r="K386" s="283" t="str">
        <f t="shared" si="68"/>
        <v/>
      </c>
      <c r="L386" s="283" t="str">
        <f t="shared" si="68"/>
        <v/>
      </c>
      <c r="M386" s="283" t="str">
        <f t="shared" ref="M386" si="69">IF(M378=0,"",M394*10^6/M378)</f>
        <v/>
      </c>
      <c r="T386" s="29"/>
    </row>
    <row r="387" spans="1:20" s="4" customFormat="1">
      <c r="A387" s="10"/>
      <c r="B387" s="289" t="str">
        <f t="shared" si="65"/>
        <v>100 m  100G QSFP28 MM Duplex</v>
      </c>
      <c r="C387" s="283"/>
      <c r="D387" s="283" t="str">
        <f>IF(D379=0,"",D395*10^6/D379)</f>
        <v/>
      </c>
      <c r="E387" s="283" t="str">
        <f>IF(E379=0,"",E395*10^6/E379)</f>
        <v/>
      </c>
      <c r="F387" s="283" t="str">
        <f t="shared" ref="F387:L387" si="70">IF(F379=0,"",F395*10^6/F379)</f>
        <v/>
      </c>
      <c r="G387" s="283" t="str">
        <f t="shared" si="70"/>
        <v/>
      </c>
      <c r="H387" s="283" t="str">
        <f t="shared" si="70"/>
        <v/>
      </c>
      <c r="I387" s="283" t="str">
        <f t="shared" si="70"/>
        <v/>
      </c>
      <c r="J387" s="283" t="str">
        <f t="shared" si="70"/>
        <v/>
      </c>
      <c r="K387" s="283" t="str">
        <f t="shared" si="70"/>
        <v/>
      </c>
      <c r="L387" s="283" t="str">
        <f t="shared" si="70"/>
        <v/>
      </c>
      <c r="M387" s="283" t="str">
        <f t="shared" ref="M387" si="71">IF(M379=0,"",M395*10^6/M379)</f>
        <v/>
      </c>
      <c r="T387" s="29"/>
    </row>
    <row r="388" spans="1:20" s="4" customFormat="1" ht="15.6">
      <c r="A388" s="10"/>
      <c r="B388" s="289" t="str">
        <f t="shared" si="65"/>
        <v>300 m  100G QSFP28  eSR4</v>
      </c>
      <c r="C388" s="399"/>
      <c r="D388" s="399"/>
      <c r="E388" s="399" t="e">
        <f>E387-20</f>
        <v>#VALUE!</v>
      </c>
      <c r="F388" s="399" t="e">
        <f t="shared" ref="F388:L388" si="72">F387-20</f>
        <v>#VALUE!</v>
      </c>
      <c r="G388" s="399" t="e">
        <f t="shared" si="72"/>
        <v>#VALUE!</v>
      </c>
      <c r="H388" s="399" t="e">
        <f t="shared" si="72"/>
        <v>#VALUE!</v>
      </c>
      <c r="I388" s="399" t="e">
        <f t="shared" si="72"/>
        <v>#VALUE!</v>
      </c>
      <c r="J388" s="399" t="e">
        <f t="shared" si="72"/>
        <v>#VALUE!</v>
      </c>
      <c r="K388" s="399" t="e">
        <f t="shared" si="72"/>
        <v>#VALUE!</v>
      </c>
      <c r="L388" s="399" t="e">
        <f t="shared" si="72"/>
        <v>#VALUE!</v>
      </c>
      <c r="M388" s="399" t="e">
        <f t="shared" ref="M388" si="73">M387-20</f>
        <v>#VALUE!</v>
      </c>
      <c r="T388" s="545"/>
    </row>
    <row r="389" spans="1:20" s="4" customFormat="1">
      <c r="A389" s="10"/>
      <c r="B389" s="297" t="str">
        <f t="shared" si="65"/>
        <v>100G Short Reach</v>
      </c>
      <c r="C389" s="399">
        <f t="shared" ref="C389:H389" si="74">IF(C381=0,"",C397*10^6/C381)</f>
        <v>329.57163623968637</v>
      </c>
      <c r="D389" s="399">
        <f t="shared" si="74"/>
        <v>197.23036134511864</v>
      </c>
      <c r="E389" s="399" t="str">
        <f t="shared" si="74"/>
        <v/>
      </c>
      <c r="F389" s="399" t="str">
        <f t="shared" si="74"/>
        <v/>
      </c>
      <c r="G389" s="399" t="str">
        <f t="shared" si="74"/>
        <v/>
      </c>
      <c r="H389" s="399" t="str">
        <f t="shared" si="74"/>
        <v/>
      </c>
      <c r="I389" s="399" t="str">
        <f>IF(I381=0,"",I397*10^6/I381)</f>
        <v/>
      </c>
      <c r="J389" s="399" t="str">
        <f>IF(J381=0,"",J397*10^6/J381)</f>
        <v/>
      </c>
      <c r="K389" s="399" t="str">
        <f>IF(K381=0,"",K397*10^6/K381)</f>
        <v/>
      </c>
      <c r="L389" s="399" t="str">
        <f>IF(L381=0,"",L397*10^6/L381)</f>
        <v/>
      </c>
      <c r="M389" s="399" t="str">
        <f>IF(M381=0,"",M397*10^6/M381)</f>
        <v/>
      </c>
      <c r="T389" s="29"/>
    </row>
    <row r="390" spans="1:20" s="4" customFormat="1" ht="13.2">
      <c r="A390" s="10"/>
      <c r="T390" s="29"/>
    </row>
    <row r="391" spans="1:20" s="4" customFormat="1">
      <c r="A391" s="10"/>
      <c r="B391" s="80" t="s">
        <v>15</v>
      </c>
      <c r="C391" s="383">
        <v>2016</v>
      </c>
      <c r="D391" s="389">
        <v>2017</v>
      </c>
      <c r="E391" s="389">
        <v>2018</v>
      </c>
      <c r="F391" s="389">
        <v>2019</v>
      </c>
      <c r="G391" s="389">
        <v>2020</v>
      </c>
      <c r="H391" s="389">
        <v>2021</v>
      </c>
      <c r="I391" s="389">
        <v>2022</v>
      </c>
      <c r="J391" s="389">
        <v>2023</v>
      </c>
      <c r="K391" s="389">
        <v>2024</v>
      </c>
      <c r="L391" s="389">
        <v>2025</v>
      </c>
      <c r="M391" s="389">
        <v>2026</v>
      </c>
      <c r="T391" s="29"/>
    </row>
    <row r="392" spans="1:20" s="4" customFormat="1" ht="15.6">
      <c r="A392" s="10"/>
      <c r="B392" s="358" t="str">
        <f t="shared" ref="B392:B397" si="75">B376</f>
        <v>100 m  100G CFP</v>
      </c>
      <c r="C392" s="409">
        <f>'Products x speed'!E233</f>
        <v>21.078782</v>
      </c>
      <c r="D392" s="409">
        <f>'Products x speed'!F233</f>
        <v>8.8030050000000024</v>
      </c>
      <c r="E392" s="409">
        <f>'Products x speed'!G233</f>
        <v>0</v>
      </c>
      <c r="F392" s="409">
        <f>'Products x speed'!H233</f>
        <v>0</v>
      </c>
      <c r="G392" s="409">
        <f>'Products x speed'!I233</f>
        <v>0</v>
      </c>
      <c r="H392" s="409">
        <f>'Products x speed'!J233</f>
        <v>0</v>
      </c>
      <c r="I392" s="409">
        <f>'Products x speed'!K233</f>
        <v>0</v>
      </c>
      <c r="J392" s="409">
        <f>'Products x speed'!L233</f>
        <v>0</v>
      </c>
      <c r="K392" s="409">
        <f>'Products x speed'!M233</f>
        <v>0</v>
      </c>
      <c r="L392" s="409">
        <f>'Products x speed'!N233</f>
        <v>0</v>
      </c>
      <c r="M392" s="409">
        <f>'Products x speed'!O233</f>
        <v>0</v>
      </c>
      <c r="T392" s="545"/>
    </row>
    <row r="393" spans="1:20" s="4" customFormat="1" ht="15.6">
      <c r="A393" s="10"/>
      <c r="B393" s="289" t="str">
        <f t="shared" si="75"/>
        <v>100 m  100G CFP2/CFP4</v>
      </c>
      <c r="C393" s="285">
        <f>'Products x speed'!E234</f>
        <v>5.2611999999999997</v>
      </c>
      <c r="D393" s="285">
        <f>'Products x speed'!F234</f>
        <v>2.4791280000000007</v>
      </c>
      <c r="E393" s="285">
        <f>'Products x speed'!G234</f>
        <v>0</v>
      </c>
      <c r="F393" s="285">
        <f>'Products x speed'!H234</f>
        <v>0</v>
      </c>
      <c r="G393" s="285">
        <f>'Products x speed'!I234</f>
        <v>0</v>
      </c>
      <c r="H393" s="285">
        <f>'Products x speed'!J234</f>
        <v>0</v>
      </c>
      <c r="I393" s="285">
        <f>'Products x speed'!K234</f>
        <v>0</v>
      </c>
      <c r="J393" s="285">
        <f>'Products x speed'!L234</f>
        <v>0</v>
      </c>
      <c r="K393" s="285">
        <f>'Products x speed'!M234</f>
        <v>0</v>
      </c>
      <c r="L393" s="285">
        <f>'Products x speed'!N234</f>
        <v>0</v>
      </c>
      <c r="M393" s="285">
        <f>'Products x speed'!O234</f>
        <v>0</v>
      </c>
      <c r="T393" s="545"/>
    </row>
    <row r="394" spans="1:20" s="4" customFormat="1" ht="15.6">
      <c r="A394" s="10"/>
      <c r="B394" s="289" t="str">
        <f t="shared" si="75"/>
        <v>100 m  100G SR2, SR4  QSFP28</v>
      </c>
      <c r="C394" s="285">
        <f>'Products x speed'!E235+'Products x speed'!E236</f>
        <v>72.281363999999996</v>
      </c>
      <c r="D394" s="285">
        <f>'Products x speed'!F235+'Products x speed'!F236</f>
        <v>113.36232738072</v>
      </c>
      <c r="E394" s="285">
        <f>'Products x speed'!G235+'Products x speed'!G236</f>
        <v>0</v>
      </c>
      <c r="F394" s="285">
        <f>'Products x speed'!H235+'Products x speed'!H236</f>
        <v>0</v>
      </c>
      <c r="G394" s="285">
        <f>'Products x speed'!I235+'Products x speed'!I236</f>
        <v>0</v>
      </c>
      <c r="H394" s="285">
        <f>'Products x speed'!J235+'Products x speed'!J236</f>
        <v>0</v>
      </c>
      <c r="I394" s="285">
        <f>'Products x speed'!K235+'Products x speed'!K236</f>
        <v>0</v>
      </c>
      <c r="J394" s="285">
        <f>'Products x speed'!L235+'Products x speed'!L236</f>
        <v>0</v>
      </c>
      <c r="K394" s="285">
        <f>'Products x speed'!M235+'Products x speed'!M236</f>
        <v>0</v>
      </c>
      <c r="L394" s="285">
        <f>'Products x speed'!N235+'Products x speed'!N236</f>
        <v>0</v>
      </c>
      <c r="M394" s="285">
        <f>'Products x speed'!O235+'Products x speed'!O236</f>
        <v>0</v>
      </c>
      <c r="T394" s="545"/>
    </row>
    <row r="395" spans="1:20" s="4" customFormat="1" ht="15.6">
      <c r="A395" s="10"/>
      <c r="B395" s="289" t="str">
        <f t="shared" si="75"/>
        <v>100 m  100G QSFP28 MM Duplex</v>
      </c>
      <c r="C395" s="285"/>
      <c r="D395" s="285"/>
      <c r="E395" s="285">
        <f>'Products x speed'!G237</f>
        <v>0</v>
      </c>
      <c r="F395" s="285">
        <f>'Products x speed'!H237</f>
        <v>0</v>
      </c>
      <c r="G395" s="285">
        <f>'Products x speed'!I237</f>
        <v>0</v>
      </c>
      <c r="H395" s="285">
        <f>'Products x speed'!J237</f>
        <v>0</v>
      </c>
      <c r="I395" s="285">
        <f>'Products x speed'!K237</f>
        <v>0</v>
      </c>
      <c r="J395" s="285">
        <f>'Products x speed'!L237</f>
        <v>0</v>
      </c>
      <c r="K395" s="285">
        <f>'Products x speed'!M237</f>
        <v>0</v>
      </c>
      <c r="L395" s="285">
        <f>'Products x speed'!N237</f>
        <v>0</v>
      </c>
      <c r="M395" s="285">
        <f>'Products x speed'!O237</f>
        <v>0</v>
      </c>
      <c r="T395" s="545"/>
    </row>
    <row r="396" spans="1:20" s="4" customFormat="1" ht="15.6">
      <c r="A396" s="10"/>
      <c r="B396" s="289" t="str">
        <f t="shared" si="75"/>
        <v>300 m  100G QSFP28  eSR4</v>
      </c>
      <c r="C396" s="410"/>
      <c r="D396" s="410"/>
      <c r="E396" s="410">
        <f>'Products x speed'!G238</f>
        <v>0</v>
      </c>
      <c r="F396" s="410">
        <f>'Products x speed'!H238</f>
        <v>0</v>
      </c>
      <c r="G396" s="410">
        <f>'Products x speed'!I238</f>
        <v>0</v>
      </c>
      <c r="H396" s="410">
        <f>'Products x speed'!J238</f>
        <v>0</v>
      </c>
      <c r="I396" s="410">
        <f>'Products x speed'!K238</f>
        <v>0</v>
      </c>
      <c r="J396" s="410">
        <f>'Products x speed'!L238</f>
        <v>0</v>
      </c>
      <c r="K396" s="410">
        <f>'Products x speed'!M238</f>
        <v>0</v>
      </c>
      <c r="L396" s="410">
        <f>'Products x speed'!N238</f>
        <v>0</v>
      </c>
      <c r="M396" s="410">
        <f>'Products x speed'!O238</f>
        <v>0</v>
      </c>
      <c r="T396" s="545"/>
    </row>
    <row r="397" spans="1:20" s="4" customFormat="1">
      <c r="A397" s="10"/>
      <c r="B397" s="297" t="str">
        <f t="shared" si="75"/>
        <v>100G Short Reach</v>
      </c>
      <c r="C397" s="399">
        <f t="shared" ref="C397:L397" si="76">SUM(C392:C396)</f>
        <v>98.621345999999988</v>
      </c>
      <c r="D397" s="399">
        <f t="shared" si="76"/>
        <v>124.64446038072001</v>
      </c>
      <c r="E397" s="399">
        <f t="shared" si="76"/>
        <v>0</v>
      </c>
      <c r="F397" s="399">
        <f t="shared" si="76"/>
        <v>0</v>
      </c>
      <c r="G397" s="399">
        <f t="shared" si="76"/>
        <v>0</v>
      </c>
      <c r="H397" s="399">
        <f t="shared" si="76"/>
        <v>0</v>
      </c>
      <c r="I397" s="399">
        <f t="shared" si="76"/>
        <v>0</v>
      </c>
      <c r="J397" s="399">
        <f t="shared" si="76"/>
        <v>0</v>
      </c>
      <c r="K397" s="399">
        <f t="shared" si="76"/>
        <v>0</v>
      </c>
      <c r="L397" s="399">
        <f t="shared" si="76"/>
        <v>0</v>
      </c>
      <c r="M397" s="399">
        <f t="shared" ref="M397" si="77">SUM(M392:M396)</f>
        <v>0</v>
      </c>
      <c r="T397" s="29"/>
    </row>
    <row r="398" spans="1:20" ht="12" customHeight="1"/>
    <row r="399" spans="1:20" ht="21">
      <c r="B399" s="17" t="s">
        <v>188</v>
      </c>
      <c r="C399" s="393"/>
      <c r="D399" s="393"/>
      <c r="E399" s="393"/>
      <c r="F399" s="393"/>
      <c r="G399" s="393"/>
      <c r="H399" s="393"/>
      <c r="I399" s="393"/>
      <c r="J399" s="393"/>
      <c r="K399" s="393"/>
      <c r="L399" s="393"/>
      <c r="M399" s="393"/>
      <c r="N399" s="393"/>
      <c r="O399" s="393"/>
    </row>
    <row r="400" spans="1:20" ht="21">
      <c r="B400" s="302" t="s">
        <v>22</v>
      </c>
      <c r="G400" s="302" t="s">
        <v>21</v>
      </c>
      <c r="N400" s="302" t="s">
        <v>15</v>
      </c>
    </row>
    <row r="401" spans="1:20" s="4" customFormat="1">
      <c r="A401" s="273"/>
      <c r="T401" s="29"/>
    </row>
    <row r="402" spans="1:20" s="4" customFormat="1">
      <c r="A402" s="273"/>
      <c r="T402" s="29"/>
    </row>
    <row r="403" spans="1:20" s="4" customFormat="1">
      <c r="A403" s="273"/>
      <c r="T403" s="29"/>
    </row>
    <row r="404" spans="1:20" s="4" customFormat="1">
      <c r="A404" s="273"/>
      <c r="T404" s="29"/>
    </row>
    <row r="405" spans="1:20" s="4" customFormat="1">
      <c r="A405" s="273"/>
      <c r="T405" s="29"/>
    </row>
    <row r="406" spans="1:20" s="4" customFormat="1">
      <c r="A406" s="273"/>
      <c r="T406" s="29"/>
    </row>
    <row r="407" spans="1:20" s="4" customFormat="1">
      <c r="A407" s="273"/>
      <c r="T407" s="29"/>
    </row>
    <row r="408" spans="1:20" s="4" customFormat="1">
      <c r="A408" s="273"/>
      <c r="T408" s="29"/>
    </row>
    <row r="409" spans="1:20" s="4" customFormat="1">
      <c r="A409" s="273"/>
      <c r="T409" s="29"/>
    </row>
    <row r="410" spans="1:20" s="4" customFormat="1">
      <c r="A410" s="273"/>
      <c r="T410" s="29"/>
    </row>
    <row r="411" spans="1:20" s="4" customFormat="1">
      <c r="A411" s="273"/>
      <c r="T411" s="29"/>
    </row>
    <row r="412" spans="1:20" s="4" customFormat="1">
      <c r="A412" s="273"/>
      <c r="T412" s="29"/>
    </row>
    <row r="413" spans="1:20" s="4" customFormat="1">
      <c r="A413" s="273"/>
      <c r="T413" s="29"/>
    </row>
    <row r="414" spans="1:20" s="4" customFormat="1">
      <c r="A414" s="273"/>
      <c r="T414" s="29"/>
    </row>
    <row r="415" spans="1:20" s="4" customFormat="1">
      <c r="A415" s="273"/>
      <c r="T415" s="29"/>
    </row>
    <row r="416" spans="1:20" s="4" customFormat="1">
      <c r="A416" s="273"/>
      <c r="T416" s="29"/>
    </row>
    <row r="417" spans="1:20" s="4" customFormat="1">
      <c r="A417" s="273"/>
      <c r="T417" s="29"/>
    </row>
    <row r="418" spans="1:20" s="4" customFormat="1">
      <c r="A418" s="273"/>
      <c r="T418" s="29"/>
    </row>
    <row r="419" spans="1:20" s="4" customFormat="1">
      <c r="A419" s="273"/>
      <c r="T419" s="29"/>
    </row>
    <row r="420" spans="1:20" s="4" customFormat="1">
      <c r="A420" s="273"/>
      <c r="T420" s="29"/>
    </row>
    <row r="421" spans="1:20" s="4" customFormat="1">
      <c r="A421" s="273"/>
      <c r="T421" s="29"/>
    </row>
    <row r="422" spans="1:20" s="4" customFormat="1">
      <c r="A422" s="273"/>
      <c r="T422" s="29"/>
    </row>
    <row r="423" spans="1:20" s="4" customFormat="1">
      <c r="A423" s="273"/>
      <c r="T423" s="29"/>
    </row>
    <row r="424" spans="1:20" s="4" customFormat="1">
      <c r="A424" s="273"/>
      <c r="T424" s="29"/>
    </row>
    <row r="425" spans="1:20" s="4" customFormat="1">
      <c r="A425" s="273"/>
      <c r="T425" s="29"/>
    </row>
    <row r="426" spans="1:20" s="4" customFormat="1">
      <c r="A426" s="273"/>
      <c r="T426" s="29"/>
    </row>
    <row r="427" spans="1:20" s="4" customFormat="1">
      <c r="A427" s="273"/>
      <c r="T427" s="29"/>
    </row>
    <row r="428" spans="1:20" s="4" customFormat="1">
      <c r="A428" s="273"/>
      <c r="T428" s="29"/>
    </row>
    <row r="429" spans="1:20" s="4" customFormat="1">
      <c r="A429" s="273"/>
      <c r="T429" s="29"/>
    </row>
    <row r="430" spans="1:20" s="4" customFormat="1">
      <c r="A430" s="273"/>
      <c r="T430" s="29"/>
    </row>
    <row r="431" spans="1:20" s="4" customFormat="1">
      <c r="A431" s="273"/>
      <c r="T431" s="29"/>
    </row>
    <row r="432" spans="1:20" s="4" customFormat="1">
      <c r="A432" s="273"/>
      <c r="T432" s="29"/>
    </row>
    <row r="433" spans="1:20" s="4" customFormat="1">
      <c r="A433" s="273"/>
      <c r="T433" s="29"/>
    </row>
    <row r="434" spans="1:20" s="4" customFormat="1">
      <c r="A434" s="273"/>
      <c r="T434" s="29"/>
    </row>
    <row r="435" spans="1:20" s="4" customFormat="1">
      <c r="A435" s="273"/>
      <c r="T435" s="29"/>
    </row>
    <row r="436" spans="1:20" s="4" customFormat="1">
      <c r="A436" s="273"/>
      <c r="T436" s="29"/>
    </row>
    <row r="437" spans="1:20" s="4" customFormat="1">
      <c r="A437" s="273"/>
      <c r="T437" s="29"/>
    </row>
    <row r="438" spans="1:20" s="4" customFormat="1">
      <c r="A438" s="273"/>
      <c r="T438" s="29"/>
    </row>
    <row r="439" spans="1:20" s="4" customFormat="1">
      <c r="A439" s="273"/>
      <c r="T439" s="29"/>
    </row>
    <row r="440" spans="1:20" s="4" customFormat="1">
      <c r="A440" s="273"/>
      <c r="T440" s="29"/>
    </row>
    <row r="441" spans="1:20" s="4" customFormat="1">
      <c r="A441" s="273"/>
      <c r="T441" s="29"/>
    </row>
    <row r="442" spans="1:20" s="4" customFormat="1">
      <c r="A442" s="273"/>
      <c r="T442" s="29"/>
    </row>
    <row r="443" spans="1:20" s="4" customFormat="1">
      <c r="A443" s="273"/>
      <c r="T443" s="29"/>
    </row>
    <row r="444" spans="1:20" s="4" customFormat="1">
      <c r="A444" s="273"/>
      <c r="T444" s="29"/>
    </row>
    <row r="445" spans="1:20" s="4" customFormat="1">
      <c r="A445" s="273"/>
      <c r="T445" s="29"/>
    </row>
    <row r="446" spans="1:20" s="4" customFormat="1">
      <c r="A446" s="273"/>
      <c r="T446" s="29"/>
    </row>
    <row r="447" spans="1:20" s="4" customFormat="1">
      <c r="A447" s="273"/>
      <c r="T447" s="29"/>
    </row>
    <row r="448" spans="1:20" s="4" customFormat="1">
      <c r="A448" s="273"/>
      <c r="T448" s="29"/>
    </row>
    <row r="449" spans="1:20" s="4" customFormat="1">
      <c r="A449" s="273"/>
      <c r="T449" s="29"/>
    </row>
    <row r="450" spans="1:20" s="4" customFormat="1">
      <c r="A450" s="273"/>
      <c r="T450" s="29"/>
    </row>
    <row r="451" spans="1:20" s="4" customFormat="1">
      <c r="A451" s="273"/>
      <c r="T451" s="29"/>
    </row>
    <row r="452" spans="1:20" s="4" customFormat="1">
      <c r="A452" s="273"/>
      <c r="T452" s="29"/>
    </row>
    <row r="453" spans="1:20" s="4" customFormat="1">
      <c r="A453" s="273"/>
      <c r="T453" s="29"/>
    </row>
    <row r="454" spans="1:20" s="4" customFormat="1">
      <c r="A454" s="273"/>
      <c r="T454" s="29"/>
    </row>
    <row r="455" spans="1:20" s="4" customFormat="1">
      <c r="A455" s="273"/>
      <c r="B455" s="80" t="s">
        <v>22</v>
      </c>
      <c r="C455" s="383">
        <v>2016</v>
      </c>
      <c r="D455" s="389">
        <v>2017</v>
      </c>
      <c r="E455" s="389">
        <v>2018</v>
      </c>
      <c r="F455" s="389">
        <v>2019</v>
      </c>
      <c r="G455" s="389">
        <v>2020</v>
      </c>
      <c r="H455" s="389">
        <v>2021</v>
      </c>
      <c r="I455" s="389">
        <v>2022</v>
      </c>
      <c r="J455" s="389">
        <v>2023</v>
      </c>
      <c r="K455" s="389">
        <v>2024</v>
      </c>
      <c r="L455" s="389">
        <v>2025</v>
      </c>
      <c r="M455" s="389">
        <v>2026</v>
      </c>
      <c r="T455" s="29"/>
    </row>
    <row r="456" spans="1:20" s="4" customFormat="1">
      <c r="A456" s="273"/>
      <c r="B456" s="358" t="str">
        <f>'Products x speed'!P47</f>
        <v>100G PSM4_500 m_QSFP28</v>
      </c>
      <c r="C456" s="164">
        <f>'Products x speed'!E47</f>
        <v>200861</v>
      </c>
      <c r="D456" s="164">
        <f>'Products x speed'!F47</f>
        <v>710038</v>
      </c>
      <c r="E456" s="164">
        <f>'Products x speed'!G47</f>
        <v>0</v>
      </c>
      <c r="F456" s="164">
        <f>'Products x speed'!H47</f>
        <v>0</v>
      </c>
      <c r="G456" s="164">
        <f>'Products x speed'!I47</f>
        <v>0</v>
      </c>
      <c r="H456" s="164">
        <f>'Products x speed'!J47</f>
        <v>0</v>
      </c>
      <c r="I456" s="164">
        <f>'Products x speed'!K47</f>
        <v>0</v>
      </c>
      <c r="J456" s="164">
        <f>'Products x speed'!L47</f>
        <v>0</v>
      </c>
      <c r="K456" s="164">
        <f>'Products x speed'!M47</f>
        <v>0</v>
      </c>
      <c r="L456" s="164">
        <f>'Products x speed'!N47</f>
        <v>0</v>
      </c>
      <c r="M456" s="164">
        <f>'Products x speed'!O47</f>
        <v>0</v>
      </c>
      <c r="T456" s="29"/>
    </row>
    <row r="457" spans="1:20" s="4" customFormat="1" ht="15.6">
      <c r="A457" s="273"/>
      <c r="B457" s="289" t="str">
        <f>'Products x speed'!P48</f>
        <v>100G DR_500m_QSFP28</v>
      </c>
      <c r="C457" s="166"/>
      <c r="D457" s="166"/>
      <c r="E457" s="166"/>
      <c r="F457" s="166">
        <f>'Products x speed'!H48</f>
        <v>0</v>
      </c>
      <c r="G457" s="166">
        <f>'Products x speed'!I48</f>
        <v>0</v>
      </c>
      <c r="H457" s="166">
        <f>'Products x speed'!J48</f>
        <v>0</v>
      </c>
      <c r="I457" s="166">
        <f>'Products x speed'!K48</f>
        <v>0</v>
      </c>
      <c r="J457" s="166">
        <f>'Products x speed'!L48</f>
        <v>0</v>
      </c>
      <c r="K457" s="166">
        <f>'Products x speed'!M48</f>
        <v>0</v>
      </c>
      <c r="L457" s="166">
        <f>'Products x speed'!N48</f>
        <v>0</v>
      </c>
      <c r="M457" s="166">
        <f>'Products x speed'!O48</f>
        <v>0</v>
      </c>
      <c r="T457" s="545"/>
    </row>
    <row r="458" spans="1:20" s="4" customFormat="1" ht="15.6">
      <c r="A458" s="273"/>
      <c r="B458" s="289" t="str">
        <f>'Products x speed'!P49</f>
        <v>100G CWDM4-subspec_500 m_QSFP28</v>
      </c>
      <c r="C458" s="166">
        <f>'Products x speed'!E49</f>
        <v>88200.6</v>
      </c>
      <c r="D458" s="166">
        <f>'Products x speed'!F49</f>
        <v>683412.1</v>
      </c>
      <c r="E458" s="166">
        <f>'Products x speed'!G49</f>
        <v>0</v>
      </c>
      <c r="F458" s="166">
        <f>'Products x speed'!H49</f>
        <v>0</v>
      </c>
      <c r="G458" s="166">
        <f>'Products x speed'!I49</f>
        <v>0</v>
      </c>
      <c r="H458" s="166">
        <f>'Products x speed'!J49</f>
        <v>0</v>
      </c>
      <c r="I458" s="166">
        <f>'Products x speed'!K49</f>
        <v>0</v>
      </c>
      <c r="J458" s="166">
        <f>'Products x speed'!L49</f>
        <v>0</v>
      </c>
      <c r="K458" s="166">
        <f>'Products x speed'!M49</f>
        <v>0</v>
      </c>
      <c r="L458" s="166">
        <f>'Products x speed'!N49</f>
        <v>0</v>
      </c>
      <c r="M458" s="166">
        <f>'Products x speed'!O49</f>
        <v>0</v>
      </c>
      <c r="T458" s="545"/>
    </row>
    <row r="459" spans="1:20" s="4" customFormat="1" ht="15.6">
      <c r="A459" s="273"/>
      <c r="B459" s="289" t="str">
        <f>'Products x speed'!P50</f>
        <v>100G CWDM4_2 km_QSFP28</v>
      </c>
      <c r="C459" s="166">
        <f>'Products x speed'!E50</f>
        <v>30989.399999999994</v>
      </c>
      <c r="D459" s="166">
        <f>'Products x speed'!F50</f>
        <v>292890.90000000002</v>
      </c>
      <c r="E459" s="166">
        <f>'Products x speed'!G50</f>
        <v>0</v>
      </c>
      <c r="F459" s="166">
        <f>'Products x speed'!H50</f>
        <v>0</v>
      </c>
      <c r="G459" s="166">
        <f>'Products x speed'!I50</f>
        <v>0</v>
      </c>
      <c r="H459" s="166">
        <f>'Products x speed'!J50</f>
        <v>0</v>
      </c>
      <c r="I459" s="166">
        <f>'Products x speed'!K50</f>
        <v>0</v>
      </c>
      <c r="J459" s="166">
        <f>'Products x speed'!L50</f>
        <v>0</v>
      </c>
      <c r="K459" s="166">
        <f>'Products x speed'!M50</f>
        <v>0</v>
      </c>
      <c r="L459" s="166">
        <f>'Products x speed'!N50</f>
        <v>0</v>
      </c>
      <c r="M459" s="166">
        <f>'Products x speed'!O50</f>
        <v>0</v>
      </c>
      <c r="T459" s="545"/>
    </row>
    <row r="460" spans="1:20" s="4" customFormat="1">
      <c r="A460" s="273"/>
      <c r="B460" s="289" t="str">
        <f>'Products x speed'!P51</f>
        <v>100G FR, DR+_2 km_QSFP28</v>
      </c>
      <c r="C460" s="166"/>
      <c r="D460" s="166"/>
      <c r="E460" s="166">
        <f>'Products x speed'!G51</f>
        <v>0</v>
      </c>
      <c r="F460" s="166">
        <f>'Products x speed'!H51</f>
        <v>0</v>
      </c>
      <c r="G460" s="166">
        <f>'Products x speed'!I51</f>
        <v>0</v>
      </c>
      <c r="H460" s="166">
        <f>'Products x speed'!J51</f>
        <v>0</v>
      </c>
      <c r="I460" s="166">
        <f>'Products x speed'!K51</f>
        <v>0</v>
      </c>
      <c r="J460" s="166">
        <f>'Products x speed'!L51</f>
        <v>0</v>
      </c>
      <c r="K460" s="166">
        <f>'Products x speed'!M51</f>
        <v>0</v>
      </c>
      <c r="L460" s="166">
        <f>'Products x speed'!N51</f>
        <v>0</v>
      </c>
      <c r="M460" s="166">
        <f>'Products x speed'!O51</f>
        <v>0</v>
      </c>
      <c r="T460" s="29"/>
    </row>
    <row r="461" spans="1:20" s="4" customFormat="1">
      <c r="A461" s="273"/>
      <c r="B461" s="289" t="str">
        <f>'Products x speed'!P52</f>
        <v>100G LR4_10 km_CFP</v>
      </c>
      <c r="C461" s="166">
        <f>'Products x speed'!E52</f>
        <v>109936</v>
      </c>
      <c r="D461" s="166">
        <f>'Products x speed'!F52</f>
        <v>67349</v>
      </c>
      <c r="E461" s="166">
        <f>'Products x speed'!G52</f>
        <v>0</v>
      </c>
      <c r="F461" s="166">
        <f>'Products x speed'!H52</f>
        <v>0</v>
      </c>
      <c r="G461" s="166">
        <f>'Products x speed'!I52</f>
        <v>0</v>
      </c>
      <c r="H461" s="166">
        <f>'Products x speed'!J52</f>
        <v>0</v>
      </c>
      <c r="I461" s="166">
        <f>'Products x speed'!K52</f>
        <v>0</v>
      </c>
      <c r="J461" s="166">
        <f>'Products x speed'!L52</f>
        <v>0</v>
      </c>
      <c r="K461" s="166">
        <f>'Products x speed'!M52</f>
        <v>0</v>
      </c>
      <c r="L461" s="166">
        <f>'Products x speed'!N52</f>
        <v>0</v>
      </c>
      <c r="M461" s="166">
        <f>'Products x speed'!O52</f>
        <v>0</v>
      </c>
      <c r="T461" s="29"/>
    </row>
    <row r="462" spans="1:20" s="4" customFormat="1">
      <c r="A462" s="273"/>
      <c r="B462" s="289" t="str">
        <f>'Products x speed'!P53</f>
        <v>100G LR4_10 km_CFP2/4</v>
      </c>
      <c r="C462" s="166">
        <f>'Products x speed'!E53</f>
        <v>92243</v>
      </c>
      <c r="D462" s="166">
        <f>'Products x speed'!F53</f>
        <v>78202</v>
      </c>
      <c r="E462" s="166">
        <f>'Products x speed'!G53</f>
        <v>0</v>
      </c>
      <c r="F462" s="166">
        <f>'Products x speed'!H53</f>
        <v>0</v>
      </c>
      <c r="G462" s="166">
        <f>'Products x speed'!I53</f>
        <v>0</v>
      </c>
      <c r="H462" s="166">
        <f>'Products x speed'!J53</f>
        <v>0</v>
      </c>
      <c r="I462" s="166">
        <f>'Products x speed'!K53</f>
        <v>0</v>
      </c>
      <c r="J462" s="166">
        <f>'Products x speed'!L53</f>
        <v>0</v>
      </c>
      <c r="K462" s="166">
        <f>'Products x speed'!M53</f>
        <v>0</v>
      </c>
      <c r="L462" s="166">
        <f>'Products x speed'!N53</f>
        <v>0</v>
      </c>
      <c r="M462" s="166">
        <f>'Products x speed'!O53</f>
        <v>0</v>
      </c>
      <c r="T462" s="29"/>
    </row>
    <row r="463" spans="1:20" s="4" customFormat="1">
      <c r="A463" s="273"/>
      <c r="B463" s="289" t="str">
        <f>'Products x speed'!P54</f>
        <v>100G LR4 and LR1_10 km_QSFP28</v>
      </c>
      <c r="C463" s="166">
        <f>'Products x speed'!E54</f>
        <v>90443</v>
      </c>
      <c r="D463" s="166">
        <f>'Products x speed'!F54</f>
        <v>362352</v>
      </c>
      <c r="E463" s="166">
        <f>'Products x speed'!G54</f>
        <v>0</v>
      </c>
      <c r="F463" s="166">
        <f>'Products x speed'!H54</f>
        <v>0</v>
      </c>
      <c r="G463" s="166">
        <f>'Products x speed'!I54</f>
        <v>0</v>
      </c>
      <c r="H463" s="166">
        <f>'Products x speed'!J54</f>
        <v>0</v>
      </c>
      <c r="I463" s="166">
        <f>'Products x speed'!K54</f>
        <v>0</v>
      </c>
      <c r="J463" s="166">
        <f>'Products x speed'!L54</f>
        <v>0</v>
      </c>
      <c r="K463" s="166">
        <f>'Products x speed'!M54</f>
        <v>0</v>
      </c>
      <c r="L463" s="166">
        <f>'Products x speed'!N54</f>
        <v>0</v>
      </c>
      <c r="M463" s="166">
        <f>'Products x speed'!O54</f>
        <v>0</v>
      </c>
      <c r="T463" s="29"/>
    </row>
    <row r="464" spans="1:20" s="4" customFormat="1">
      <c r="A464" s="273"/>
      <c r="B464" s="289" t="str">
        <f>'Products x speed'!P55</f>
        <v>100G 4WDM10_10 km_QSFP28</v>
      </c>
      <c r="C464" s="166"/>
      <c r="D464" s="166">
        <f>'Products x speed'!F55</f>
        <v>45000</v>
      </c>
      <c r="E464" s="166">
        <f>'Products x speed'!G55</f>
        <v>0</v>
      </c>
      <c r="F464" s="166">
        <f>'Products x speed'!H55</f>
        <v>0</v>
      </c>
      <c r="G464" s="166">
        <f>'Products x speed'!I55</f>
        <v>0</v>
      </c>
      <c r="H464" s="166">
        <f>'Products x speed'!J55</f>
        <v>0</v>
      </c>
      <c r="I464" s="166">
        <f>'Products x speed'!K55</f>
        <v>0</v>
      </c>
      <c r="J464" s="166">
        <f>'Products x speed'!L55</f>
        <v>0</v>
      </c>
      <c r="K464" s="166">
        <f>'Products x speed'!M55</f>
        <v>0</v>
      </c>
      <c r="L464" s="166">
        <f>'Products x speed'!N55</f>
        <v>0</v>
      </c>
      <c r="M464" s="166">
        <f>'Products x speed'!O55</f>
        <v>0</v>
      </c>
      <c r="T464" s="29"/>
    </row>
    <row r="465" spans="1:20" s="4" customFormat="1">
      <c r="A465" s="273"/>
      <c r="B465" s="289" t="str">
        <f>'Products x speed'!P56</f>
        <v>100G 4WDM20_20 km_QSFP28</v>
      </c>
      <c r="C465" s="166">
        <f>'Products x speed'!E56</f>
        <v>0</v>
      </c>
      <c r="D465" s="166">
        <f>'Products x speed'!F56</f>
        <v>0</v>
      </c>
      <c r="E465" s="166">
        <f>'Products x speed'!G56</f>
        <v>0</v>
      </c>
      <c r="F465" s="166">
        <f>'Products x speed'!H56</f>
        <v>0</v>
      </c>
      <c r="G465" s="166">
        <f>'Products x speed'!I56</f>
        <v>0</v>
      </c>
      <c r="H465" s="166">
        <f>'Products x speed'!J56</f>
        <v>0</v>
      </c>
      <c r="I465" s="166">
        <f>'Products x speed'!K56</f>
        <v>0</v>
      </c>
      <c r="J465" s="166">
        <f>'Products x speed'!L56</f>
        <v>0</v>
      </c>
      <c r="K465" s="166">
        <f>'Products x speed'!M56</f>
        <v>0</v>
      </c>
      <c r="L465" s="166">
        <f>'Products x speed'!N56</f>
        <v>0</v>
      </c>
      <c r="M465" s="166">
        <f>'Products x speed'!O56</f>
        <v>0</v>
      </c>
      <c r="T465" s="29"/>
    </row>
    <row r="466" spans="1:20">
      <c r="B466" s="289" t="str">
        <f>'Products x speed'!P57</f>
        <v>100G ER4-Lite_30 km_QSFP28</v>
      </c>
      <c r="C466" s="166">
        <f>'Products x speed'!E57</f>
        <v>0</v>
      </c>
      <c r="D466" s="166">
        <f>'Products x speed'!F57</f>
        <v>2000</v>
      </c>
      <c r="E466" s="166">
        <f>'Products x speed'!G57</f>
        <v>0</v>
      </c>
      <c r="F466" s="166">
        <f>'Products x speed'!H57</f>
        <v>0</v>
      </c>
      <c r="G466" s="166">
        <f>'Products x speed'!I57</f>
        <v>0</v>
      </c>
      <c r="H466" s="166">
        <f>'Products x speed'!J57</f>
        <v>0</v>
      </c>
      <c r="I466" s="166">
        <f>'Products x speed'!K57</f>
        <v>0</v>
      </c>
      <c r="J466" s="166">
        <f>'Products x speed'!L57</f>
        <v>0</v>
      </c>
      <c r="K466" s="166">
        <f>'Products x speed'!M57</f>
        <v>0</v>
      </c>
      <c r="L466" s="166">
        <f>'Products x speed'!N57</f>
        <v>0</v>
      </c>
      <c r="M466" s="166">
        <f>'Products x speed'!O57</f>
        <v>0</v>
      </c>
    </row>
    <row r="467" spans="1:20">
      <c r="B467" s="289" t="str">
        <f>'Products x speed'!P58</f>
        <v>100G ER4_40 km_QSFP28</v>
      </c>
      <c r="C467" s="166">
        <f>'Products x speed'!E58</f>
        <v>7456</v>
      </c>
      <c r="D467" s="166">
        <f>'Products x speed'!F58</f>
        <v>8272</v>
      </c>
      <c r="E467" s="166">
        <f>'Products x speed'!G58</f>
        <v>0</v>
      </c>
      <c r="F467" s="166">
        <f>'Products x speed'!H58</f>
        <v>0</v>
      </c>
      <c r="G467" s="166">
        <f>'Products x speed'!I58</f>
        <v>0</v>
      </c>
      <c r="H467" s="166">
        <f>'Products x speed'!J58</f>
        <v>0</v>
      </c>
      <c r="I467" s="166">
        <f>'Products x speed'!K58</f>
        <v>0</v>
      </c>
      <c r="J467" s="166">
        <f>'Products x speed'!L58</f>
        <v>0</v>
      </c>
      <c r="K467" s="166">
        <f>'Products x speed'!M58</f>
        <v>0</v>
      </c>
      <c r="L467" s="166">
        <f>'Products x speed'!N58</f>
        <v>0</v>
      </c>
      <c r="M467" s="166">
        <f>'Products x speed'!O58</f>
        <v>0</v>
      </c>
    </row>
    <row r="468" spans="1:20" s="4" customFormat="1">
      <c r="A468" s="273"/>
      <c r="B468" s="374" t="str">
        <f>'Products x speed'!P59</f>
        <v>100G ZR4_80 km_QSFP28</v>
      </c>
      <c r="C468" s="168">
        <f>'Products x speed'!E59</f>
        <v>0</v>
      </c>
      <c r="D468" s="168">
        <f>'Products x speed'!F59</f>
        <v>0</v>
      </c>
      <c r="E468" s="168">
        <f>'Products x speed'!G59</f>
        <v>0</v>
      </c>
      <c r="F468" s="168">
        <f>'Products x speed'!H59</f>
        <v>0</v>
      </c>
      <c r="G468" s="168">
        <f>'Products x speed'!I59</f>
        <v>0</v>
      </c>
      <c r="H468" s="168">
        <f>'Products x speed'!J59</f>
        <v>0</v>
      </c>
      <c r="I468" s="168">
        <f>'Products x speed'!K59</f>
        <v>0</v>
      </c>
      <c r="J468" s="168">
        <f>'Products x speed'!L59</f>
        <v>0</v>
      </c>
      <c r="K468" s="168">
        <f>'Products x speed'!M59</f>
        <v>0</v>
      </c>
      <c r="L468" s="168">
        <f>'Products x speed'!N59</f>
        <v>0</v>
      </c>
      <c r="M468" s="168">
        <f>'Products x speed'!O59</f>
        <v>0</v>
      </c>
      <c r="T468" s="29"/>
    </row>
    <row r="469" spans="1:20" s="4" customFormat="1">
      <c r="A469" s="273"/>
      <c r="B469" s="374" t="s">
        <v>177</v>
      </c>
      <c r="C469" s="386">
        <f>SUM(C456:C468)</f>
        <v>620129</v>
      </c>
      <c r="D469" s="386">
        <f t="shared" ref="D469:M469" si="78">SUM(D456:D468)</f>
        <v>2249516</v>
      </c>
      <c r="E469" s="386">
        <f t="shared" si="78"/>
        <v>0</v>
      </c>
      <c r="F469" s="386">
        <f t="shared" si="78"/>
        <v>0</v>
      </c>
      <c r="G469" s="386">
        <f t="shared" si="78"/>
        <v>0</v>
      </c>
      <c r="H469" s="386">
        <f t="shared" si="78"/>
        <v>0</v>
      </c>
      <c r="I469" s="386">
        <f t="shared" si="78"/>
        <v>0</v>
      </c>
      <c r="J469" s="386">
        <f t="shared" si="78"/>
        <v>0</v>
      </c>
      <c r="K469" s="386">
        <f t="shared" si="78"/>
        <v>0</v>
      </c>
      <c r="L469" s="386">
        <f t="shared" si="78"/>
        <v>0</v>
      </c>
      <c r="M469" s="386">
        <f t="shared" si="78"/>
        <v>0</v>
      </c>
      <c r="T469" s="29"/>
    </row>
    <row r="470" spans="1:20" s="4" customFormat="1">
      <c r="A470" s="273"/>
      <c r="C470" s="189">
        <f>C469-SUM('Products x speed'!E47:E59)</f>
        <v>0</v>
      </c>
      <c r="D470" s="189">
        <f>D469-SUM('Products x speed'!F47:F59)</f>
        <v>0</v>
      </c>
      <c r="E470" s="189">
        <f>E469-SUM('Products x speed'!G47:G59)</f>
        <v>0</v>
      </c>
      <c r="F470" s="189">
        <f>F469-SUM('Products x speed'!H47:H59)</f>
        <v>0</v>
      </c>
      <c r="G470" s="189">
        <f>G469-SUM('Products x speed'!I47:I59)</f>
        <v>0</v>
      </c>
      <c r="H470" s="189">
        <f>H469-SUM('Products x speed'!J47:J59)</f>
        <v>0</v>
      </c>
      <c r="I470" s="189">
        <f>I469-SUM('Products x speed'!K47:K59)</f>
        <v>0</v>
      </c>
      <c r="J470" s="189">
        <f>J469-SUM('Products x speed'!L47:L59)</f>
        <v>0</v>
      </c>
      <c r="K470" s="189">
        <f>K469-SUM('Products x speed'!M47:M59)</f>
        <v>0</v>
      </c>
      <c r="L470" s="189">
        <f>L469-SUM('Products x speed'!N47:N59)</f>
        <v>0</v>
      </c>
      <c r="M470" s="189">
        <f>M469-SUM('Products x speed'!O47:O59)</f>
        <v>0</v>
      </c>
      <c r="T470" s="29"/>
    </row>
    <row r="471" spans="1:20">
      <c r="B471" s="80" t="s">
        <v>21</v>
      </c>
      <c r="C471" s="383">
        <v>2016</v>
      </c>
      <c r="D471" s="389">
        <v>2017</v>
      </c>
      <c r="E471" s="389">
        <v>2018</v>
      </c>
      <c r="F471" s="389">
        <v>2019</v>
      </c>
      <c r="G471" s="389">
        <v>2020</v>
      </c>
      <c r="H471" s="389">
        <v>2021</v>
      </c>
      <c r="I471" s="389">
        <v>2022</v>
      </c>
      <c r="J471" s="389">
        <v>2023</v>
      </c>
      <c r="K471" s="389">
        <v>2024</v>
      </c>
      <c r="L471" s="389">
        <v>2025</v>
      </c>
      <c r="M471" s="389">
        <v>2026</v>
      </c>
      <c r="T471" s="29"/>
    </row>
    <row r="472" spans="1:20" ht="15.6">
      <c r="B472" s="358" t="str">
        <f t="shared" ref="B472:B481" si="79">B456</f>
        <v>100G PSM4_500 m_QSFP28</v>
      </c>
      <c r="C472" s="173">
        <f>IF(C456=0,"",(C488*10^6)/C456)</f>
        <v>337.41687156790022</v>
      </c>
      <c r="D472" s="173">
        <f t="shared" ref="D472:H472" si="80">IF(D456=0,"",(D488*10^6)/D456)</f>
        <v>222.65569307558187</v>
      </c>
      <c r="E472" s="173" t="str">
        <f t="shared" si="80"/>
        <v/>
      </c>
      <c r="F472" s="173" t="str">
        <f t="shared" si="80"/>
        <v/>
      </c>
      <c r="G472" s="173" t="str">
        <f t="shared" si="80"/>
        <v/>
      </c>
      <c r="H472" s="173" t="str">
        <f t="shared" si="80"/>
        <v/>
      </c>
      <c r="I472" s="173" t="str">
        <f t="shared" ref="I472:M472" si="81">IF(I456=0,"",(I488*10^6)/I456)</f>
        <v/>
      </c>
      <c r="J472" s="173" t="str">
        <f t="shared" si="81"/>
        <v/>
      </c>
      <c r="K472" s="173" t="str">
        <f t="shared" si="81"/>
        <v/>
      </c>
      <c r="L472" s="173" t="str">
        <f t="shared" si="81"/>
        <v/>
      </c>
      <c r="M472" s="173" t="str">
        <f t="shared" si="81"/>
        <v/>
      </c>
      <c r="T472" s="545"/>
    </row>
    <row r="473" spans="1:20" ht="15.6">
      <c r="B473" s="289" t="str">
        <f t="shared" si="79"/>
        <v>100G DR_500m_QSFP28</v>
      </c>
      <c r="C473" s="175" t="str">
        <f t="shared" ref="C473:H473" si="82">IF(C457=0,"",(C489*10^6)/C457)</f>
        <v/>
      </c>
      <c r="D473" s="175" t="str">
        <f t="shared" si="82"/>
        <v/>
      </c>
      <c r="E473" s="175" t="str">
        <f t="shared" si="82"/>
        <v/>
      </c>
      <c r="F473" s="175" t="str">
        <f t="shared" si="82"/>
        <v/>
      </c>
      <c r="G473" s="175" t="str">
        <f t="shared" si="82"/>
        <v/>
      </c>
      <c r="H473" s="175" t="str">
        <f t="shared" si="82"/>
        <v/>
      </c>
      <c r="I473" s="175" t="str">
        <f t="shared" ref="I473:M473" si="83">IF(I457=0,"",(I489*10^6)/I457)</f>
        <v/>
      </c>
      <c r="J473" s="175" t="str">
        <f t="shared" si="83"/>
        <v/>
      </c>
      <c r="K473" s="175" t="str">
        <f t="shared" si="83"/>
        <v/>
      </c>
      <c r="L473" s="175" t="str">
        <f t="shared" si="83"/>
        <v/>
      </c>
      <c r="M473" s="175" t="str">
        <f t="shared" si="83"/>
        <v/>
      </c>
      <c r="T473" s="545"/>
    </row>
    <row r="474" spans="1:20" ht="15.6">
      <c r="B474" s="289" t="str">
        <f t="shared" si="79"/>
        <v>100G CWDM4-subspec_500 m_QSFP28</v>
      </c>
      <c r="C474" s="175">
        <f t="shared" ref="C474:H474" si="84">IF(C458=0,"",(C490*10^6)/C458)</f>
        <v>625</v>
      </c>
      <c r="D474" s="175">
        <f t="shared" si="84"/>
        <v>450</v>
      </c>
      <c r="E474" s="175" t="str">
        <f t="shared" si="84"/>
        <v/>
      </c>
      <c r="F474" s="175" t="str">
        <f t="shared" si="84"/>
        <v/>
      </c>
      <c r="G474" s="175" t="str">
        <f t="shared" si="84"/>
        <v/>
      </c>
      <c r="H474" s="175" t="str">
        <f t="shared" si="84"/>
        <v/>
      </c>
      <c r="I474" s="175" t="str">
        <f t="shared" ref="I474:M474" si="85">IF(I458=0,"",(I490*10^6)/I458)</f>
        <v/>
      </c>
      <c r="J474" s="175" t="str">
        <f t="shared" si="85"/>
        <v/>
      </c>
      <c r="K474" s="175" t="str">
        <f t="shared" si="85"/>
        <v/>
      </c>
      <c r="L474" s="175" t="str">
        <f t="shared" si="85"/>
        <v/>
      </c>
      <c r="M474" s="175" t="str">
        <f t="shared" si="85"/>
        <v/>
      </c>
      <c r="T474" s="545"/>
    </row>
    <row r="475" spans="1:20">
      <c r="B475" s="289" t="str">
        <f t="shared" si="79"/>
        <v>100G CWDM4_2 km_QSFP28</v>
      </c>
      <c r="C475" s="175">
        <f t="shared" ref="C475:H475" si="86">IF(C459=0,"",(C491*10^6)/C459)</f>
        <v>825</v>
      </c>
      <c r="D475" s="175">
        <f t="shared" si="86"/>
        <v>650</v>
      </c>
      <c r="E475" s="175" t="str">
        <f t="shared" si="86"/>
        <v/>
      </c>
      <c r="F475" s="175" t="str">
        <f t="shared" si="86"/>
        <v/>
      </c>
      <c r="G475" s="175" t="str">
        <f t="shared" si="86"/>
        <v/>
      </c>
      <c r="H475" s="175" t="str">
        <f t="shared" si="86"/>
        <v/>
      </c>
      <c r="I475" s="175" t="str">
        <f t="shared" ref="I475:M475" si="87">IF(I459=0,"",(I491*10^6)/I459)</f>
        <v/>
      </c>
      <c r="J475" s="175" t="str">
        <f t="shared" si="87"/>
        <v/>
      </c>
      <c r="K475" s="175" t="str">
        <f t="shared" si="87"/>
        <v/>
      </c>
      <c r="L475" s="175" t="str">
        <f t="shared" si="87"/>
        <v/>
      </c>
      <c r="M475" s="175" t="str">
        <f t="shared" si="87"/>
        <v/>
      </c>
    </row>
    <row r="476" spans="1:20" ht="15.6">
      <c r="B476" s="289" t="str">
        <f t="shared" si="79"/>
        <v>100G FR, DR+_2 km_QSFP28</v>
      </c>
      <c r="C476" s="175" t="str">
        <f t="shared" ref="C476:H476" si="88">IF(C460=0,"",(C492*10^6)/C460)</f>
        <v/>
      </c>
      <c r="D476" s="175" t="str">
        <f t="shared" si="88"/>
        <v/>
      </c>
      <c r="E476" s="175" t="str">
        <f t="shared" si="88"/>
        <v/>
      </c>
      <c r="F476" s="175" t="str">
        <f t="shared" si="88"/>
        <v/>
      </c>
      <c r="G476" s="175" t="str">
        <f t="shared" si="88"/>
        <v/>
      </c>
      <c r="H476" s="175" t="str">
        <f t="shared" si="88"/>
        <v/>
      </c>
      <c r="I476" s="175" t="str">
        <f t="shared" ref="I476:M476" si="89">IF(I460=0,"",(I492*10^6)/I460)</f>
        <v/>
      </c>
      <c r="J476" s="175" t="str">
        <f t="shared" si="89"/>
        <v/>
      </c>
      <c r="K476" s="175" t="str">
        <f t="shared" si="89"/>
        <v/>
      </c>
      <c r="L476" s="175" t="str">
        <f t="shared" si="89"/>
        <v/>
      </c>
      <c r="M476" s="175" t="str">
        <f t="shared" si="89"/>
        <v/>
      </c>
      <c r="T476" s="545"/>
    </row>
    <row r="477" spans="1:20">
      <c r="B477" s="289" t="str">
        <f t="shared" si="79"/>
        <v>100G LR4_10 km_CFP</v>
      </c>
      <c r="C477" s="175">
        <f t="shared" ref="C477:H477" si="90">IF(C461=0,"",(C493*10^6)/C461)</f>
        <v>3527.8709620331333</v>
      </c>
      <c r="D477" s="175">
        <f t="shared" si="90"/>
        <v>2768.0701132780364</v>
      </c>
      <c r="E477" s="175" t="str">
        <f t="shared" si="90"/>
        <v/>
      </c>
      <c r="F477" s="175" t="str">
        <f t="shared" si="90"/>
        <v/>
      </c>
      <c r="G477" s="175" t="str">
        <f t="shared" si="90"/>
        <v/>
      </c>
      <c r="H477" s="175" t="str">
        <f t="shared" si="90"/>
        <v/>
      </c>
      <c r="I477" s="175" t="str">
        <f t="shared" ref="I477:M477" si="91">IF(I461=0,"",(I493*10^6)/I461)</f>
        <v/>
      </c>
      <c r="J477" s="175" t="str">
        <f t="shared" si="91"/>
        <v/>
      </c>
      <c r="K477" s="175" t="str">
        <f t="shared" si="91"/>
        <v/>
      </c>
      <c r="L477" s="175" t="str">
        <f t="shared" si="91"/>
        <v/>
      </c>
      <c r="M477" s="175" t="str">
        <f t="shared" si="91"/>
        <v/>
      </c>
    </row>
    <row r="478" spans="1:20">
      <c r="B478" s="289" t="str">
        <f t="shared" si="79"/>
        <v>100G LR4_10 km_CFP2/4</v>
      </c>
      <c r="C478" s="175">
        <f t="shared" ref="C478:H478" si="92">IF(C462=0,"",(C494*10^6)/C462)</f>
        <v>2882.5268681316725</v>
      </c>
      <c r="D478" s="175">
        <f t="shared" si="92"/>
        <v>2140.3307221126156</v>
      </c>
      <c r="E478" s="175" t="str">
        <f t="shared" si="92"/>
        <v/>
      </c>
      <c r="F478" s="175" t="str">
        <f t="shared" si="92"/>
        <v/>
      </c>
      <c r="G478" s="175" t="str">
        <f t="shared" si="92"/>
        <v/>
      </c>
      <c r="H478" s="175" t="str">
        <f t="shared" si="92"/>
        <v/>
      </c>
      <c r="I478" s="175" t="str">
        <f t="shared" ref="I478:M478" si="93">IF(I462=0,"",(I494*10^6)/I462)</f>
        <v/>
      </c>
      <c r="J478" s="175" t="str">
        <f t="shared" si="93"/>
        <v/>
      </c>
      <c r="K478" s="175" t="str">
        <f t="shared" si="93"/>
        <v/>
      </c>
      <c r="L478" s="175" t="str">
        <f t="shared" si="93"/>
        <v/>
      </c>
      <c r="M478" s="175" t="str">
        <f t="shared" si="93"/>
        <v/>
      </c>
      <c r="T478" s="29"/>
    </row>
    <row r="479" spans="1:20">
      <c r="B479" s="289" t="str">
        <f t="shared" si="79"/>
        <v>100G LR4 and LR1_10 km_QSFP28</v>
      </c>
      <c r="C479" s="175">
        <f t="shared" ref="C479:H479" si="94">IF(C463=0,"",(C495*10^6)/C463)</f>
        <v>1938.1501024552811</v>
      </c>
      <c r="D479" s="175">
        <f t="shared" si="94"/>
        <v>1200</v>
      </c>
      <c r="E479" s="175" t="str">
        <f t="shared" si="94"/>
        <v/>
      </c>
      <c r="F479" s="175" t="str">
        <f t="shared" si="94"/>
        <v/>
      </c>
      <c r="G479" s="175" t="str">
        <f t="shared" si="94"/>
        <v/>
      </c>
      <c r="H479" s="175" t="str">
        <f t="shared" si="94"/>
        <v/>
      </c>
      <c r="I479" s="175" t="str">
        <f t="shared" ref="I479:M479" si="95">IF(I463=0,"",(I495*10^6)/I463)</f>
        <v/>
      </c>
      <c r="J479" s="175" t="str">
        <f t="shared" si="95"/>
        <v/>
      </c>
      <c r="K479" s="175" t="str">
        <f t="shared" si="95"/>
        <v/>
      </c>
      <c r="L479" s="175" t="str">
        <f t="shared" si="95"/>
        <v/>
      </c>
      <c r="M479" s="175" t="str">
        <f t="shared" si="95"/>
        <v/>
      </c>
      <c r="T479" s="29"/>
    </row>
    <row r="480" spans="1:20">
      <c r="B480" s="289" t="str">
        <f t="shared" si="79"/>
        <v>100G 4WDM10_10 km_QSFP28</v>
      </c>
      <c r="C480" s="175" t="str">
        <f t="shared" ref="C480:H480" si="96">IF(C464=0,"",(C496*10^6)/C464)</f>
        <v/>
      </c>
      <c r="D480" s="175">
        <f t="shared" si="96"/>
        <v>500</v>
      </c>
      <c r="E480" s="175" t="str">
        <f t="shared" si="96"/>
        <v/>
      </c>
      <c r="F480" s="175" t="str">
        <f t="shared" si="96"/>
        <v/>
      </c>
      <c r="G480" s="175" t="str">
        <f t="shared" si="96"/>
        <v/>
      </c>
      <c r="H480" s="175" t="str">
        <f t="shared" si="96"/>
        <v/>
      </c>
      <c r="I480" s="175" t="str">
        <f t="shared" ref="I480:M480" si="97">IF(I464=0,"",(I496*10^6)/I464)</f>
        <v/>
      </c>
      <c r="J480" s="175" t="str">
        <f t="shared" si="97"/>
        <v/>
      </c>
      <c r="K480" s="175" t="str">
        <f t="shared" si="97"/>
        <v/>
      </c>
      <c r="L480" s="175" t="str">
        <f t="shared" si="97"/>
        <v/>
      </c>
      <c r="M480" s="175" t="str">
        <f t="shared" si="97"/>
        <v/>
      </c>
      <c r="T480" s="29"/>
    </row>
    <row r="481" spans="2:20">
      <c r="B481" s="289" t="str">
        <f t="shared" si="79"/>
        <v>100G 4WDM20_20 km_QSFP28</v>
      </c>
      <c r="C481" s="175" t="str">
        <f t="shared" ref="C481:H481" si="98">IF(C465=0,"",(C497*10^6)/C465)</f>
        <v/>
      </c>
      <c r="D481" s="175" t="str">
        <f t="shared" si="98"/>
        <v/>
      </c>
      <c r="E481" s="175" t="str">
        <f t="shared" si="98"/>
        <v/>
      </c>
      <c r="F481" s="175" t="str">
        <f t="shared" si="98"/>
        <v/>
      </c>
      <c r="G481" s="175" t="str">
        <f t="shared" si="98"/>
        <v/>
      </c>
      <c r="H481" s="175" t="str">
        <f t="shared" si="98"/>
        <v/>
      </c>
      <c r="I481" s="175" t="str">
        <f t="shared" ref="I481:M481" si="99">IF(I465=0,"",(I497*10^6)/I465)</f>
        <v/>
      </c>
      <c r="J481" s="175" t="str">
        <f t="shared" si="99"/>
        <v/>
      </c>
      <c r="K481" s="175" t="str">
        <f t="shared" si="99"/>
        <v/>
      </c>
      <c r="L481" s="175" t="str">
        <f t="shared" si="99"/>
        <v/>
      </c>
      <c r="M481" s="175" t="str">
        <f t="shared" si="99"/>
        <v/>
      </c>
      <c r="T481" s="29"/>
    </row>
    <row r="482" spans="2:20">
      <c r="B482" s="289" t="str">
        <f t="shared" ref="B482:B483" si="100">B466</f>
        <v>100G ER4-Lite_30 km_QSFP28</v>
      </c>
      <c r="C482" s="175" t="str">
        <f t="shared" ref="C482:H482" si="101">IF(C466=0,"",(C498*10^6)/C466)</f>
        <v/>
      </c>
      <c r="D482" s="175">
        <f t="shared" si="101"/>
        <v>3487.2423945044161</v>
      </c>
      <c r="E482" s="175" t="str">
        <f t="shared" si="101"/>
        <v/>
      </c>
      <c r="F482" s="175" t="str">
        <f t="shared" si="101"/>
        <v/>
      </c>
      <c r="G482" s="175" t="str">
        <f t="shared" si="101"/>
        <v/>
      </c>
      <c r="H482" s="175" t="str">
        <f t="shared" si="101"/>
        <v/>
      </c>
      <c r="I482" s="175" t="str">
        <f t="shared" ref="I482:M482" si="102">IF(I466=0,"",(I498*10^6)/I466)</f>
        <v/>
      </c>
      <c r="J482" s="175" t="str">
        <f t="shared" si="102"/>
        <v/>
      </c>
      <c r="K482" s="175" t="str">
        <f t="shared" si="102"/>
        <v/>
      </c>
      <c r="L482" s="175" t="str">
        <f t="shared" si="102"/>
        <v/>
      </c>
      <c r="M482" s="175" t="str">
        <f t="shared" si="102"/>
        <v/>
      </c>
      <c r="T482" s="29"/>
    </row>
    <row r="483" spans="2:20">
      <c r="B483" s="289" t="str">
        <f t="shared" si="100"/>
        <v>100G ER4_40 km_QSFP28</v>
      </c>
      <c r="C483" s="175">
        <f t="shared" ref="C483:H483" si="103">IF(C467=0,"",(C499*10^6)/C467)</f>
        <v>8992.3604525403425</v>
      </c>
      <c r="D483" s="175">
        <f t="shared" si="103"/>
        <v>6675.4855675304152</v>
      </c>
      <c r="E483" s="175" t="str">
        <f t="shared" si="103"/>
        <v/>
      </c>
      <c r="F483" s="175" t="str">
        <f t="shared" si="103"/>
        <v/>
      </c>
      <c r="G483" s="175" t="str">
        <f t="shared" si="103"/>
        <v/>
      </c>
      <c r="H483" s="175" t="str">
        <f t="shared" si="103"/>
        <v/>
      </c>
      <c r="I483" s="175" t="str">
        <f t="shared" ref="I483:M483" si="104">IF(I467=0,"",(I499*10^6)/I467)</f>
        <v/>
      </c>
      <c r="J483" s="175" t="str">
        <f t="shared" si="104"/>
        <v/>
      </c>
      <c r="K483" s="175" t="str">
        <f t="shared" si="104"/>
        <v/>
      </c>
      <c r="L483" s="175" t="str">
        <f t="shared" si="104"/>
        <v/>
      </c>
      <c r="M483" s="175" t="str">
        <f t="shared" si="104"/>
        <v/>
      </c>
      <c r="T483" s="29"/>
    </row>
    <row r="484" spans="2:20">
      <c r="B484" s="374" t="str">
        <f t="shared" ref="B484" si="105">B468</f>
        <v>100G ZR4_80 km_QSFP28</v>
      </c>
      <c r="C484" s="171" t="str">
        <f t="shared" ref="C484:H484" si="106">IF(C468=0,"",(C500*10^6)/C468)</f>
        <v/>
      </c>
      <c r="D484" s="171" t="str">
        <f t="shared" si="106"/>
        <v/>
      </c>
      <c r="E484" s="171" t="str">
        <f t="shared" si="106"/>
        <v/>
      </c>
      <c r="F484" s="171" t="str">
        <f t="shared" si="106"/>
        <v/>
      </c>
      <c r="G484" s="171" t="str">
        <f t="shared" si="106"/>
        <v/>
      </c>
      <c r="H484" s="171" t="str">
        <f t="shared" si="106"/>
        <v/>
      </c>
      <c r="I484" s="171" t="str">
        <f t="shared" ref="I484:M484" si="107">IF(I468=0,"",(I500*10^6)/I468)</f>
        <v/>
      </c>
      <c r="J484" s="171" t="str">
        <f t="shared" si="107"/>
        <v/>
      </c>
      <c r="K484" s="171" t="str">
        <f t="shared" si="107"/>
        <v/>
      </c>
      <c r="L484" s="171" t="str">
        <f t="shared" si="107"/>
        <v/>
      </c>
      <c r="M484" s="171" t="str">
        <f t="shared" si="107"/>
        <v/>
      </c>
      <c r="T484" s="29"/>
    </row>
    <row r="485" spans="2:20">
      <c r="B485" s="374" t="str">
        <f>$B$469</f>
        <v>100G Long Reach</v>
      </c>
      <c r="C485" s="171">
        <f t="shared" ref="C485:H485" si="108">IF(C469=0,"",(C501*10^6)/C469)</f>
        <v>1684.3876313954811</v>
      </c>
      <c r="D485" s="171">
        <f t="shared" si="108"/>
        <v>679.84843477149457</v>
      </c>
      <c r="E485" s="171" t="str">
        <f t="shared" si="108"/>
        <v/>
      </c>
      <c r="F485" s="171" t="str">
        <f t="shared" si="108"/>
        <v/>
      </c>
      <c r="G485" s="171" t="str">
        <f t="shared" si="108"/>
        <v/>
      </c>
      <c r="H485" s="171" t="str">
        <f t="shared" si="108"/>
        <v/>
      </c>
      <c r="I485" s="171" t="str">
        <f t="shared" ref="I485:M485" si="109">IF(I469=0,"",(I501*10^6)/I469)</f>
        <v/>
      </c>
      <c r="J485" s="171" t="str">
        <f t="shared" si="109"/>
        <v/>
      </c>
      <c r="K485" s="171" t="str">
        <f t="shared" si="109"/>
        <v/>
      </c>
      <c r="L485" s="171" t="str">
        <f t="shared" si="109"/>
        <v/>
      </c>
      <c r="M485" s="171" t="str">
        <f t="shared" si="109"/>
        <v/>
      </c>
      <c r="T485" s="29"/>
    </row>
    <row r="486" spans="2:20">
      <c r="B486" s="4"/>
      <c r="C486" s="29"/>
      <c r="D486" s="29"/>
      <c r="E486" s="29"/>
      <c r="F486" s="29"/>
      <c r="G486" s="29"/>
      <c r="H486" s="29"/>
      <c r="I486" s="29"/>
      <c r="J486" s="29"/>
      <c r="K486" s="29"/>
      <c r="L486" s="29"/>
      <c r="M486" s="29"/>
      <c r="T486" s="29"/>
    </row>
    <row r="487" spans="2:20">
      <c r="B487" s="80" t="s">
        <v>15</v>
      </c>
      <c r="C487" s="383">
        <v>2016</v>
      </c>
      <c r="D487" s="389">
        <v>2017</v>
      </c>
      <c r="E487" s="389">
        <v>2018</v>
      </c>
      <c r="F487" s="389">
        <v>2019</v>
      </c>
      <c r="G487" s="389">
        <v>2020</v>
      </c>
      <c r="H487" s="389">
        <v>2021</v>
      </c>
      <c r="I487" s="389">
        <v>2022</v>
      </c>
      <c r="J487" s="389">
        <v>2023</v>
      </c>
      <c r="K487" s="389">
        <v>2024</v>
      </c>
      <c r="L487" s="389">
        <v>2025</v>
      </c>
      <c r="M487" s="389">
        <v>2026</v>
      </c>
    </row>
    <row r="488" spans="2:20">
      <c r="B488" s="358" t="str">
        <f t="shared" ref="B488:B497" si="110">B456</f>
        <v>100G PSM4_500 m_QSFP28</v>
      </c>
      <c r="C488" s="173">
        <f>'Products x speed'!E239</f>
        <v>67.773890240000014</v>
      </c>
      <c r="D488" s="173">
        <f>'Products x speed'!F239</f>
        <v>158.09400299999999</v>
      </c>
      <c r="E488" s="173">
        <f>'Products x speed'!G239</f>
        <v>0</v>
      </c>
      <c r="F488" s="173">
        <f>'Products x speed'!H239</f>
        <v>0</v>
      </c>
      <c r="G488" s="173">
        <f>'Products x speed'!I239</f>
        <v>0</v>
      </c>
      <c r="H488" s="173">
        <f>'Products x speed'!J239</f>
        <v>0</v>
      </c>
      <c r="I488" s="173">
        <f>'Products x speed'!K239</f>
        <v>0</v>
      </c>
      <c r="J488" s="173">
        <f>'Products x speed'!L239</f>
        <v>0</v>
      </c>
      <c r="K488" s="173">
        <f>'Products x speed'!M239</f>
        <v>0</v>
      </c>
      <c r="L488" s="173">
        <f>'Products x speed'!N239</f>
        <v>0</v>
      </c>
      <c r="M488" s="173">
        <f>'Products x speed'!O239</f>
        <v>0</v>
      </c>
    </row>
    <row r="489" spans="2:20" ht="15.6">
      <c r="B489" s="289" t="str">
        <f t="shared" si="110"/>
        <v>100G DR_500m_QSFP28</v>
      </c>
      <c r="C489" s="175">
        <f>'Products x speed'!E240</f>
        <v>0</v>
      </c>
      <c r="D489" s="175">
        <f>'Products x speed'!F240</f>
        <v>0</v>
      </c>
      <c r="E489" s="175">
        <f>'Products x speed'!G240</f>
        <v>0</v>
      </c>
      <c r="F489" s="175">
        <f>'Products x speed'!H240</f>
        <v>0</v>
      </c>
      <c r="G489" s="175">
        <f>'Products x speed'!I240</f>
        <v>0</v>
      </c>
      <c r="H489" s="175">
        <f>'Products x speed'!J240</f>
        <v>0</v>
      </c>
      <c r="I489" s="175">
        <f>'Products x speed'!K240</f>
        <v>0</v>
      </c>
      <c r="J489" s="175">
        <f>'Products x speed'!L240</f>
        <v>0</v>
      </c>
      <c r="K489" s="175">
        <f>'Products x speed'!M240</f>
        <v>0</v>
      </c>
      <c r="L489" s="175">
        <f>'Products x speed'!N240</f>
        <v>0</v>
      </c>
      <c r="M489" s="175">
        <f>'Products x speed'!O240</f>
        <v>0</v>
      </c>
      <c r="T489" s="545"/>
    </row>
    <row r="490" spans="2:20" ht="15.6">
      <c r="B490" s="289" t="str">
        <f t="shared" si="110"/>
        <v>100G CWDM4-subspec_500 m_QSFP28</v>
      </c>
      <c r="C490" s="175">
        <f>'Products x speed'!E241</f>
        <v>55.125374999999998</v>
      </c>
      <c r="D490" s="175">
        <f>'Products x speed'!F241</f>
        <v>307.53544499999998</v>
      </c>
      <c r="E490" s="175">
        <f>'Products x speed'!G241</f>
        <v>0</v>
      </c>
      <c r="F490" s="175">
        <f>'Products x speed'!H241</f>
        <v>0</v>
      </c>
      <c r="G490" s="175">
        <f>'Products x speed'!I241</f>
        <v>0</v>
      </c>
      <c r="H490" s="175">
        <f>'Products x speed'!J241</f>
        <v>0</v>
      </c>
      <c r="I490" s="175">
        <f>'Products x speed'!K241</f>
        <v>0</v>
      </c>
      <c r="J490" s="175">
        <f>'Products x speed'!L241</f>
        <v>0</v>
      </c>
      <c r="K490" s="175">
        <f>'Products x speed'!M241</f>
        <v>0</v>
      </c>
      <c r="L490" s="175">
        <f>'Products x speed'!N241</f>
        <v>0</v>
      </c>
      <c r="M490" s="175">
        <f>'Products x speed'!O241</f>
        <v>0</v>
      </c>
      <c r="T490" s="545"/>
    </row>
    <row r="491" spans="2:20" ht="15.6">
      <c r="B491" s="289" t="str">
        <f t="shared" si="110"/>
        <v>100G CWDM4_2 km_QSFP28</v>
      </c>
      <c r="C491" s="175">
        <f>+'Products x speed'!E242</f>
        <v>25.566254999999995</v>
      </c>
      <c r="D491" s="175">
        <f>+'Products x speed'!F242</f>
        <v>190.37908500000003</v>
      </c>
      <c r="E491" s="175">
        <f>+'Products x speed'!G242</f>
        <v>0</v>
      </c>
      <c r="F491" s="175">
        <f>+'Products x speed'!H242</f>
        <v>0</v>
      </c>
      <c r="G491" s="175">
        <f>+'Products x speed'!I242</f>
        <v>0</v>
      </c>
      <c r="H491" s="175">
        <f>+'Products x speed'!J242</f>
        <v>0</v>
      </c>
      <c r="I491" s="175">
        <f>+'Products x speed'!K242</f>
        <v>0</v>
      </c>
      <c r="J491" s="175">
        <f>+'Products x speed'!L242</f>
        <v>0</v>
      </c>
      <c r="K491" s="175">
        <f>+'Products x speed'!M242</f>
        <v>0</v>
      </c>
      <c r="L491" s="175">
        <f>+'Products x speed'!N242</f>
        <v>0</v>
      </c>
      <c r="M491" s="175">
        <f>+'Products x speed'!O242</f>
        <v>0</v>
      </c>
      <c r="T491" s="545"/>
    </row>
    <row r="492" spans="2:20">
      <c r="B492" s="289" t="str">
        <f t="shared" si="110"/>
        <v>100G FR, DR+_2 km_QSFP28</v>
      </c>
      <c r="C492" s="175">
        <f>'Products x speed'!E243</f>
        <v>0</v>
      </c>
      <c r="D492" s="175">
        <f>'Products x speed'!F243</f>
        <v>0</v>
      </c>
      <c r="E492" s="175">
        <f>'Products x speed'!G243</f>
        <v>0</v>
      </c>
      <c r="F492" s="175">
        <f>'Products x speed'!H243</f>
        <v>0</v>
      </c>
      <c r="G492" s="175">
        <f>'Products x speed'!I243</f>
        <v>0</v>
      </c>
      <c r="H492" s="175">
        <f>'Products x speed'!J243</f>
        <v>0</v>
      </c>
      <c r="I492" s="175">
        <f>'Products x speed'!K243</f>
        <v>0</v>
      </c>
      <c r="J492" s="175">
        <f>'Products x speed'!L243</f>
        <v>0</v>
      </c>
      <c r="K492" s="175">
        <f>'Products x speed'!M243</f>
        <v>0</v>
      </c>
      <c r="L492" s="175">
        <f>'Products x speed'!N243</f>
        <v>0</v>
      </c>
      <c r="M492" s="175">
        <f>'Products x speed'!O243</f>
        <v>0</v>
      </c>
    </row>
    <row r="493" spans="2:20">
      <c r="B493" s="289" t="str">
        <f t="shared" si="110"/>
        <v>100G LR4_10 km_CFP</v>
      </c>
      <c r="C493" s="175">
        <f>'Products x speed'!E244</f>
        <v>387.84002208207454</v>
      </c>
      <c r="D493" s="175">
        <f>'Products x speed'!F244</f>
        <v>186.42675405916248</v>
      </c>
      <c r="E493" s="175">
        <f>'Products x speed'!G244</f>
        <v>0</v>
      </c>
      <c r="F493" s="175">
        <f>'Products x speed'!H244</f>
        <v>0</v>
      </c>
      <c r="G493" s="175">
        <f>'Products x speed'!I244</f>
        <v>0</v>
      </c>
      <c r="H493" s="175">
        <f>'Products x speed'!J244</f>
        <v>0</v>
      </c>
      <c r="I493" s="175">
        <f>'Products x speed'!K244</f>
        <v>0</v>
      </c>
      <c r="J493" s="175">
        <f>'Products x speed'!L244</f>
        <v>0</v>
      </c>
      <c r="K493" s="175">
        <f>'Products x speed'!M244</f>
        <v>0</v>
      </c>
      <c r="L493" s="175">
        <f>'Products x speed'!N244</f>
        <v>0</v>
      </c>
      <c r="M493" s="175">
        <f>'Products x speed'!O244</f>
        <v>0</v>
      </c>
    </row>
    <row r="494" spans="2:20">
      <c r="B494" s="289" t="str">
        <f t="shared" si="110"/>
        <v>100G LR4_10 km_CFP2/4</v>
      </c>
      <c r="C494" s="175">
        <f>'Products x speed'!E245</f>
        <v>265.89292589706986</v>
      </c>
      <c r="D494" s="175">
        <f>'Products x speed'!F245</f>
        <v>167.37814313065076</v>
      </c>
      <c r="E494" s="175">
        <f>'Products x speed'!G245</f>
        <v>0</v>
      </c>
      <c r="F494" s="175">
        <f>'Products x speed'!H245</f>
        <v>0</v>
      </c>
      <c r="G494" s="175">
        <f>'Products x speed'!I245</f>
        <v>0</v>
      </c>
      <c r="H494" s="175">
        <f>'Products x speed'!J245</f>
        <v>0</v>
      </c>
      <c r="I494" s="175">
        <f>'Products x speed'!K245</f>
        <v>0</v>
      </c>
      <c r="J494" s="175">
        <f>'Products x speed'!L245</f>
        <v>0</v>
      </c>
      <c r="K494" s="175">
        <f>'Products x speed'!M245</f>
        <v>0</v>
      </c>
      <c r="L494" s="175">
        <f>'Products x speed'!N245</f>
        <v>0</v>
      </c>
      <c r="M494" s="175">
        <f>'Products x speed'!O245</f>
        <v>0</v>
      </c>
    </row>
    <row r="495" spans="2:20">
      <c r="B495" s="289" t="str">
        <f t="shared" si="110"/>
        <v>100G LR4 and LR1_10 km_QSFP28</v>
      </c>
      <c r="C495" s="175">
        <f>'Products x speed'!E246</f>
        <v>175.29210971636297</v>
      </c>
      <c r="D495" s="175">
        <f>'Products x speed'!F246</f>
        <v>434.82240000000002</v>
      </c>
      <c r="E495" s="175">
        <f>'Products x speed'!G246</f>
        <v>0</v>
      </c>
      <c r="F495" s="175">
        <f>'Products x speed'!H246</f>
        <v>0</v>
      </c>
      <c r="G495" s="175">
        <f>'Products x speed'!I246</f>
        <v>0</v>
      </c>
      <c r="H495" s="175">
        <f>'Products x speed'!J246</f>
        <v>0</v>
      </c>
      <c r="I495" s="175">
        <f>'Products x speed'!K246</f>
        <v>0</v>
      </c>
      <c r="J495" s="175">
        <f>'Products x speed'!L246</f>
        <v>0</v>
      </c>
      <c r="K495" s="175">
        <f>'Products x speed'!M246</f>
        <v>0</v>
      </c>
      <c r="L495" s="175">
        <f>'Products x speed'!N246</f>
        <v>0</v>
      </c>
      <c r="M495" s="175">
        <f>'Products x speed'!O246</f>
        <v>0</v>
      </c>
    </row>
    <row r="496" spans="2:20">
      <c r="B496" s="289" t="str">
        <f t="shared" si="110"/>
        <v>100G 4WDM10_10 km_QSFP28</v>
      </c>
      <c r="C496" s="175">
        <f>'Products x speed'!E247</f>
        <v>0</v>
      </c>
      <c r="D496" s="175">
        <f>'Products x speed'!F247</f>
        <v>22.5</v>
      </c>
      <c r="E496" s="175">
        <f>'Products x speed'!G247</f>
        <v>0</v>
      </c>
      <c r="F496" s="175">
        <f>'Products x speed'!H247</f>
        <v>0</v>
      </c>
      <c r="G496" s="175">
        <f>'Products x speed'!I247</f>
        <v>0</v>
      </c>
      <c r="H496" s="175">
        <f>'Products x speed'!J247</f>
        <v>0</v>
      </c>
      <c r="I496" s="175">
        <f>'Products x speed'!K247</f>
        <v>0</v>
      </c>
      <c r="J496" s="175">
        <f>'Products x speed'!L247</f>
        <v>0</v>
      </c>
      <c r="K496" s="175">
        <f>'Products x speed'!M247</f>
        <v>0</v>
      </c>
      <c r="L496" s="175">
        <f>'Products x speed'!N247</f>
        <v>0</v>
      </c>
      <c r="M496" s="175">
        <f>'Products x speed'!O247</f>
        <v>0</v>
      </c>
    </row>
    <row r="497" spans="2:13">
      <c r="B497" s="289" t="str">
        <f t="shared" si="110"/>
        <v>100G 4WDM20_20 km_QSFP28</v>
      </c>
      <c r="C497" s="175">
        <f>'Products x speed'!E248</f>
        <v>0</v>
      </c>
      <c r="D497" s="175">
        <f>'Products x speed'!F248</f>
        <v>0</v>
      </c>
      <c r="E497" s="175">
        <f>'Products x speed'!G248</f>
        <v>0</v>
      </c>
      <c r="F497" s="175">
        <f>'Products x speed'!H248</f>
        <v>0</v>
      </c>
      <c r="G497" s="175">
        <f>'Products x speed'!I248</f>
        <v>0</v>
      </c>
      <c r="H497" s="175">
        <f>'Products x speed'!J248</f>
        <v>0</v>
      </c>
      <c r="I497" s="175">
        <f>'Products x speed'!K248</f>
        <v>0</v>
      </c>
      <c r="J497" s="175">
        <f>'Products x speed'!L248</f>
        <v>0</v>
      </c>
      <c r="K497" s="175">
        <f>'Products x speed'!M248</f>
        <v>0</v>
      </c>
      <c r="L497" s="175">
        <f>'Products x speed'!N248</f>
        <v>0</v>
      </c>
      <c r="M497" s="175">
        <f>'Products x speed'!O248</f>
        <v>0</v>
      </c>
    </row>
    <row r="498" spans="2:13">
      <c r="B498" s="289" t="str">
        <f t="shared" ref="B498:B499" si="111">B466</f>
        <v>100G ER4-Lite_30 km_QSFP28</v>
      </c>
      <c r="C498" s="175" t="str">
        <f>'Products x speed'!E249</f>
        <v/>
      </c>
      <c r="D498" s="175">
        <f>'Products x speed'!F249</f>
        <v>6.9744847890088328</v>
      </c>
      <c r="E498" s="175">
        <f>'Products x speed'!G249</f>
        <v>0</v>
      </c>
      <c r="F498" s="175">
        <f>'Products x speed'!H249</f>
        <v>0</v>
      </c>
      <c r="G498" s="175">
        <f>'Products x speed'!I249</f>
        <v>0</v>
      </c>
      <c r="H498" s="175">
        <f>'Products x speed'!J249</f>
        <v>0</v>
      </c>
      <c r="I498" s="175">
        <f>'Products x speed'!K249</f>
        <v>0</v>
      </c>
      <c r="J498" s="175">
        <f>'Products x speed'!L249</f>
        <v>0</v>
      </c>
      <c r="K498" s="175">
        <f>'Products x speed'!M249</f>
        <v>0</v>
      </c>
      <c r="L498" s="175">
        <f>'Products x speed'!N249</f>
        <v>0</v>
      </c>
      <c r="M498" s="175">
        <f>'Products x speed'!O249</f>
        <v>0</v>
      </c>
    </row>
    <row r="499" spans="2:13">
      <c r="B499" s="289" t="str">
        <f t="shared" si="111"/>
        <v>100G ER4_40 km_QSFP28</v>
      </c>
      <c r="C499" s="175">
        <f>'Products x speed'!E250</f>
        <v>67.047039534140794</v>
      </c>
      <c r="D499" s="175">
        <f>'Products x speed'!F250</f>
        <v>55.219616614611596</v>
      </c>
      <c r="E499" s="175">
        <f>'Products x speed'!G250</f>
        <v>0</v>
      </c>
      <c r="F499" s="175">
        <f>'Products x speed'!H250</f>
        <v>0</v>
      </c>
      <c r="G499" s="175">
        <f>'Products x speed'!I250</f>
        <v>0</v>
      </c>
      <c r="H499" s="175">
        <f>'Products x speed'!J250</f>
        <v>0</v>
      </c>
      <c r="I499" s="175">
        <f>'Products x speed'!K250</f>
        <v>0</v>
      </c>
      <c r="J499" s="175">
        <f>'Products x speed'!L250</f>
        <v>0</v>
      </c>
      <c r="K499" s="175">
        <f>'Products x speed'!M250</f>
        <v>0</v>
      </c>
      <c r="L499" s="175">
        <f>'Products x speed'!N250</f>
        <v>0</v>
      </c>
      <c r="M499" s="175">
        <f>'Products x speed'!O250</f>
        <v>0</v>
      </c>
    </row>
    <row r="500" spans="2:13">
      <c r="B500" s="374" t="str">
        <f>B468</f>
        <v>100G ZR4_80 km_QSFP28</v>
      </c>
      <c r="C500" s="171" t="str">
        <f>'Products x speed'!E251</f>
        <v/>
      </c>
      <c r="D500" s="171" t="str">
        <f>'Products x speed'!F251</f>
        <v/>
      </c>
      <c r="E500" s="171">
        <f>'Products x speed'!G251</f>
        <v>0</v>
      </c>
      <c r="F500" s="171">
        <f>'Products x speed'!H251</f>
        <v>0</v>
      </c>
      <c r="G500" s="171">
        <f>'Products x speed'!I251</f>
        <v>0</v>
      </c>
      <c r="H500" s="171">
        <f>'Products x speed'!J251</f>
        <v>0</v>
      </c>
      <c r="I500" s="171">
        <f>'Products x speed'!K251</f>
        <v>0</v>
      </c>
      <c r="J500" s="171">
        <f>'Products x speed'!L251</f>
        <v>0</v>
      </c>
      <c r="K500" s="171">
        <f>'Products x speed'!M251</f>
        <v>0</v>
      </c>
      <c r="L500" s="171">
        <f>'Products x speed'!N251</f>
        <v>0</v>
      </c>
      <c r="M500" s="171">
        <f>'Products x speed'!O251</f>
        <v>0</v>
      </c>
    </row>
    <row r="501" spans="2:13">
      <c r="B501" s="374" t="str">
        <f>$B$469</f>
        <v>100G Long Reach</v>
      </c>
      <c r="C501" s="171">
        <f>SUM(C488:C500)</f>
        <v>1044.5376174696482</v>
      </c>
      <c r="D501" s="171">
        <f t="shared" ref="D501:H501" si="112">SUM(D488:D500)</f>
        <v>1529.3299315934335</v>
      </c>
      <c r="E501" s="171">
        <f t="shared" si="112"/>
        <v>0</v>
      </c>
      <c r="F501" s="171">
        <f t="shared" si="112"/>
        <v>0</v>
      </c>
      <c r="G501" s="171">
        <f t="shared" si="112"/>
        <v>0</v>
      </c>
      <c r="H501" s="171">
        <f t="shared" si="112"/>
        <v>0</v>
      </c>
      <c r="I501" s="171">
        <f t="shared" ref="I501:M501" si="113">SUM(I488:I500)</f>
        <v>0</v>
      </c>
      <c r="J501" s="171">
        <f t="shared" si="113"/>
        <v>0</v>
      </c>
      <c r="K501" s="171">
        <f t="shared" si="113"/>
        <v>0</v>
      </c>
      <c r="L501" s="171">
        <f t="shared" si="113"/>
        <v>0</v>
      </c>
      <c r="M501" s="171">
        <f t="shared" si="113"/>
        <v>0</v>
      </c>
    </row>
    <row r="502" spans="2:13">
      <c r="C502" s="156">
        <f>SUM('Products x speed'!E239:E251)-C501</f>
        <v>0</v>
      </c>
      <c r="D502" s="156">
        <f>SUM('Products x speed'!F239:F251)-D501</f>
        <v>0</v>
      </c>
      <c r="E502" s="156">
        <f>SUM('Products x speed'!G239:G251)-E501</f>
        <v>0</v>
      </c>
      <c r="F502" s="156">
        <f>SUM('Products x speed'!H239:H251)-F501</f>
        <v>0</v>
      </c>
      <c r="G502" s="156">
        <f>SUM('Products x speed'!I239:I251)-G501</f>
        <v>0</v>
      </c>
      <c r="H502" s="156">
        <f>SUM('Products x speed'!J239:J251)-H501</f>
        <v>0</v>
      </c>
      <c r="I502" s="156">
        <f>SUM('Products x speed'!K239:K251)-I501</f>
        <v>0</v>
      </c>
      <c r="J502" s="156">
        <f>SUM('Products x speed'!L239:L251)-J501</f>
        <v>0</v>
      </c>
      <c r="K502" s="156">
        <f>SUM('Products x speed'!M239:M251)-K501</f>
        <v>0</v>
      </c>
      <c r="L502" s="156">
        <f>SUM('Products x speed'!N239:N251)-L501</f>
        <v>0</v>
      </c>
      <c r="M502" s="156">
        <f>SUM('Products x speed'!O239:O251)-M501</f>
        <v>0</v>
      </c>
    </row>
    <row r="504" spans="2:13" s="641" customFormat="1" ht="21">
      <c r="B504" s="640" t="s">
        <v>398</v>
      </c>
    </row>
    <row r="505" spans="2:13" s="293" customFormat="1" ht="21">
      <c r="B505" s="609"/>
    </row>
    <row r="506" spans="2:13" s="293" customFormat="1" ht="21">
      <c r="B506" s="609"/>
    </row>
    <row r="507" spans="2:13" s="293" customFormat="1" ht="21">
      <c r="B507" s="609"/>
    </row>
    <row r="508" spans="2:13" s="293" customFormat="1" ht="21">
      <c r="B508" s="609"/>
    </row>
    <row r="509" spans="2:13" s="293" customFormat="1" ht="21">
      <c r="B509" s="609"/>
    </row>
    <row r="510" spans="2:13" s="293" customFormat="1" ht="21">
      <c r="B510" s="609"/>
    </row>
    <row r="511" spans="2:13" s="293" customFormat="1" ht="21">
      <c r="B511" s="609"/>
    </row>
    <row r="512" spans="2:13" s="293" customFormat="1" ht="21">
      <c r="B512" s="609"/>
    </row>
    <row r="513" spans="2:20" s="293" customFormat="1" ht="21">
      <c r="B513" s="609"/>
    </row>
    <row r="514" spans="2:20" s="293" customFormat="1" ht="21">
      <c r="B514" s="609"/>
    </row>
    <row r="515" spans="2:20" s="293" customFormat="1" ht="21">
      <c r="B515" s="609"/>
    </row>
    <row r="516" spans="2:20" s="293" customFormat="1" ht="21">
      <c r="B516" s="609"/>
    </row>
    <row r="517" spans="2:20" s="293" customFormat="1" ht="21">
      <c r="B517" s="609"/>
    </row>
    <row r="521" spans="2:20" ht="15.6">
      <c r="B521" s="616" t="s">
        <v>400</v>
      </c>
    </row>
    <row r="522" spans="2:20">
      <c r="B522" s="80" t="s">
        <v>22</v>
      </c>
      <c r="C522" s="528">
        <v>2016</v>
      </c>
      <c r="D522" s="528">
        <v>2017</v>
      </c>
      <c r="E522" s="528">
        <v>2018</v>
      </c>
      <c r="F522" s="528">
        <v>2019</v>
      </c>
      <c r="G522" s="528">
        <v>2020</v>
      </c>
      <c r="H522" s="528">
        <v>2021</v>
      </c>
      <c r="I522" s="528">
        <v>2022</v>
      </c>
      <c r="J522" s="528">
        <v>2023</v>
      </c>
      <c r="K522" s="528">
        <v>2024</v>
      </c>
      <c r="L522" s="528">
        <v>2025</v>
      </c>
      <c r="M522" s="528">
        <v>2026</v>
      </c>
    </row>
    <row r="523" spans="2:20">
      <c r="B523" s="297" t="s">
        <v>402</v>
      </c>
      <c r="C523" s="296">
        <f t="shared" ref="C523:M523" si="114">C378</f>
        <v>280058</v>
      </c>
      <c r="D523" s="296">
        <f t="shared" si="114"/>
        <v>622792</v>
      </c>
      <c r="E523" s="296">
        <f t="shared" si="114"/>
        <v>0</v>
      </c>
      <c r="F523" s="296">
        <f t="shared" si="114"/>
        <v>0</v>
      </c>
      <c r="G523" s="296">
        <f t="shared" si="114"/>
        <v>0</v>
      </c>
      <c r="H523" s="296">
        <f t="shared" si="114"/>
        <v>0</v>
      </c>
      <c r="I523" s="296">
        <f t="shared" si="114"/>
        <v>0</v>
      </c>
      <c r="J523" s="296">
        <f t="shared" si="114"/>
        <v>0</v>
      </c>
      <c r="K523" s="296">
        <f t="shared" si="114"/>
        <v>0</v>
      </c>
      <c r="L523" s="296">
        <f t="shared" si="114"/>
        <v>0</v>
      </c>
      <c r="M523" s="296">
        <f t="shared" si="114"/>
        <v>0</v>
      </c>
    </row>
    <row r="524" spans="2:20">
      <c r="B524" s="358" t="s">
        <v>347</v>
      </c>
      <c r="C524" s="516">
        <f t="shared" ref="C524:M524" si="115">C456</f>
        <v>200861</v>
      </c>
      <c r="D524" s="516">
        <f t="shared" si="115"/>
        <v>710038</v>
      </c>
      <c r="E524" s="516">
        <f t="shared" si="115"/>
        <v>0</v>
      </c>
      <c r="F524" s="516">
        <f t="shared" si="115"/>
        <v>0</v>
      </c>
      <c r="G524" s="516">
        <f t="shared" si="115"/>
        <v>0</v>
      </c>
      <c r="H524" s="516">
        <f t="shared" si="115"/>
        <v>0</v>
      </c>
      <c r="I524" s="516">
        <f t="shared" si="115"/>
        <v>0</v>
      </c>
      <c r="J524" s="516">
        <f t="shared" si="115"/>
        <v>0</v>
      </c>
      <c r="K524" s="516">
        <f t="shared" si="115"/>
        <v>0</v>
      </c>
      <c r="L524" s="516">
        <f t="shared" si="115"/>
        <v>0</v>
      </c>
      <c r="M524" s="516">
        <f t="shared" si="115"/>
        <v>0</v>
      </c>
      <c r="T524" s="210"/>
    </row>
    <row r="525" spans="2:20">
      <c r="B525" s="358" t="s">
        <v>399</v>
      </c>
      <c r="C525" s="516">
        <f t="shared" ref="C525:M525" si="116">C457+C460</f>
        <v>0</v>
      </c>
      <c r="D525" s="516">
        <f t="shared" si="116"/>
        <v>0</v>
      </c>
      <c r="E525" s="516">
        <f t="shared" si="116"/>
        <v>0</v>
      </c>
      <c r="F525" s="516">
        <f t="shared" si="116"/>
        <v>0</v>
      </c>
      <c r="G525" s="516">
        <f t="shared" si="116"/>
        <v>0</v>
      </c>
      <c r="H525" s="516">
        <f t="shared" si="116"/>
        <v>0</v>
      </c>
      <c r="I525" s="516">
        <f t="shared" si="116"/>
        <v>0</v>
      </c>
      <c r="J525" s="516">
        <f t="shared" si="116"/>
        <v>0</v>
      </c>
      <c r="K525" s="516">
        <f t="shared" si="116"/>
        <v>0</v>
      </c>
      <c r="L525" s="516">
        <f t="shared" si="116"/>
        <v>0</v>
      </c>
      <c r="M525" s="516">
        <f t="shared" si="116"/>
        <v>0</v>
      </c>
      <c r="T525" s="68"/>
    </row>
    <row r="526" spans="2:20">
      <c r="B526" s="358" t="s">
        <v>401</v>
      </c>
      <c r="C526" s="516">
        <f t="shared" ref="C526:M526" si="117">C458+C459</f>
        <v>119190</v>
      </c>
      <c r="D526" s="516">
        <f t="shared" si="117"/>
        <v>976303</v>
      </c>
      <c r="E526" s="516">
        <f t="shared" si="117"/>
        <v>0</v>
      </c>
      <c r="F526" s="516">
        <f t="shared" si="117"/>
        <v>0</v>
      </c>
      <c r="G526" s="516">
        <f t="shared" si="117"/>
        <v>0</v>
      </c>
      <c r="H526" s="516">
        <f t="shared" si="117"/>
        <v>0</v>
      </c>
      <c r="I526" s="516">
        <f t="shared" si="117"/>
        <v>0</v>
      </c>
      <c r="J526" s="516">
        <f t="shared" si="117"/>
        <v>0</v>
      </c>
      <c r="K526" s="516">
        <f t="shared" si="117"/>
        <v>0</v>
      </c>
      <c r="L526" s="516">
        <f t="shared" si="117"/>
        <v>0</v>
      </c>
      <c r="M526" s="516">
        <f t="shared" si="117"/>
        <v>0</v>
      </c>
      <c r="T526" s="116"/>
    </row>
    <row r="527" spans="2:20">
      <c r="B527" s="297" t="s">
        <v>357</v>
      </c>
      <c r="C527" s="296">
        <f t="shared" ref="C527:M527" si="118">C463</f>
        <v>90443</v>
      </c>
      <c r="D527" s="296">
        <f t="shared" si="118"/>
        <v>362352</v>
      </c>
      <c r="E527" s="296">
        <f t="shared" si="118"/>
        <v>0</v>
      </c>
      <c r="F527" s="296">
        <f t="shared" si="118"/>
        <v>0</v>
      </c>
      <c r="G527" s="296">
        <f t="shared" si="118"/>
        <v>0</v>
      </c>
      <c r="H527" s="296">
        <f t="shared" si="118"/>
        <v>0</v>
      </c>
      <c r="I527" s="296">
        <f t="shared" si="118"/>
        <v>0</v>
      </c>
      <c r="J527" s="296">
        <f t="shared" si="118"/>
        <v>0</v>
      </c>
      <c r="K527" s="296">
        <f t="shared" si="118"/>
        <v>0</v>
      </c>
      <c r="L527" s="296">
        <f t="shared" si="118"/>
        <v>0</v>
      </c>
      <c r="M527" s="296">
        <f t="shared" si="118"/>
        <v>0</v>
      </c>
      <c r="T527" s="68"/>
    </row>
    <row r="528" spans="2:20">
      <c r="B528" s="611" t="s">
        <v>403</v>
      </c>
      <c r="C528" s="612">
        <f>C529-SUM(C523:C527)</f>
        <v>228818</v>
      </c>
      <c r="D528" s="612">
        <f t="shared" ref="D528:L528" si="119">D529-SUM(D523:D527)</f>
        <v>210005</v>
      </c>
      <c r="E528" s="612">
        <f t="shared" si="119"/>
        <v>0</v>
      </c>
      <c r="F528" s="612">
        <f t="shared" si="119"/>
        <v>0</v>
      </c>
      <c r="G528" s="612">
        <f t="shared" si="119"/>
        <v>0</v>
      </c>
      <c r="H528" s="612">
        <f t="shared" si="119"/>
        <v>0</v>
      </c>
      <c r="I528" s="612">
        <f t="shared" si="119"/>
        <v>0</v>
      </c>
      <c r="J528" s="612">
        <f t="shared" si="119"/>
        <v>0</v>
      </c>
      <c r="K528" s="612">
        <f t="shared" si="119"/>
        <v>0</v>
      </c>
      <c r="L528" s="612">
        <f t="shared" si="119"/>
        <v>0</v>
      </c>
      <c r="M528" s="612">
        <f t="shared" ref="M528" si="120">M529-SUM(M523:M527)</f>
        <v>0</v>
      </c>
    </row>
    <row r="529" spans="2:20">
      <c r="B529" s="611" t="s">
        <v>404</v>
      </c>
      <c r="C529" s="613">
        <f>'Products x speed'!E94</f>
        <v>919370</v>
      </c>
      <c r="D529" s="613">
        <f>'Products x speed'!F94</f>
        <v>2881490</v>
      </c>
      <c r="E529" s="613">
        <f>'Products x speed'!G94</f>
        <v>0</v>
      </c>
      <c r="F529" s="613">
        <f>'Products x speed'!H94</f>
        <v>0</v>
      </c>
      <c r="G529" s="613">
        <f>'Products x speed'!I94</f>
        <v>0</v>
      </c>
      <c r="H529" s="613">
        <f>'Products x speed'!J94</f>
        <v>0</v>
      </c>
      <c r="I529" s="613">
        <f>'Products x speed'!K94</f>
        <v>0</v>
      </c>
      <c r="J529" s="613">
        <f>'Products x speed'!L94</f>
        <v>0</v>
      </c>
      <c r="K529" s="613">
        <f>'Products x speed'!M94</f>
        <v>0</v>
      </c>
      <c r="L529" s="613">
        <f>'Products x speed'!N94</f>
        <v>0</v>
      </c>
      <c r="M529" s="613">
        <f>'Products x speed'!O94</f>
        <v>0</v>
      </c>
    </row>
    <row r="531" spans="2:20">
      <c r="B531" s="80" t="s">
        <v>21</v>
      </c>
      <c r="C531" s="528">
        <v>2016</v>
      </c>
      <c r="D531" s="528">
        <v>2017</v>
      </c>
      <c r="E531" s="528">
        <v>2018</v>
      </c>
      <c r="F531" s="528">
        <v>2019</v>
      </c>
      <c r="G531" s="528">
        <v>2020</v>
      </c>
      <c r="H531" s="528">
        <v>2021</v>
      </c>
      <c r="I531" s="528">
        <v>2022</v>
      </c>
      <c r="J531" s="528">
        <v>2023</v>
      </c>
      <c r="K531" s="528">
        <v>2024</v>
      </c>
      <c r="L531" s="528">
        <v>2025</v>
      </c>
      <c r="M531" s="528">
        <v>2026</v>
      </c>
    </row>
    <row r="532" spans="2:20">
      <c r="B532" s="297" t="s">
        <v>402</v>
      </c>
      <c r="C532" s="610">
        <f>IF(C523=0,"",(C541*10^6)/C523)</f>
        <v>258.09426618771823</v>
      </c>
      <c r="D532" s="610">
        <f t="shared" ref="D532:L532" si="121">IF(D523=0,"",(D541*10^6)/D523)</f>
        <v>182.02277386466108</v>
      </c>
      <c r="E532" s="610" t="str">
        <f t="shared" si="121"/>
        <v/>
      </c>
      <c r="F532" s="610" t="str">
        <f t="shared" si="121"/>
        <v/>
      </c>
      <c r="G532" s="610" t="str">
        <f t="shared" si="121"/>
        <v/>
      </c>
      <c r="H532" s="610" t="str">
        <f t="shared" si="121"/>
        <v/>
      </c>
      <c r="I532" s="610" t="str">
        <f t="shared" si="121"/>
        <v/>
      </c>
      <c r="J532" s="610" t="str">
        <f t="shared" si="121"/>
        <v/>
      </c>
      <c r="K532" s="610" t="str">
        <f t="shared" si="121"/>
        <v/>
      </c>
      <c r="L532" s="610" t="str">
        <f t="shared" si="121"/>
        <v/>
      </c>
      <c r="M532" s="610" t="str">
        <f t="shared" ref="M532" si="122">IF(M523=0,"",(M541*10^6)/M523)</f>
        <v/>
      </c>
    </row>
    <row r="533" spans="2:20">
      <c r="B533" s="358" t="s">
        <v>347</v>
      </c>
      <c r="C533" s="610">
        <f t="shared" ref="C533:L538" si="123">IF(C524=0,"",(C542*10^6)/C524)</f>
        <v>337.41687156790022</v>
      </c>
      <c r="D533" s="610">
        <f t="shared" si="123"/>
        <v>222.65569307558187</v>
      </c>
      <c r="E533" s="610" t="str">
        <f t="shared" si="123"/>
        <v/>
      </c>
      <c r="F533" s="610" t="str">
        <f t="shared" si="123"/>
        <v/>
      </c>
      <c r="G533" s="610" t="str">
        <f t="shared" si="123"/>
        <v/>
      </c>
      <c r="H533" s="610" t="str">
        <f t="shared" si="123"/>
        <v/>
      </c>
      <c r="I533" s="610" t="str">
        <f t="shared" si="123"/>
        <v/>
      </c>
      <c r="J533" s="610" t="str">
        <f t="shared" si="123"/>
        <v/>
      </c>
      <c r="K533" s="610" t="str">
        <f t="shared" si="123"/>
        <v/>
      </c>
      <c r="L533" s="610" t="str">
        <f t="shared" si="123"/>
        <v/>
      </c>
      <c r="M533" s="610" t="str">
        <f t="shared" ref="M533" si="124">IF(M524=0,"",(M542*10^6)/M524)</f>
        <v/>
      </c>
    </row>
    <row r="534" spans="2:20">
      <c r="B534" s="358" t="s">
        <v>399</v>
      </c>
      <c r="C534" s="610"/>
      <c r="D534" s="610"/>
      <c r="E534" s="610" t="str">
        <f t="shared" si="123"/>
        <v/>
      </c>
      <c r="F534" s="610" t="str">
        <f t="shared" si="123"/>
        <v/>
      </c>
      <c r="G534" s="610" t="str">
        <f t="shared" si="123"/>
        <v/>
      </c>
      <c r="H534" s="610" t="str">
        <f t="shared" si="123"/>
        <v/>
      </c>
      <c r="I534" s="610" t="str">
        <f t="shared" si="123"/>
        <v/>
      </c>
      <c r="J534" s="610" t="str">
        <f t="shared" si="123"/>
        <v/>
      </c>
      <c r="K534" s="610" t="str">
        <f t="shared" si="123"/>
        <v/>
      </c>
      <c r="L534" s="610" t="str">
        <f t="shared" si="123"/>
        <v/>
      </c>
      <c r="M534" s="610" t="str">
        <f t="shared" ref="M534" si="125">IF(M525=0,"",(M543*10^6)/M525)</f>
        <v/>
      </c>
    </row>
    <row r="535" spans="2:20">
      <c r="B535" s="358" t="s">
        <v>401</v>
      </c>
      <c r="C535" s="610">
        <f t="shared" si="123"/>
        <v>676.99999999999989</v>
      </c>
      <c r="D535" s="610">
        <f t="shared" si="123"/>
        <v>510</v>
      </c>
      <c r="E535" s="610" t="str">
        <f t="shared" si="123"/>
        <v/>
      </c>
      <c r="F535" s="610" t="str">
        <f t="shared" si="123"/>
        <v/>
      </c>
      <c r="G535" s="610" t="str">
        <f t="shared" si="123"/>
        <v/>
      </c>
      <c r="H535" s="610" t="str">
        <f t="shared" si="123"/>
        <v/>
      </c>
      <c r="I535" s="610" t="str">
        <f t="shared" si="123"/>
        <v/>
      </c>
      <c r="J535" s="610" t="str">
        <f t="shared" si="123"/>
        <v/>
      </c>
      <c r="K535" s="610" t="str">
        <f t="shared" si="123"/>
        <v/>
      </c>
      <c r="L535" s="610" t="str">
        <f t="shared" si="123"/>
        <v/>
      </c>
      <c r="M535" s="610" t="str">
        <f t="shared" ref="M535" si="126">IF(M526=0,"",(M544*10^6)/M526)</f>
        <v/>
      </c>
    </row>
    <row r="536" spans="2:20">
      <c r="B536" s="297" t="s">
        <v>357</v>
      </c>
      <c r="C536" s="610">
        <f t="shared" si="123"/>
        <v>1938.1501024552811</v>
      </c>
      <c r="D536" s="610">
        <f t="shared" si="123"/>
        <v>1200</v>
      </c>
      <c r="E536" s="610" t="str">
        <f t="shared" si="123"/>
        <v/>
      </c>
      <c r="F536" s="610" t="str">
        <f t="shared" si="123"/>
        <v/>
      </c>
      <c r="G536" s="610" t="str">
        <f t="shared" si="123"/>
        <v/>
      </c>
      <c r="H536" s="610" t="str">
        <f t="shared" si="123"/>
        <v/>
      </c>
      <c r="I536" s="610" t="str">
        <f t="shared" si="123"/>
        <v/>
      </c>
      <c r="J536" s="610" t="str">
        <f t="shared" si="123"/>
        <v/>
      </c>
      <c r="K536" s="610" t="str">
        <f t="shared" si="123"/>
        <v/>
      </c>
      <c r="L536" s="610" t="str">
        <f t="shared" si="123"/>
        <v/>
      </c>
      <c r="M536" s="610" t="str">
        <f t="shared" ref="M536" si="127">IF(M527=0,"",(M545*10^6)/M527)</f>
        <v/>
      </c>
    </row>
    <row r="537" spans="2:20">
      <c r="B537" s="611" t="s">
        <v>403</v>
      </c>
      <c r="C537" s="614">
        <f t="shared" si="123"/>
        <v>3265.1276102111078</v>
      </c>
      <c r="D537" s="614">
        <f t="shared" si="123"/>
        <v>2141.7639179706848</v>
      </c>
      <c r="E537" s="614" t="str">
        <f t="shared" si="123"/>
        <v/>
      </c>
      <c r="F537" s="614" t="str">
        <f t="shared" si="123"/>
        <v/>
      </c>
      <c r="G537" s="614" t="str">
        <f t="shared" si="123"/>
        <v/>
      </c>
      <c r="H537" s="614" t="str">
        <f t="shared" si="123"/>
        <v/>
      </c>
      <c r="I537" s="614" t="str">
        <f t="shared" si="123"/>
        <v/>
      </c>
      <c r="J537" s="614" t="str">
        <f t="shared" si="123"/>
        <v/>
      </c>
      <c r="K537" s="614" t="str">
        <f t="shared" si="123"/>
        <v/>
      </c>
      <c r="L537" s="614" t="str">
        <f t="shared" si="123"/>
        <v/>
      </c>
      <c r="M537" s="614" t="str">
        <f t="shared" ref="M537" si="128">IF(M528=0,"",(M546*10^6)/M528)</f>
        <v/>
      </c>
    </row>
    <row r="538" spans="2:20">
      <c r="B538" s="611" t="s">
        <v>404</v>
      </c>
      <c r="C538" s="614">
        <f t="shared" si="123"/>
        <v>1243.4155600788019</v>
      </c>
      <c r="D538" s="614">
        <f t="shared" si="123"/>
        <v>573.99969875798752</v>
      </c>
      <c r="E538" s="614" t="str">
        <f t="shared" si="123"/>
        <v/>
      </c>
      <c r="F538" s="614" t="str">
        <f t="shared" si="123"/>
        <v/>
      </c>
      <c r="G538" s="614" t="str">
        <f t="shared" si="123"/>
        <v/>
      </c>
      <c r="H538" s="614" t="str">
        <f t="shared" si="123"/>
        <v/>
      </c>
      <c r="I538" s="614" t="str">
        <f t="shared" si="123"/>
        <v/>
      </c>
      <c r="J538" s="614" t="str">
        <f t="shared" si="123"/>
        <v/>
      </c>
      <c r="K538" s="614" t="str">
        <f t="shared" si="123"/>
        <v/>
      </c>
      <c r="L538" s="614" t="str">
        <f t="shared" si="123"/>
        <v/>
      </c>
      <c r="M538" s="614" t="str">
        <f t="shared" ref="M538" si="129">IF(M529=0,"",(M547*10^6)/M529)</f>
        <v/>
      </c>
    </row>
    <row r="539" spans="2:20">
      <c r="T539" s="210"/>
    </row>
    <row r="540" spans="2:20">
      <c r="B540" s="80" t="s">
        <v>15</v>
      </c>
      <c r="C540" s="528">
        <v>2016</v>
      </c>
      <c r="D540" s="528">
        <v>2017</v>
      </c>
      <c r="E540" s="528">
        <v>2018</v>
      </c>
      <c r="F540" s="528">
        <v>2019</v>
      </c>
      <c r="G540" s="528">
        <v>2020</v>
      </c>
      <c r="H540" s="528">
        <v>2021</v>
      </c>
      <c r="I540" s="528">
        <v>2022</v>
      </c>
      <c r="J540" s="528">
        <v>2023</v>
      </c>
      <c r="K540" s="528">
        <v>2024</v>
      </c>
      <c r="L540" s="528">
        <v>2025</v>
      </c>
      <c r="M540" s="528">
        <v>2026</v>
      </c>
      <c r="T540" s="530"/>
    </row>
    <row r="541" spans="2:20">
      <c r="B541" s="297" t="s">
        <v>402</v>
      </c>
      <c r="C541" s="610">
        <f t="shared" ref="C541:M541" si="130">C394</f>
        <v>72.281363999999996</v>
      </c>
      <c r="D541" s="610">
        <f t="shared" si="130"/>
        <v>113.36232738072</v>
      </c>
      <c r="E541" s="610">
        <f t="shared" si="130"/>
        <v>0</v>
      </c>
      <c r="F541" s="610">
        <f t="shared" si="130"/>
        <v>0</v>
      </c>
      <c r="G541" s="610">
        <f t="shared" si="130"/>
        <v>0</v>
      </c>
      <c r="H541" s="610">
        <f t="shared" si="130"/>
        <v>0</v>
      </c>
      <c r="I541" s="610">
        <f t="shared" si="130"/>
        <v>0</v>
      </c>
      <c r="J541" s="610">
        <f t="shared" si="130"/>
        <v>0</v>
      </c>
      <c r="K541" s="610">
        <f t="shared" si="130"/>
        <v>0</v>
      </c>
      <c r="L541" s="610">
        <f t="shared" si="130"/>
        <v>0</v>
      </c>
      <c r="M541" s="610">
        <f t="shared" si="130"/>
        <v>0</v>
      </c>
      <c r="T541" s="530"/>
    </row>
    <row r="542" spans="2:20">
      <c r="B542" s="358" t="s">
        <v>347</v>
      </c>
      <c r="C542" s="589">
        <f t="shared" ref="C542:L542" si="131">C488</f>
        <v>67.773890240000014</v>
      </c>
      <c r="D542" s="589">
        <f t="shared" si="131"/>
        <v>158.09400299999999</v>
      </c>
      <c r="E542" s="589">
        <f t="shared" si="131"/>
        <v>0</v>
      </c>
      <c r="F542" s="589">
        <f t="shared" si="131"/>
        <v>0</v>
      </c>
      <c r="G542" s="589">
        <f t="shared" si="131"/>
        <v>0</v>
      </c>
      <c r="H542" s="589">
        <f t="shared" si="131"/>
        <v>0</v>
      </c>
      <c r="I542" s="589">
        <f t="shared" si="131"/>
        <v>0</v>
      </c>
      <c r="J542" s="589">
        <f t="shared" si="131"/>
        <v>0</v>
      </c>
      <c r="K542" s="589">
        <f t="shared" si="131"/>
        <v>0</v>
      </c>
      <c r="L542" s="589">
        <f t="shared" si="131"/>
        <v>0</v>
      </c>
      <c r="M542" s="589">
        <f t="shared" ref="M542" si="132">M488</f>
        <v>0</v>
      </c>
      <c r="T542" s="530"/>
    </row>
    <row r="543" spans="2:20">
      <c r="B543" s="358" t="s">
        <v>399</v>
      </c>
      <c r="C543" s="589">
        <f>C489+C492</f>
        <v>0</v>
      </c>
      <c r="D543" s="589">
        <f t="shared" ref="D543:L543" si="133">D489+D492</f>
        <v>0</v>
      </c>
      <c r="E543" s="589">
        <f t="shared" si="133"/>
        <v>0</v>
      </c>
      <c r="F543" s="589">
        <f t="shared" si="133"/>
        <v>0</v>
      </c>
      <c r="G543" s="589">
        <f t="shared" si="133"/>
        <v>0</v>
      </c>
      <c r="H543" s="589">
        <f t="shared" si="133"/>
        <v>0</v>
      </c>
      <c r="I543" s="589">
        <f t="shared" si="133"/>
        <v>0</v>
      </c>
      <c r="J543" s="589">
        <f t="shared" si="133"/>
        <v>0</v>
      </c>
      <c r="K543" s="589">
        <f t="shared" si="133"/>
        <v>0</v>
      </c>
      <c r="L543" s="589">
        <f t="shared" si="133"/>
        <v>0</v>
      </c>
      <c r="M543" s="589">
        <f t="shared" ref="M543" si="134">M489+M492</f>
        <v>0</v>
      </c>
    </row>
    <row r="544" spans="2:20">
      <c r="B544" s="358" t="s">
        <v>401</v>
      </c>
      <c r="C544" s="589">
        <f>C490+C491</f>
        <v>80.691629999999989</v>
      </c>
      <c r="D544" s="589">
        <f t="shared" ref="D544:L544" si="135">D490+D491</f>
        <v>497.91453000000001</v>
      </c>
      <c r="E544" s="589">
        <f t="shared" si="135"/>
        <v>0</v>
      </c>
      <c r="F544" s="589">
        <f t="shared" si="135"/>
        <v>0</v>
      </c>
      <c r="G544" s="589">
        <f t="shared" si="135"/>
        <v>0</v>
      </c>
      <c r="H544" s="589">
        <f t="shared" si="135"/>
        <v>0</v>
      </c>
      <c r="I544" s="589">
        <f t="shared" si="135"/>
        <v>0</v>
      </c>
      <c r="J544" s="589">
        <f t="shared" si="135"/>
        <v>0</v>
      </c>
      <c r="K544" s="589">
        <f t="shared" si="135"/>
        <v>0</v>
      </c>
      <c r="L544" s="589">
        <f t="shared" si="135"/>
        <v>0</v>
      </c>
      <c r="M544" s="589">
        <f t="shared" ref="M544" si="136">M490+M491</f>
        <v>0</v>
      </c>
    </row>
    <row r="545" spans="2:19">
      <c r="B545" s="297" t="s">
        <v>357</v>
      </c>
      <c r="C545" s="610">
        <f>C495</f>
        <v>175.29210971636297</v>
      </c>
      <c r="D545" s="610">
        <f t="shared" ref="D545:L545" si="137">D495</f>
        <v>434.82240000000002</v>
      </c>
      <c r="E545" s="610">
        <f t="shared" si="137"/>
        <v>0</v>
      </c>
      <c r="F545" s="610">
        <f t="shared" si="137"/>
        <v>0</v>
      </c>
      <c r="G545" s="610">
        <f t="shared" si="137"/>
        <v>0</v>
      </c>
      <c r="H545" s="610">
        <f t="shared" si="137"/>
        <v>0</v>
      </c>
      <c r="I545" s="610">
        <f t="shared" si="137"/>
        <v>0</v>
      </c>
      <c r="J545" s="610">
        <f t="shared" si="137"/>
        <v>0</v>
      </c>
      <c r="K545" s="610">
        <f t="shared" si="137"/>
        <v>0</v>
      </c>
      <c r="L545" s="610">
        <f t="shared" si="137"/>
        <v>0</v>
      </c>
      <c r="M545" s="610">
        <f t="shared" ref="M545" si="138">M495</f>
        <v>0</v>
      </c>
    </row>
    <row r="546" spans="2:19">
      <c r="B546" s="611" t="s">
        <v>403</v>
      </c>
      <c r="C546" s="615">
        <f>C547-SUM(C541:C545)</f>
        <v>747.11996951328524</v>
      </c>
      <c r="D546" s="615">
        <f t="shared" ref="D546" si="139">D547-SUM(D541:D545)</f>
        <v>449.78113159343366</v>
      </c>
      <c r="E546" s="615">
        <f t="shared" ref="E546" si="140">E547-SUM(E541:E545)</f>
        <v>0</v>
      </c>
      <c r="F546" s="615">
        <f t="shared" ref="F546" si="141">F547-SUM(F541:F545)</f>
        <v>0</v>
      </c>
      <c r="G546" s="615">
        <f t="shared" ref="G546" si="142">G547-SUM(G541:G545)</f>
        <v>0</v>
      </c>
      <c r="H546" s="615">
        <f t="shared" ref="H546" si="143">H547-SUM(H541:H545)</f>
        <v>0</v>
      </c>
      <c r="I546" s="615">
        <f t="shared" ref="I546" si="144">I547-SUM(I541:I545)</f>
        <v>0</v>
      </c>
      <c r="J546" s="615">
        <f t="shared" ref="J546" si="145">J547-SUM(J541:J545)</f>
        <v>0</v>
      </c>
      <c r="K546" s="615">
        <f t="shared" ref="K546" si="146">K547-SUM(K541:K545)</f>
        <v>0</v>
      </c>
      <c r="L546" s="615">
        <f t="shared" ref="L546:M546" si="147">L547-SUM(L541:L545)</f>
        <v>0</v>
      </c>
      <c r="M546" s="615">
        <f t="shared" si="147"/>
        <v>0</v>
      </c>
    </row>
    <row r="547" spans="2:19">
      <c r="B547" s="611" t="s">
        <v>404</v>
      </c>
      <c r="C547" s="615">
        <f>'Products x speed'!E286</f>
        <v>1143.1589634696481</v>
      </c>
      <c r="D547" s="615">
        <f>'Products x speed'!F286</f>
        <v>1653.9743919741536</v>
      </c>
      <c r="E547" s="615">
        <f>'Products x speed'!G286</f>
        <v>0</v>
      </c>
      <c r="F547" s="615">
        <f>'Products x speed'!H286</f>
        <v>0</v>
      </c>
      <c r="G547" s="615">
        <f>'Products x speed'!I286</f>
        <v>0</v>
      </c>
      <c r="H547" s="615">
        <f>'Products x speed'!J286</f>
        <v>0</v>
      </c>
      <c r="I547" s="615">
        <f>'Products x speed'!K286</f>
        <v>0</v>
      </c>
      <c r="J547" s="615">
        <f>'Products x speed'!L286</f>
        <v>0</v>
      </c>
      <c r="K547" s="615">
        <f>'Products x speed'!M286</f>
        <v>0</v>
      </c>
      <c r="L547" s="615">
        <f>'Products x speed'!N286</f>
        <v>0</v>
      </c>
      <c r="M547" s="615">
        <f>'Products x speed'!O286</f>
        <v>0</v>
      </c>
    </row>
    <row r="549" spans="2:19" ht="21">
      <c r="B549" s="153" t="s">
        <v>266</v>
      </c>
    </row>
    <row r="550" spans="2:19" ht="9" customHeight="1"/>
    <row r="551" spans="2:19" ht="21">
      <c r="B551" s="302" t="s">
        <v>22</v>
      </c>
      <c r="G551" s="302" t="s">
        <v>21</v>
      </c>
      <c r="N551" s="302" t="s">
        <v>15</v>
      </c>
    </row>
    <row r="552" spans="2:19">
      <c r="B552" s="4"/>
      <c r="C552" s="4"/>
      <c r="D552" s="4"/>
      <c r="E552" s="4"/>
      <c r="F552" s="4"/>
      <c r="G552" s="4"/>
      <c r="H552" s="4"/>
      <c r="I552" s="4"/>
      <c r="J552" s="4"/>
      <c r="K552" s="4"/>
      <c r="L552" s="4"/>
      <c r="M552" s="4"/>
      <c r="N552" s="4"/>
      <c r="O552" s="4"/>
      <c r="P552" s="4"/>
      <c r="R552" s="4"/>
      <c r="S552" s="4"/>
    </row>
    <row r="553" spans="2:19">
      <c r="B553" s="4"/>
      <c r="C553" s="4"/>
      <c r="D553" s="4"/>
      <c r="E553" s="4"/>
      <c r="F553" s="4"/>
      <c r="G553" s="4"/>
      <c r="H553" s="4"/>
      <c r="I553" s="4"/>
      <c r="J553" s="4"/>
      <c r="K553" s="4"/>
      <c r="L553" s="4"/>
      <c r="M553" s="4"/>
      <c r="N553" s="4"/>
      <c r="O553" s="4"/>
      <c r="P553" s="4"/>
      <c r="R553" s="4"/>
      <c r="S553" s="4"/>
    </row>
    <row r="554" spans="2:19">
      <c r="B554" s="4"/>
      <c r="C554" s="4"/>
      <c r="D554" s="4"/>
      <c r="E554" s="4"/>
      <c r="F554" s="4"/>
      <c r="G554" s="4"/>
      <c r="H554" s="4"/>
      <c r="I554" s="4"/>
      <c r="J554" s="4"/>
      <c r="K554" s="4"/>
      <c r="L554" s="4"/>
      <c r="M554" s="4"/>
      <c r="N554" s="4"/>
      <c r="O554" s="4"/>
      <c r="P554" s="4"/>
      <c r="R554" s="4"/>
      <c r="S554" s="4"/>
    </row>
    <row r="555" spans="2:19">
      <c r="B555" s="4"/>
      <c r="C555" s="4"/>
      <c r="D555" s="4"/>
      <c r="E555" s="4"/>
      <c r="F555" s="4"/>
      <c r="G555" s="4"/>
      <c r="H555" s="4"/>
      <c r="I555" s="4"/>
      <c r="J555" s="4"/>
      <c r="K555" s="4"/>
      <c r="L555" s="4"/>
      <c r="M555" s="4"/>
      <c r="N555" s="4"/>
      <c r="O555" s="4"/>
      <c r="P555" s="4"/>
      <c r="R555" s="4"/>
      <c r="S555" s="4"/>
    </row>
    <row r="556" spans="2:19">
      <c r="B556" s="4"/>
      <c r="C556" s="4"/>
      <c r="D556" s="4"/>
      <c r="E556" s="4"/>
      <c r="F556" s="4"/>
      <c r="G556" s="4"/>
      <c r="H556" s="4"/>
      <c r="I556" s="4"/>
      <c r="J556" s="4"/>
      <c r="K556" s="4"/>
      <c r="L556" s="4"/>
      <c r="M556" s="4"/>
      <c r="N556" s="4"/>
      <c r="O556" s="4"/>
      <c r="P556" s="4"/>
      <c r="R556" s="4"/>
      <c r="S556" s="4"/>
    </row>
    <row r="557" spans="2:19">
      <c r="B557" s="4"/>
      <c r="C557" s="4"/>
      <c r="D557" s="4"/>
      <c r="E557" s="4"/>
      <c r="F557" s="4"/>
      <c r="G557" s="4"/>
      <c r="H557" s="4"/>
      <c r="I557" s="4"/>
      <c r="J557" s="4"/>
      <c r="K557" s="4"/>
      <c r="L557" s="4"/>
      <c r="M557" s="4"/>
      <c r="N557" s="4"/>
      <c r="O557" s="4"/>
      <c r="P557" s="4"/>
      <c r="R557" s="4"/>
      <c r="S557" s="4"/>
    </row>
    <row r="558" spans="2:19">
      <c r="B558" s="4"/>
      <c r="C558" s="4"/>
      <c r="D558" s="4"/>
      <c r="E558" s="4"/>
      <c r="F558" s="4"/>
      <c r="G558" s="4"/>
      <c r="H558" s="4"/>
      <c r="I558" s="4"/>
      <c r="J558" s="4"/>
      <c r="K558" s="4"/>
      <c r="L558" s="4"/>
      <c r="M558" s="4"/>
      <c r="N558" s="4"/>
      <c r="O558" s="4"/>
      <c r="P558" s="4"/>
      <c r="R558" s="4"/>
      <c r="S558" s="4"/>
    </row>
    <row r="559" spans="2:19">
      <c r="B559" s="4"/>
      <c r="C559" s="4"/>
      <c r="D559" s="4"/>
      <c r="E559" s="4"/>
      <c r="F559" s="4"/>
      <c r="G559" s="4"/>
      <c r="H559" s="4"/>
      <c r="I559" s="4"/>
      <c r="J559" s="4"/>
      <c r="K559" s="4"/>
      <c r="L559" s="4"/>
      <c r="M559" s="4"/>
      <c r="N559" s="4"/>
      <c r="O559" s="4"/>
      <c r="P559" s="4"/>
      <c r="R559" s="4"/>
      <c r="S559" s="4"/>
    </row>
    <row r="560" spans="2:19">
      <c r="B560" s="4"/>
      <c r="C560" s="4"/>
      <c r="D560" s="4"/>
      <c r="E560" s="4"/>
      <c r="F560" s="4"/>
      <c r="G560" s="4"/>
      <c r="H560" s="4"/>
      <c r="I560" s="4"/>
      <c r="J560" s="4"/>
      <c r="K560" s="4"/>
      <c r="L560" s="4"/>
      <c r="M560" s="4"/>
      <c r="N560" s="4"/>
      <c r="O560" s="4"/>
      <c r="P560" s="4"/>
      <c r="R560" s="4"/>
      <c r="S560" s="4"/>
    </row>
    <row r="561" spans="2:20">
      <c r="B561" s="4"/>
      <c r="C561" s="4"/>
      <c r="D561" s="4"/>
      <c r="E561" s="4"/>
      <c r="F561" s="4"/>
      <c r="G561" s="4"/>
      <c r="H561" s="4"/>
      <c r="I561" s="4"/>
      <c r="J561" s="4"/>
      <c r="K561" s="4"/>
      <c r="L561" s="4"/>
      <c r="M561" s="4"/>
      <c r="N561" s="4"/>
      <c r="O561" s="4"/>
      <c r="P561" s="4"/>
      <c r="R561" s="4"/>
      <c r="S561" s="4"/>
    </row>
    <row r="562" spans="2:20" ht="12" customHeight="1">
      <c r="B562" s="4"/>
      <c r="C562" s="4"/>
      <c r="D562" s="4"/>
      <c r="E562" s="4"/>
      <c r="F562" s="4"/>
      <c r="G562" s="4"/>
      <c r="H562" s="4"/>
      <c r="I562" s="4"/>
      <c r="J562" s="4"/>
      <c r="K562" s="4"/>
      <c r="L562" s="4"/>
      <c r="M562" s="4"/>
      <c r="N562" s="4"/>
      <c r="O562" s="4"/>
      <c r="P562" s="4"/>
      <c r="R562" s="4"/>
      <c r="S562" s="4"/>
    </row>
    <row r="563" spans="2:20">
      <c r="B563" s="4"/>
      <c r="C563" s="4"/>
      <c r="D563" s="4"/>
      <c r="E563" s="4"/>
      <c r="F563" s="4"/>
      <c r="G563" s="4"/>
      <c r="H563" s="4"/>
      <c r="I563" s="4"/>
      <c r="J563" s="4"/>
      <c r="K563" s="4"/>
      <c r="L563" s="4"/>
      <c r="M563" s="4"/>
      <c r="N563" s="4"/>
      <c r="O563" s="4"/>
      <c r="P563" s="4"/>
      <c r="R563" s="4"/>
      <c r="S563" s="4"/>
    </row>
    <row r="564" spans="2:20">
      <c r="B564" s="4"/>
      <c r="C564" s="4"/>
      <c r="D564" s="4"/>
      <c r="E564" s="4"/>
      <c r="F564" s="4"/>
      <c r="G564" s="4"/>
      <c r="H564" s="4"/>
      <c r="I564" s="4"/>
      <c r="J564" s="4"/>
      <c r="K564" s="4"/>
      <c r="L564" s="4"/>
      <c r="M564" s="4"/>
      <c r="N564" s="4"/>
      <c r="O564" s="4"/>
      <c r="P564" s="4"/>
      <c r="R564" s="4"/>
      <c r="S564" s="4"/>
    </row>
    <row r="565" spans="2:20">
      <c r="B565" s="4"/>
      <c r="C565" s="4"/>
      <c r="D565" s="4"/>
      <c r="E565" s="4"/>
      <c r="F565" s="4"/>
      <c r="G565" s="4"/>
      <c r="H565" s="4"/>
      <c r="I565" s="4"/>
      <c r="J565" s="4"/>
      <c r="K565" s="4"/>
      <c r="L565" s="4"/>
      <c r="M565" s="4"/>
      <c r="N565" s="4"/>
      <c r="O565" s="4"/>
      <c r="P565" s="4"/>
      <c r="R565" s="4"/>
      <c r="S565" s="4"/>
    </row>
    <row r="566" spans="2:20">
      <c r="B566" s="4"/>
      <c r="C566" s="4"/>
      <c r="D566" s="4"/>
      <c r="E566" s="4"/>
      <c r="F566" s="4"/>
      <c r="G566" s="4"/>
      <c r="H566" s="4"/>
      <c r="I566" s="4"/>
      <c r="J566" s="4"/>
      <c r="K566" s="4"/>
      <c r="L566" s="4"/>
      <c r="M566" s="4"/>
      <c r="N566" s="4"/>
      <c r="O566" s="4"/>
      <c r="P566" s="4"/>
      <c r="R566" s="4"/>
      <c r="S566" s="4"/>
    </row>
    <row r="567" spans="2:20">
      <c r="B567" s="4"/>
      <c r="C567" s="4"/>
      <c r="D567" s="4"/>
      <c r="E567" s="4"/>
      <c r="F567" s="4"/>
      <c r="G567" s="4"/>
      <c r="H567" s="4"/>
      <c r="I567" s="4"/>
      <c r="J567" s="4"/>
      <c r="K567" s="4"/>
      <c r="L567" s="4"/>
      <c r="M567" s="4"/>
      <c r="N567" s="4"/>
      <c r="O567" s="4"/>
      <c r="P567" s="4"/>
      <c r="R567" s="4"/>
      <c r="S567" s="4"/>
    </row>
    <row r="568" spans="2:20">
      <c r="B568" s="4"/>
      <c r="C568" s="4"/>
      <c r="D568" s="4"/>
      <c r="E568" s="4"/>
      <c r="F568" s="4"/>
      <c r="G568" s="4"/>
      <c r="H568" s="4"/>
      <c r="I568" s="4"/>
      <c r="J568" s="4"/>
      <c r="K568" s="4"/>
      <c r="L568" s="4"/>
      <c r="M568" s="4"/>
      <c r="N568" s="4"/>
      <c r="O568" s="4"/>
      <c r="P568" s="4"/>
      <c r="R568" s="4"/>
      <c r="S568" s="4"/>
    </row>
    <row r="569" spans="2:20">
      <c r="B569" s="4"/>
      <c r="C569" s="4"/>
      <c r="D569" s="4"/>
      <c r="E569" s="4"/>
      <c r="F569" s="4"/>
      <c r="G569" s="4"/>
      <c r="H569" s="4"/>
      <c r="I569" s="4"/>
      <c r="J569" s="4"/>
      <c r="K569" s="4"/>
      <c r="L569" s="4"/>
      <c r="M569" s="4"/>
      <c r="N569" s="4"/>
      <c r="O569" s="4"/>
      <c r="P569" s="4"/>
      <c r="R569" s="4"/>
      <c r="S569" s="4"/>
    </row>
    <row r="570" spans="2:20">
      <c r="B570" s="4"/>
      <c r="C570" s="4"/>
      <c r="D570" s="4"/>
      <c r="E570" s="4"/>
      <c r="F570" s="4"/>
      <c r="G570" s="4"/>
      <c r="H570" s="4"/>
      <c r="I570" s="4"/>
      <c r="J570" s="4"/>
      <c r="K570" s="4"/>
      <c r="L570" s="4"/>
      <c r="M570" s="4"/>
      <c r="N570" s="4"/>
      <c r="O570" s="4"/>
      <c r="P570" s="4"/>
      <c r="R570" s="4"/>
      <c r="S570" s="4"/>
    </row>
    <row r="571" spans="2:20">
      <c r="B571" s="4"/>
      <c r="C571" s="4"/>
      <c r="D571" s="4"/>
      <c r="E571" s="4"/>
      <c r="F571" s="4"/>
      <c r="G571" s="4"/>
      <c r="H571" s="4"/>
      <c r="I571" s="4"/>
      <c r="J571" s="4"/>
      <c r="K571" s="4"/>
      <c r="L571" s="4"/>
      <c r="M571" s="4"/>
      <c r="N571" s="4"/>
      <c r="O571" s="4"/>
      <c r="P571" s="4"/>
      <c r="R571" s="4"/>
      <c r="S571" s="4"/>
    </row>
    <row r="572" spans="2:20" ht="15.6">
      <c r="B572" s="115" t="s">
        <v>208</v>
      </c>
      <c r="C572" s="383">
        <v>2016</v>
      </c>
      <c r="D572" s="389">
        <v>2017</v>
      </c>
      <c r="E572" s="389">
        <v>2018</v>
      </c>
      <c r="F572" s="389">
        <v>2019</v>
      </c>
      <c r="G572" s="389">
        <v>2020</v>
      </c>
      <c r="H572" s="389">
        <v>2021</v>
      </c>
      <c r="I572" s="389">
        <v>2022</v>
      </c>
      <c r="J572" s="389">
        <v>2023</v>
      </c>
      <c r="K572" s="389">
        <v>2024</v>
      </c>
      <c r="L572" s="389">
        <v>2025</v>
      </c>
      <c r="M572" s="389">
        <v>2026</v>
      </c>
    </row>
    <row r="573" spans="2:20">
      <c r="B573" s="358" t="str">
        <f>'Products x speed'!B252</f>
        <v>200G SR4</v>
      </c>
      <c r="C573" s="164"/>
      <c r="D573" s="164"/>
      <c r="E573" s="164">
        <f>'Products x speed'!G60</f>
        <v>0</v>
      </c>
      <c r="F573" s="164">
        <f>'Products x speed'!H60</f>
        <v>0</v>
      </c>
      <c r="G573" s="164">
        <f>'Products x speed'!I60</f>
        <v>0</v>
      </c>
      <c r="H573" s="164">
        <f>'Products x speed'!J60</f>
        <v>0</v>
      </c>
      <c r="I573" s="164">
        <f>'Products x speed'!K60</f>
        <v>0</v>
      </c>
      <c r="J573" s="164">
        <f>'Products x speed'!L60</f>
        <v>0</v>
      </c>
      <c r="K573" s="164">
        <f>'Products x speed'!M60</f>
        <v>0</v>
      </c>
      <c r="L573" s="164">
        <f>'Products x speed'!N60</f>
        <v>0</v>
      </c>
      <c r="M573" s="164">
        <f>'Products x speed'!O60</f>
        <v>0</v>
      </c>
    </row>
    <row r="574" spans="2:20" ht="15.6">
      <c r="B574" s="289" t="str">
        <f>'Products x speed'!B254</f>
        <v>200G FR4</v>
      </c>
      <c r="C574" s="166"/>
      <c r="D574" s="166"/>
      <c r="E574" s="166">
        <f>'Products x speed'!G62</f>
        <v>0</v>
      </c>
      <c r="F574" s="166">
        <f>'Products x speed'!H62</f>
        <v>0</v>
      </c>
      <c r="G574" s="166">
        <f>'Products x speed'!I62</f>
        <v>0</v>
      </c>
      <c r="H574" s="166">
        <f>'Products x speed'!J62</f>
        <v>0</v>
      </c>
      <c r="I574" s="166">
        <f>'Products x speed'!K62</f>
        <v>0</v>
      </c>
      <c r="J574" s="166">
        <f>'Products x speed'!L62</f>
        <v>0</v>
      </c>
      <c r="K574" s="166">
        <f>'Products x speed'!M62</f>
        <v>0</v>
      </c>
      <c r="L574" s="166">
        <f>'Products x speed'!N62</f>
        <v>0</v>
      </c>
      <c r="M574" s="166">
        <f>'Products x speed'!O62</f>
        <v>0</v>
      </c>
      <c r="T574" s="545"/>
    </row>
    <row r="575" spans="2:20" ht="15.6">
      <c r="B575" s="297" t="s">
        <v>13</v>
      </c>
      <c r="C575" s="170"/>
      <c r="D575" s="170"/>
      <c r="E575" s="170">
        <f t="shared" ref="E575:K575" si="148">SUM(E573:E574)</f>
        <v>0</v>
      </c>
      <c r="F575" s="170">
        <f t="shared" si="148"/>
        <v>0</v>
      </c>
      <c r="G575" s="170">
        <f t="shared" si="148"/>
        <v>0</v>
      </c>
      <c r="H575" s="170">
        <f t="shared" si="148"/>
        <v>0</v>
      </c>
      <c r="I575" s="170">
        <f t="shared" si="148"/>
        <v>0</v>
      </c>
      <c r="J575" s="170">
        <f t="shared" si="148"/>
        <v>0</v>
      </c>
      <c r="K575" s="170">
        <f t="shared" si="148"/>
        <v>0</v>
      </c>
      <c r="L575" s="170">
        <f>SUM(L573:L574)</f>
        <v>0</v>
      </c>
      <c r="M575" s="170">
        <f>SUM(M573:M574)</f>
        <v>0</v>
      </c>
      <c r="T575" s="545"/>
    </row>
    <row r="576" spans="2:20" ht="15.6">
      <c r="C576" s="274"/>
      <c r="D576" s="274"/>
      <c r="E576" s="274"/>
      <c r="F576" s="327" t="s">
        <v>86</v>
      </c>
      <c r="G576" s="274" t="e">
        <f t="shared" ref="G576:M576" si="149">G575/F575-1</f>
        <v>#DIV/0!</v>
      </c>
      <c r="H576" s="274" t="e">
        <f t="shared" si="149"/>
        <v>#DIV/0!</v>
      </c>
      <c r="I576" s="274" t="e">
        <f t="shared" si="149"/>
        <v>#DIV/0!</v>
      </c>
      <c r="J576" s="274" t="e">
        <f t="shared" si="149"/>
        <v>#DIV/0!</v>
      </c>
      <c r="K576" s="274" t="e">
        <f t="shared" si="149"/>
        <v>#DIV/0!</v>
      </c>
      <c r="L576" s="274" t="e">
        <f t="shared" si="149"/>
        <v>#DIV/0!</v>
      </c>
      <c r="M576" s="274" t="e">
        <f t="shared" si="149"/>
        <v>#DIV/0!</v>
      </c>
      <c r="T576" s="546"/>
    </row>
    <row r="578" spans="2:20" ht="15.6">
      <c r="B578" s="115" t="s">
        <v>209</v>
      </c>
      <c r="C578" s="383">
        <v>2016</v>
      </c>
      <c r="D578" s="389">
        <v>2017</v>
      </c>
      <c r="E578" s="389">
        <v>2018</v>
      </c>
      <c r="F578" s="389">
        <v>2019</v>
      </c>
      <c r="G578" s="389">
        <v>2020</v>
      </c>
      <c r="H578" s="389">
        <v>2021</v>
      </c>
      <c r="I578" s="389">
        <v>2022</v>
      </c>
      <c r="J578" s="389">
        <v>2023</v>
      </c>
      <c r="K578" s="389">
        <v>2024</v>
      </c>
      <c r="L578" s="389">
        <v>2025</v>
      </c>
      <c r="M578" s="389">
        <v>2026</v>
      </c>
    </row>
    <row r="579" spans="2:20">
      <c r="B579" s="358" t="str">
        <f>B573</f>
        <v>200G SR4</v>
      </c>
      <c r="C579" s="164"/>
      <c r="D579" s="173"/>
      <c r="E579" s="173" t="str">
        <f t="shared" ref="E579:L581" si="150">IF(E573=0,"",(E585*10^6)/E573)</f>
        <v/>
      </c>
      <c r="F579" s="173" t="str">
        <f t="shared" si="150"/>
        <v/>
      </c>
      <c r="G579" s="173" t="str">
        <f t="shared" si="150"/>
        <v/>
      </c>
      <c r="H579" s="173" t="str">
        <f t="shared" si="150"/>
        <v/>
      </c>
      <c r="I579" s="173" t="str">
        <f t="shared" si="150"/>
        <v/>
      </c>
      <c r="J579" s="173" t="str">
        <f t="shared" si="150"/>
        <v/>
      </c>
      <c r="K579" s="173" t="str">
        <f t="shared" si="150"/>
        <v/>
      </c>
      <c r="L579" s="173" t="str">
        <f t="shared" si="150"/>
        <v/>
      </c>
      <c r="M579" s="173" t="str">
        <f t="shared" ref="M579" si="151">IF(M573=0,"",(M585*10^6)/M573)</f>
        <v/>
      </c>
    </row>
    <row r="580" spans="2:20">
      <c r="B580" s="289" t="str">
        <f>B574</f>
        <v>200G FR4</v>
      </c>
      <c r="C580" s="166"/>
      <c r="D580" s="175"/>
      <c r="E580" s="175" t="str">
        <f t="shared" si="150"/>
        <v/>
      </c>
      <c r="F580" s="175" t="str">
        <f t="shared" si="150"/>
        <v/>
      </c>
      <c r="G580" s="175" t="str">
        <f t="shared" si="150"/>
        <v/>
      </c>
      <c r="H580" s="175" t="str">
        <f t="shared" si="150"/>
        <v/>
      </c>
      <c r="I580" s="175" t="str">
        <f t="shared" si="150"/>
        <v/>
      </c>
      <c r="J580" s="175" t="str">
        <f t="shared" si="150"/>
        <v/>
      </c>
      <c r="K580" s="175" t="str">
        <f t="shared" si="150"/>
        <v/>
      </c>
      <c r="L580" s="175" t="str">
        <f t="shared" si="150"/>
        <v/>
      </c>
      <c r="M580" s="175" t="str">
        <f t="shared" ref="M580" si="152">IF(M574=0,"",(M586*10^6)/M574)</f>
        <v/>
      </c>
    </row>
    <row r="581" spans="2:20">
      <c r="B581" s="374" t="str">
        <f>B575</f>
        <v>Total</v>
      </c>
      <c r="C581" s="170"/>
      <c r="D581" s="110"/>
      <c r="E581" s="110" t="str">
        <f t="shared" si="150"/>
        <v/>
      </c>
      <c r="F581" s="110" t="str">
        <f t="shared" si="150"/>
        <v/>
      </c>
      <c r="G581" s="110" t="str">
        <f t="shared" si="150"/>
        <v/>
      </c>
      <c r="H581" s="110" t="str">
        <f t="shared" si="150"/>
        <v/>
      </c>
      <c r="I581" s="110" t="str">
        <f t="shared" si="150"/>
        <v/>
      </c>
      <c r="J581" s="110" t="str">
        <f t="shared" si="150"/>
        <v/>
      </c>
      <c r="K581" s="110" t="str">
        <f t="shared" si="150"/>
        <v/>
      </c>
      <c r="L581" s="110" t="str">
        <f t="shared" si="150"/>
        <v/>
      </c>
      <c r="M581" s="110" t="str">
        <f t="shared" ref="M581" si="153">IF(M575=0,"",(M587*10^6)/M575)</f>
        <v/>
      </c>
    </row>
    <row r="582" spans="2:20">
      <c r="B582" s="327"/>
      <c r="C582" s="274"/>
      <c r="D582" s="274"/>
      <c r="E582" s="274"/>
      <c r="F582" s="274"/>
      <c r="G582" s="274"/>
      <c r="H582" s="274"/>
    </row>
    <row r="584" spans="2:20" ht="15.6">
      <c r="B584" s="115" t="s">
        <v>210</v>
      </c>
      <c r="C584" s="383">
        <v>2016</v>
      </c>
      <c r="D584" s="389">
        <v>2017</v>
      </c>
      <c r="E584" s="389">
        <v>2018</v>
      </c>
      <c r="F584" s="389">
        <v>2019</v>
      </c>
      <c r="G584" s="389">
        <v>2020</v>
      </c>
      <c r="H584" s="389">
        <v>2021</v>
      </c>
      <c r="I584" s="389">
        <v>2022</v>
      </c>
      <c r="J584" s="389">
        <v>2023</v>
      </c>
      <c r="K584" s="389">
        <v>2024</v>
      </c>
      <c r="L584" s="389">
        <v>2025</v>
      </c>
      <c r="M584" s="389">
        <v>2026</v>
      </c>
      <c r="T584" s="545"/>
    </row>
    <row r="585" spans="2:20" ht="15.6">
      <c r="B585" s="358" t="str">
        <f>B573</f>
        <v>200G SR4</v>
      </c>
      <c r="C585" s="164"/>
      <c r="D585" s="173"/>
      <c r="E585" s="304">
        <f>'Products x speed'!G252</f>
        <v>0</v>
      </c>
      <c r="F585" s="173">
        <f>'Products x speed'!H252</f>
        <v>0</v>
      </c>
      <c r="G585" s="173">
        <f>'Products x speed'!I252</f>
        <v>0</v>
      </c>
      <c r="H585" s="173">
        <f>'Products x speed'!J252</f>
        <v>0</v>
      </c>
      <c r="I585" s="173">
        <f>'Products x speed'!K252</f>
        <v>0</v>
      </c>
      <c r="J585" s="173">
        <f>'Products x speed'!L252</f>
        <v>0</v>
      </c>
      <c r="K585" s="173">
        <f>'Products x speed'!M252</f>
        <v>0</v>
      </c>
      <c r="L585" s="173">
        <f>'Products x speed'!N252</f>
        <v>0</v>
      </c>
      <c r="M585" s="173">
        <f>'Products x speed'!O252</f>
        <v>0</v>
      </c>
      <c r="T585" s="545"/>
    </row>
    <row r="586" spans="2:20" ht="15.6">
      <c r="B586" s="289" t="str">
        <f>B574</f>
        <v>200G FR4</v>
      </c>
      <c r="C586" s="166"/>
      <c r="D586" s="175"/>
      <c r="E586" s="175">
        <f>'Products x speed'!G254</f>
        <v>0</v>
      </c>
      <c r="F586" s="175">
        <f>'Products x speed'!H254</f>
        <v>0</v>
      </c>
      <c r="G586" s="175">
        <f>'Products x speed'!I254</f>
        <v>0</v>
      </c>
      <c r="H586" s="175">
        <f>'Products x speed'!J254</f>
        <v>0</v>
      </c>
      <c r="I586" s="175">
        <f>'Products x speed'!K254</f>
        <v>0</v>
      </c>
      <c r="J586" s="175">
        <f>'Products x speed'!L254</f>
        <v>0</v>
      </c>
      <c r="K586" s="175">
        <f>'Products x speed'!M254</f>
        <v>0</v>
      </c>
      <c r="L586" s="175">
        <f>'Products x speed'!N254</f>
        <v>0</v>
      </c>
      <c r="M586" s="175">
        <f>'Products x speed'!O254</f>
        <v>0</v>
      </c>
      <c r="T586" s="546"/>
    </row>
    <row r="587" spans="2:20">
      <c r="B587" s="297" t="str">
        <f>B581</f>
        <v>Total</v>
      </c>
      <c r="C587" s="170"/>
      <c r="D587" s="110"/>
      <c r="E587" s="110">
        <f t="shared" ref="E587" si="154">SUM(E585:E586)</f>
        <v>0</v>
      </c>
      <c r="F587" s="110">
        <f t="shared" ref="F587" si="155">SUM(F585:F586)</f>
        <v>0</v>
      </c>
      <c r="G587" s="110">
        <f t="shared" ref="G587" si="156">SUM(G585:G586)</f>
        <v>0</v>
      </c>
      <c r="H587" s="110">
        <f t="shared" ref="H587" si="157">SUM(H585:H586)</f>
        <v>0</v>
      </c>
      <c r="I587" s="110">
        <f t="shared" ref="I587" si="158">SUM(I585:I586)</f>
        <v>0</v>
      </c>
      <c r="J587" s="110">
        <f t="shared" ref="J587" si="159">SUM(J585:J586)</f>
        <v>0</v>
      </c>
      <c r="K587" s="110">
        <f t="shared" ref="K587" si="160">SUM(K585:K586)</f>
        <v>0</v>
      </c>
      <c r="L587" s="110">
        <f>SUM(L585:L586)</f>
        <v>0</v>
      </c>
      <c r="M587" s="110">
        <f>SUM(M585:M586)</f>
        <v>0</v>
      </c>
    </row>
    <row r="588" spans="2:20">
      <c r="C588" s="274"/>
      <c r="D588" s="274"/>
      <c r="E588" s="274"/>
      <c r="F588" s="327" t="s">
        <v>86</v>
      </c>
      <c r="G588" s="274" t="e">
        <f t="shared" ref="G588:M588" si="161">G587/F587-1</f>
        <v>#DIV/0!</v>
      </c>
      <c r="H588" s="274" t="e">
        <f t="shared" si="161"/>
        <v>#DIV/0!</v>
      </c>
      <c r="I588" s="274" t="e">
        <f t="shared" si="161"/>
        <v>#DIV/0!</v>
      </c>
      <c r="J588" s="274" t="e">
        <f t="shared" si="161"/>
        <v>#DIV/0!</v>
      </c>
      <c r="K588" s="274" t="e">
        <f t="shared" si="161"/>
        <v>#DIV/0!</v>
      </c>
      <c r="L588" s="274" t="e">
        <f t="shared" si="161"/>
        <v>#DIV/0!</v>
      </c>
      <c r="M588" s="274" t="e">
        <f t="shared" si="161"/>
        <v>#DIV/0!</v>
      </c>
    </row>
    <row r="591" spans="2:20" ht="21">
      <c r="B591" s="153" t="s">
        <v>267</v>
      </c>
    </row>
    <row r="592" spans="2:20" ht="21">
      <c r="B592" s="302" t="s">
        <v>22</v>
      </c>
      <c r="G592" s="302" t="s">
        <v>21</v>
      </c>
      <c r="N592" s="302" t="s">
        <v>15</v>
      </c>
    </row>
    <row r="596" ht="16.5" customHeight="1"/>
    <row r="613" spans="2:20" ht="15.6">
      <c r="B613" s="115" t="s">
        <v>211</v>
      </c>
      <c r="C613" s="388">
        <v>2016</v>
      </c>
      <c r="D613" s="389">
        <v>2017</v>
      </c>
      <c r="E613" s="389">
        <v>2018</v>
      </c>
      <c r="F613" s="389">
        <v>2019</v>
      </c>
      <c r="G613" s="389">
        <v>2020</v>
      </c>
      <c r="H613" s="389">
        <v>2021</v>
      </c>
      <c r="I613" s="389">
        <v>2022</v>
      </c>
      <c r="J613" s="389">
        <v>2023</v>
      </c>
      <c r="K613" s="389">
        <v>2024</v>
      </c>
      <c r="L613" s="389">
        <v>2025</v>
      </c>
      <c r="M613" s="389">
        <v>2026</v>
      </c>
    </row>
    <row r="614" spans="2:20">
      <c r="B614" s="358" t="str">
        <f>'Products x speed'!B257</f>
        <v>2x200 (400G-SR8)</v>
      </c>
      <c r="C614" s="163"/>
      <c r="D614" s="164"/>
      <c r="E614" s="164">
        <f>'Products x speed'!G65</f>
        <v>0</v>
      </c>
      <c r="F614" s="164">
        <f>'Products x speed'!H65</f>
        <v>0</v>
      </c>
      <c r="G614" s="164">
        <f>'Products x speed'!I65</f>
        <v>0</v>
      </c>
      <c r="H614" s="164">
        <f>'Products x speed'!J65</f>
        <v>0</v>
      </c>
      <c r="I614" s="164">
        <f>'Products x speed'!K65</f>
        <v>0</v>
      </c>
      <c r="J614" s="164">
        <f>'Products x speed'!L65</f>
        <v>0</v>
      </c>
      <c r="K614" s="164">
        <f>'Products x speed'!M65</f>
        <v>0</v>
      </c>
      <c r="L614" s="164">
        <f>'Products x speed'!N65</f>
        <v>0</v>
      </c>
      <c r="M614" s="164">
        <f>'Products x speed'!O65</f>
        <v>0</v>
      </c>
    </row>
    <row r="615" spans="2:20" ht="15.6">
      <c r="B615" s="289" t="str">
        <f>'Products x speed'!B258</f>
        <v>400G SR4</v>
      </c>
      <c r="C615" s="165"/>
      <c r="D615" s="166"/>
      <c r="E615" s="166">
        <f>'Products x speed'!G66</f>
        <v>0</v>
      </c>
      <c r="F615" s="166">
        <f>'Products x speed'!H66</f>
        <v>0</v>
      </c>
      <c r="G615" s="166">
        <f>'Products x speed'!I66</f>
        <v>0</v>
      </c>
      <c r="H615" s="166">
        <f>'Products x speed'!J66</f>
        <v>0</v>
      </c>
      <c r="I615" s="166">
        <f>'Products x speed'!K66</f>
        <v>0</v>
      </c>
      <c r="J615" s="166">
        <f>'Products x speed'!L66</f>
        <v>0</v>
      </c>
      <c r="K615" s="166">
        <f>'Products x speed'!M66</f>
        <v>0</v>
      </c>
      <c r="L615" s="166">
        <f>'Products x speed'!N66</f>
        <v>0</v>
      </c>
      <c r="M615" s="166">
        <f>'Products x speed'!O66</f>
        <v>0</v>
      </c>
      <c r="T615" s="545"/>
    </row>
    <row r="616" spans="2:20" ht="15.6">
      <c r="B616" s="289" t="str">
        <f>'Products x speed'!B259</f>
        <v>400G DR4</v>
      </c>
      <c r="C616" s="165"/>
      <c r="D616" s="166"/>
      <c r="E616" s="166">
        <f>'Products x speed'!G67</f>
        <v>0</v>
      </c>
      <c r="F616" s="166">
        <f>'Products x speed'!H67</f>
        <v>0</v>
      </c>
      <c r="G616" s="166">
        <f>'Products x speed'!I67</f>
        <v>0</v>
      </c>
      <c r="H616" s="166">
        <f>'Products x speed'!J67</f>
        <v>0</v>
      </c>
      <c r="I616" s="166">
        <f>'Products x speed'!K67</f>
        <v>0</v>
      </c>
      <c r="J616" s="166">
        <f>'Products x speed'!L67</f>
        <v>0</v>
      </c>
      <c r="K616" s="166">
        <f>'Products x speed'!M67</f>
        <v>0</v>
      </c>
      <c r="L616" s="166">
        <f>'Products x speed'!N67</f>
        <v>0</v>
      </c>
      <c r="M616" s="166">
        <f>'Products x speed'!O67</f>
        <v>0</v>
      </c>
      <c r="T616" s="545"/>
    </row>
    <row r="617" spans="2:20">
      <c r="B617" s="289" t="str">
        <f>'Products x speed'!B260</f>
        <v>2x(200G FR4)</v>
      </c>
      <c r="C617" s="165"/>
      <c r="D617" s="166"/>
      <c r="E617" s="166">
        <f>'Products x speed'!G68</f>
        <v>0</v>
      </c>
      <c r="F617" s="166">
        <f>'Products x speed'!H68</f>
        <v>0</v>
      </c>
      <c r="G617" s="166">
        <f>'Products x speed'!I68</f>
        <v>0</v>
      </c>
      <c r="H617" s="166">
        <f>'Products x speed'!J68</f>
        <v>0</v>
      </c>
      <c r="I617" s="166">
        <f>'Products x speed'!K68</f>
        <v>0</v>
      </c>
      <c r="J617" s="166">
        <f>'Products x speed'!L68</f>
        <v>0</v>
      </c>
      <c r="K617" s="166">
        <f>'Products x speed'!M68</f>
        <v>0</v>
      </c>
      <c r="L617" s="166">
        <f>'Products x speed'!N68</f>
        <v>0</v>
      </c>
      <c r="M617" s="166">
        <f>'Products x speed'!O68</f>
        <v>0</v>
      </c>
    </row>
    <row r="618" spans="2:20" ht="15.6">
      <c r="B618" s="289" t="str">
        <f>'Products x speed'!B261</f>
        <v>400G FR4</v>
      </c>
      <c r="C618" s="165"/>
      <c r="D618" s="166">
        <f>'Products x speed'!F69</f>
        <v>7</v>
      </c>
      <c r="E618" s="166">
        <f>'Products x speed'!G69</f>
        <v>0</v>
      </c>
      <c r="F618" s="166">
        <f>'Products x speed'!H69</f>
        <v>0</v>
      </c>
      <c r="G618" s="166">
        <f>'Products x speed'!I69</f>
        <v>0</v>
      </c>
      <c r="H618" s="166">
        <f>'Products x speed'!J69</f>
        <v>0</v>
      </c>
      <c r="I618" s="166">
        <f>'Products x speed'!K69</f>
        <v>0</v>
      </c>
      <c r="J618" s="166">
        <f>'Products x speed'!L69</f>
        <v>0</v>
      </c>
      <c r="K618" s="166">
        <f>'Products x speed'!M69</f>
        <v>0</v>
      </c>
      <c r="L618" s="166">
        <f>'Products x speed'!N69</f>
        <v>0</v>
      </c>
      <c r="M618" s="166">
        <f>'Products x speed'!O69</f>
        <v>0</v>
      </c>
      <c r="T618" s="546"/>
    </row>
    <row r="619" spans="2:20">
      <c r="B619" s="289" t="str">
        <f>'Products x speed'!B262</f>
        <v>400G LR8, LR4</v>
      </c>
      <c r="C619" s="165"/>
      <c r="D619" s="166">
        <f>'Products x speed'!F70</f>
        <v>82</v>
      </c>
      <c r="E619" s="166">
        <f>'Products x speed'!G70</f>
        <v>0</v>
      </c>
      <c r="F619" s="166">
        <f>'Products x speed'!H70</f>
        <v>0</v>
      </c>
      <c r="G619" s="166">
        <f>'Products x speed'!I70</f>
        <v>0</v>
      </c>
      <c r="H619" s="166">
        <f>'Products x speed'!J70</f>
        <v>0</v>
      </c>
      <c r="I619" s="166">
        <f>'Products x speed'!K70</f>
        <v>0</v>
      </c>
      <c r="J619" s="166">
        <f>'Products x speed'!L70</f>
        <v>0</v>
      </c>
      <c r="K619" s="166">
        <f>'Products x speed'!M70</f>
        <v>0</v>
      </c>
      <c r="L619" s="166">
        <f>'Products x speed'!N70</f>
        <v>0</v>
      </c>
      <c r="M619" s="166">
        <f>'Products x speed'!O70</f>
        <v>0</v>
      </c>
    </row>
    <row r="620" spans="2:20">
      <c r="B620" s="289" t="str">
        <f>'Products x speed'!B263</f>
        <v>400G ER4</v>
      </c>
      <c r="C620" s="167"/>
      <c r="D620" s="168">
        <f>'Products x speed'!F71</f>
        <v>0</v>
      </c>
      <c r="E620" s="168">
        <f>'Products x speed'!G71</f>
        <v>0</v>
      </c>
      <c r="F620" s="168">
        <f>'Products x speed'!H71</f>
        <v>0</v>
      </c>
      <c r="G620" s="168">
        <f>'Products x speed'!I71</f>
        <v>0</v>
      </c>
      <c r="H620" s="168">
        <f>'Products x speed'!J71</f>
        <v>0</v>
      </c>
      <c r="I620" s="168">
        <f>'Products x speed'!K71</f>
        <v>0</v>
      </c>
      <c r="J620" s="168">
        <f>'Products x speed'!L71</f>
        <v>0</v>
      </c>
      <c r="K620" s="168">
        <f>'Products x speed'!M71</f>
        <v>0</v>
      </c>
      <c r="L620" s="168">
        <f>'Products x speed'!N71</f>
        <v>0</v>
      </c>
      <c r="M620" s="168">
        <f>'Products x speed'!O71</f>
        <v>0</v>
      </c>
    </row>
    <row r="621" spans="2:20">
      <c r="B621" s="275" t="s">
        <v>13</v>
      </c>
      <c r="C621" s="169"/>
      <c r="D621" s="170">
        <f>SUM(D614:D620)</f>
        <v>89</v>
      </c>
      <c r="E621" s="170">
        <f t="shared" ref="E621:M621" si="162">SUM(E614:E620)</f>
        <v>0</v>
      </c>
      <c r="F621" s="170">
        <f t="shared" si="162"/>
        <v>0</v>
      </c>
      <c r="G621" s="170">
        <f t="shared" si="162"/>
        <v>0</v>
      </c>
      <c r="H621" s="170">
        <f t="shared" si="162"/>
        <v>0</v>
      </c>
      <c r="I621" s="170">
        <f t="shared" si="162"/>
        <v>0</v>
      </c>
      <c r="J621" s="170">
        <f t="shared" si="162"/>
        <v>0</v>
      </c>
      <c r="K621" s="170">
        <f t="shared" si="162"/>
        <v>0</v>
      </c>
      <c r="L621" s="170">
        <f t="shared" si="162"/>
        <v>0</v>
      </c>
      <c r="M621" s="170">
        <f t="shared" si="162"/>
        <v>0</v>
      </c>
    </row>
    <row r="622" spans="2:20">
      <c r="C622" s="274"/>
      <c r="D622" s="274"/>
      <c r="E622" s="274"/>
      <c r="F622" s="327" t="s">
        <v>86</v>
      </c>
      <c r="G622" s="274" t="e">
        <f t="shared" ref="G622:M622" si="163">G621/F621-1</f>
        <v>#DIV/0!</v>
      </c>
      <c r="H622" s="274" t="e">
        <f t="shared" si="163"/>
        <v>#DIV/0!</v>
      </c>
      <c r="I622" s="274" t="e">
        <f t="shared" si="163"/>
        <v>#DIV/0!</v>
      </c>
      <c r="J622" s="274" t="e">
        <f t="shared" si="163"/>
        <v>#DIV/0!</v>
      </c>
      <c r="K622" s="274" t="e">
        <f t="shared" si="163"/>
        <v>#DIV/0!</v>
      </c>
      <c r="L622" s="274" t="e">
        <f t="shared" si="163"/>
        <v>#DIV/0!</v>
      </c>
      <c r="M622" s="274" t="e">
        <f t="shared" si="163"/>
        <v>#DIV/0!</v>
      </c>
    </row>
    <row r="624" spans="2:20" ht="15.6">
      <c r="B624" s="115" t="s">
        <v>212</v>
      </c>
      <c r="C624" s="383">
        <v>2016</v>
      </c>
      <c r="D624" s="389">
        <v>2017</v>
      </c>
      <c r="E624" s="389">
        <v>2018</v>
      </c>
      <c r="F624" s="389">
        <v>2019</v>
      </c>
      <c r="G624" s="389">
        <v>2020</v>
      </c>
      <c r="H624" s="389">
        <v>2021</v>
      </c>
      <c r="I624" s="389">
        <v>2022</v>
      </c>
      <c r="J624" s="389">
        <v>2023</v>
      </c>
      <c r="K624" s="389">
        <v>2024</v>
      </c>
      <c r="L624" s="389">
        <v>2025</v>
      </c>
      <c r="M624" s="389">
        <v>2026</v>
      </c>
    </row>
    <row r="625" spans="2:20">
      <c r="B625" s="358" t="str">
        <f t="shared" ref="B625:B631" si="164">B614</f>
        <v>2x200 (400G-SR8)</v>
      </c>
      <c r="C625" s="163"/>
      <c r="D625" s="173"/>
      <c r="E625" s="173" t="str">
        <f t="shared" ref="E625:F625" si="165">IF(E614=0,"",(E636*10^6)/E614)</f>
        <v/>
      </c>
      <c r="F625" s="173" t="str">
        <f t="shared" si="165"/>
        <v/>
      </c>
      <c r="G625" s="173" t="str">
        <f t="shared" ref="G625:L625" si="166">IF(G614=0,"",(G636*10^6)/G614)</f>
        <v/>
      </c>
      <c r="H625" s="173" t="str">
        <f t="shared" si="166"/>
        <v/>
      </c>
      <c r="I625" s="173" t="str">
        <f t="shared" si="166"/>
        <v/>
      </c>
      <c r="J625" s="173" t="str">
        <f t="shared" si="166"/>
        <v/>
      </c>
      <c r="K625" s="173" t="str">
        <f t="shared" si="166"/>
        <v/>
      </c>
      <c r="L625" s="173" t="str">
        <f t="shared" si="166"/>
        <v/>
      </c>
      <c r="M625" s="173" t="str">
        <f t="shared" ref="M625" si="167">IF(M614=0,"",(M636*10^6)/M614)</f>
        <v/>
      </c>
    </row>
    <row r="626" spans="2:20">
      <c r="B626" s="289" t="str">
        <f t="shared" si="164"/>
        <v>400G SR4</v>
      </c>
      <c r="C626" s="165"/>
      <c r="D626" s="175"/>
      <c r="E626" s="175"/>
      <c r="F626" s="175"/>
      <c r="G626" s="175"/>
      <c r="H626" s="175" t="str">
        <f t="shared" ref="H626:L631" si="168">IF(H615=0,"",(H637*10^6)/H615)</f>
        <v/>
      </c>
      <c r="I626" s="175" t="str">
        <f t="shared" si="168"/>
        <v/>
      </c>
      <c r="J626" s="175" t="str">
        <f t="shared" si="168"/>
        <v/>
      </c>
      <c r="K626" s="175" t="str">
        <f t="shared" si="168"/>
        <v/>
      </c>
      <c r="L626" s="175" t="str">
        <f t="shared" si="168"/>
        <v/>
      </c>
      <c r="M626" s="175" t="str">
        <f t="shared" ref="M626" si="169">IF(M615=0,"",(M637*10^6)/M615)</f>
        <v/>
      </c>
    </row>
    <row r="627" spans="2:20">
      <c r="B627" s="289" t="str">
        <f t="shared" si="164"/>
        <v>400G DR4</v>
      </c>
      <c r="C627" s="165"/>
      <c r="D627" s="175"/>
      <c r="E627" s="175" t="str">
        <f t="shared" ref="E627:F627" si="170">IF(E616=0,"",(E638*10^6)/E616)</f>
        <v/>
      </c>
      <c r="F627" s="175" t="str">
        <f t="shared" si="170"/>
        <v/>
      </c>
      <c r="G627" s="175" t="str">
        <f>IF(G616=0,"",(G638*10^6)/G616)</f>
        <v/>
      </c>
      <c r="H627" s="175" t="str">
        <f t="shared" si="168"/>
        <v/>
      </c>
      <c r="I627" s="175" t="str">
        <f t="shared" si="168"/>
        <v/>
      </c>
      <c r="J627" s="175" t="str">
        <f t="shared" si="168"/>
        <v/>
      </c>
      <c r="K627" s="175" t="str">
        <f t="shared" si="168"/>
        <v/>
      </c>
      <c r="L627" s="175" t="str">
        <f t="shared" si="168"/>
        <v/>
      </c>
      <c r="M627" s="175" t="str">
        <f t="shared" ref="M627" si="171">IF(M616=0,"",(M638*10^6)/M616)</f>
        <v/>
      </c>
    </row>
    <row r="628" spans="2:20">
      <c r="B628" s="289" t="str">
        <f t="shared" si="164"/>
        <v>2x(200G FR4)</v>
      </c>
      <c r="C628" s="165"/>
      <c r="D628" s="175"/>
      <c r="E628" s="175" t="str">
        <f t="shared" ref="E628:F628" si="172">IF(E617=0,"",(E639*10^6)/E617)</f>
        <v/>
      </c>
      <c r="F628" s="175" t="str">
        <f t="shared" si="172"/>
        <v/>
      </c>
      <c r="G628" s="175" t="str">
        <f>IF(G617=0,"",(G639*10^6)/G617)</f>
        <v/>
      </c>
      <c r="H628" s="175" t="str">
        <f t="shared" si="168"/>
        <v/>
      </c>
      <c r="I628" s="175" t="str">
        <f t="shared" si="168"/>
        <v/>
      </c>
      <c r="J628" s="175" t="str">
        <f t="shared" si="168"/>
        <v/>
      </c>
      <c r="K628" s="175" t="str">
        <f t="shared" si="168"/>
        <v/>
      </c>
      <c r="L628" s="175" t="str">
        <f t="shared" si="168"/>
        <v/>
      </c>
      <c r="M628" s="175" t="str">
        <f t="shared" ref="M628" si="173">IF(M617=0,"",(M639*10^6)/M617)</f>
        <v/>
      </c>
    </row>
    <row r="629" spans="2:20">
      <c r="B629" s="289" t="str">
        <f t="shared" si="164"/>
        <v>400G FR4</v>
      </c>
      <c r="C629" s="165"/>
      <c r="D629" s="175"/>
      <c r="E629" s="175" t="str">
        <f t="shared" ref="E629:F631" si="174">IF(E618=0,"",(E640*10^6)/E618)</f>
        <v/>
      </c>
      <c r="F629" s="175" t="str">
        <f t="shared" si="174"/>
        <v/>
      </c>
      <c r="G629" s="175" t="str">
        <f>IF(G618=0,"",(G640*10^6)/G618)</f>
        <v/>
      </c>
      <c r="H629" s="175" t="str">
        <f t="shared" si="168"/>
        <v/>
      </c>
      <c r="I629" s="175" t="str">
        <f t="shared" si="168"/>
        <v/>
      </c>
      <c r="J629" s="175" t="str">
        <f t="shared" si="168"/>
        <v/>
      </c>
      <c r="K629" s="175" t="str">
        <f t="shared" si="168"/>
        <v/>
      </c>
      <c r="L629" s="175" t="str">
        <f t="shared" si="168"/>
        <v/>
      </c>
      <c r="M629" s="175" t="str">
        <f t="shared" ref="M629" si="175">IF(M618=0,"",(M640*10^6)/M618)</f>
        <v/>
      </c>
    </row>
    <row r="630" spans="2:20">
      <c r="B630" s="289" t="str">
        <f t="shared" si="164"/>
        <v>400G LR8, LR4</v>
      </c>
      <c r="C630" s="165"/>
      <c r="D630" s="175"/>
      <c r="E630" s="175" t="str">
        <f t="shared" si="174"/>
        <v/>
      </c>
      <c r="F630" s="175" t="str">
        <f t="shared" si="174"/>
        <v/>
      </c>
      <c r="G630" s="175" t="str">
        <f>IF(G619=0,"",(G641*10^6)/G619)</f>
        <v/>
      </c>
      <c r="H630" s="175" t="str">
        <f t="shared" si="168"/>
        <v/>
      </c>
      <c r="I630" s="175" t="str">
        <f t="shared" si="168"/>
        <v/>
      </c>
      <c r="J630" s="175" t="str">
        <f t="shared" si="168"/>
        <v/>
      </c>
      <c r="K630" s="175" t="str">
        <f t="shared" si="168"/>
        <v/>
      </c>
      <c r="L630" s="175" t="str">
        <f t="shared" si="168"/>
        <v/>
      </c>
      <c r="M630" s="175" t="str">
        <f t="shared" ref="M630:M631" si="176">IF(M619=0,"",(M641*10^6)/M619)</f>
        <v/>
      </c>
    </row>
    <row r="631" spans="2:20">
      <c r="B631" s="374" t="str">
        <f t="shared" si="164"/>
        <v>400G ER4</v>
      </c>
      <c r="C631" s="167"/>
      <c r="D631" s="171"/>
      <c r="E631" s="171" t="str">
        <f t="shared" si="174"/>
        <v/>
      </c>
      <c r="F631" s="171" t="str">
        <f t="shared" si="174"/>
        <v/>
      </c>
      <c r="G631" s="171" t="str">
        <f>IF(G620=0,"",(G642*10^6)/G620)</f>
        <v/>
      </c>
      <c r="H631" s="171" t="str">
        <f t="shared" si="168"/>
        <v/>
      </c>
      <c r="I631" s="171" t="str">
        <f t="shared" si="168"/>
        <v/>
      </c>
      <c r="J631" s="171" t="str">
        <f t="shared" si="168"/>
        <v/>
      </c>
      <c r="K631" s="171" t="str">
        <f t="shared" si="168"/>
        <v/>
      </c>
      <c r="L631" s="171" t="str">
        <f t="shared" si="168"/>
        <v/>
      </c>
      <c r="M631" s="171" t="str">
        <f t="shared" si="176"/>
        <v/>
      </c>
    </row>
    <row r="632" spans="2:20">
      <c r="B632" s="275" t="str">
        <f>$B$621</f>
        <v>Total</v>
      </c>
      <c r="C632" s="169"/>
      <c r="D632" s="110">
        <f>IF(D621=0,"",(D643*10^6)/D621)</f>
        <v>15149.438202247189</v>
      </c>
      <c r="E632" s="110" t="str">
        <f t="shared" ref="E632:F632" si="177">IF(E621=0,"",(E643*10^6)/E621)</f>
        <v/>
      </c>
      <c r="F632" s="110" t="str">
        <f t="shared" si="177"/>
        <v/>
      </c>
      <c r="G632" s="110" t="str">
        <f t="shared" ref="G632:L632" si="178">IF(G621=0,"",(G643*10^6)/G621)</f>
        <v/>
      </c>
      <c r="H632" s="110" t="str">
        <f t="shared" si="178"/>
        <v/>
      </c>
      <c r="I632" s="110" t="str">
        <f t="shared" si="178"/>
        <v/>
      </c>
      <c r="J632" s="110" t="str">
        <f t="shared" si="178"/>
        <v/>
      </c>
      <c r="K632" s="110" t="str">
        <f t="shared" si="178"/>
        <v/>
      </c>
      <c r="L632" s="110" t="str">
        <f t="shared" si="178"/>
        <v/>
      </c>
      <c r="M632" s="110" t="str">
        <f t="shared" ref="M632" si="179">IF(M621=0,"",(M643*10^6)/M621)</f>
        <v/>
      </c>
    </row>
    <row r="633" spans="2:20">
      <c r="C633" s="274"/>
      <c r="D633" s="274"/>
      <c r="E633" s="274"/>
      <c r="F633" s="327" t="s">
        <v>86</v>
      </c>
      <c r="G633" s="274" t="e">
        <f t="shared" ref="G633:M633" si="180">G632/F632-1</f>
        <v>#VALUE!</v>
      </c>
      <c r="H633" s="274" t="e">
        <f t="shared" si="180"/>
        <v>#VALUE!</v>
      </c>
      <c r="I633" s="274" t="e">
        <f t="shared" si="180"/>
        <v>#VALUE!</v>
      </c>
      <c r="J633" s="274" t="e">
        <f t="shared" si="180"/>
        <v>#VALUE!</v>
      </c>
      <c r="K633" s="274" t="e">
        <f t="shared" si="180"/>
        <v>#VALUE!</v>
      </c>
      <c r="L633" s="274" t="e">
        <f t="shared" si="180"/>
        <v>#VALUE!</v>
      </c>
      <c r="M633" s="274" t="e">
        <f t="shared" si="180"/>
        <v>#VALUE!</v>
      </c>
    </row>
    <row r="635" spans="2:20" ht="15.6">
      <c r="B635" s="115" t="s">
        <v>213</v>
      </c>
      <c r="C635" s="383">
        <v>2016</v>
      </c>
      <c r="D635" s="389">
        <v>2017</v>
      </c>
      <c r="E635" s="389">
        <v>2018</v>
      </c>
      <c r="F635" s="389">
        <v>2019</v>
      </c>
      <c r="G635" s="389">
        <v>2020</v>
      </c>
      <c r="H635" s="389">
        <v>2021</v>
      </c>
      <c r="I635" s="389">
        <v>2022</v>
      </c>
      <c r="J635" s="389">
        <v>2023</v>
      </c>
      <c r="K635" s="389">
        <v>2024</v>
      </c>
      <c r="L635" s="389">
        <v>2025</v>
      </c>
      <c r="M635" s="389">
        <v>2026</v>
      </c>
    </row>
    <row r="636" spans="2:20">
      <c r="B636" s="358" t="str">
        <f t="shared" ref="B636:B642" si="181">B614</f>
        <v>2x200 (400G-SR8)</v>
      </c>
      <c r="C636" s="163"/>
      <c r="D636" s="173"/>
      <c r="E636" s="173">
        <f>'Products x speed'!G257</f>
        <v>0</v>
      </c>
      <c r="F636" s="173">
        <f>'Products x speed'!H257</f>
        <v>0</v>
      </c>
      <c r="G636" s="173">
        <f>'Products x speed'!I257</f>
        <v>0</v>
      </c>
      <c r="H636" s="173">
        <f>'Products x speed'!J257</f>
        <v>0</v>
      </c>
      <c r="I636" s="173">
        <f>'Products x speed'!K257</f>
        <v>0</v>
      </c>
      <c r="J636" s="173">
        <f>'Products x speed'!L257</f>
        <v>0</v>
      </c>
      <c r="K636" s="173">
        <f>'Products x speed'!M257</f>
        <v>0</v>
      </c>
      <c r="L636" s="173">
        <f>'Products x speed'!N257</f>
        <v>0</v>
      </c>
      <c r="M636" s="173">
        <f>'Products x speed'!O257</f>
        <v>0</v>
      </c>
    </row>
    <row r="637" spans="2:20" ht="15.6">
      <c r="B637" s="289" t="str">
        <f t="shared" si="181"/>
        <v>400G SR4</v>
      </c>
      <c r="C637" s="165"/>
      <c r="D637" s="175"/>
      <c r="E637" s="175">
        <f>'Products x speed'!G258</f>
        <v>0</v>
      </c>
      <c r="F637" s="175">
        <f>'Products x speed'!H258</f>
        <v>0</v>
      </c>
      <c r="G637" s="175">
        <f>'Products x speed'!I258</f>
        <v>0</v>
      </c>
      <c r="H637" s="175">
        <f>'Products x speed'!J258</f>
        <v>0</v>
      </c>
      <c r="I637" s="175">
        <f>'Products x speed'!K258</f>
        <v>0</v>
      </c>
      <c r="J637" s="175">
        <f>'Products x speed'!L258</f>
        <v>0</v>
      </c>
      <c r="K637" s="175">
        <f>'Products x speed'!M258</f>
        <v>0</v>
      </c>
      <c r="L637" s="175">
        <f>'Products x speed'!N258</f>
        <v>0</v>
      </c>
      <c r="M637" s="175">
        <f>'Products x speed'!O258</f>
        <v>0</v>
      </c>
      <c r="T637" s="545"/>
    </row>
    <row r="638" spans="2:20" ht="15.6">
      <c r="B638" s="289" t="str">
        <f t="shared" si="181"/>
        <v>400G DR4</v>
      </c>
      <c r="C638" s="165"/>
      <c r="D638" s="175"/>
      <c r="E638" s="175">
        <f>'Products x speed'!G259</f>
        <v>0</v>
      </c>
      <c r="F638" s="175">
        <f>'Products x speed'!H259</f>
        <v>0</v>
      </c>
      <c r="G638" s="175">
        <f>'Products x speed'!I259</f>
        <v>0</v>
      </c>
      <c r="H638" s="175">
        <f>'Products x speed'!J259</f>
        <v>0</v>
      </c>
      <c r="I638" s="175">
        <f>'Products x speed'!K259</f>
        <v>0</v>
      </c>
      <c r="J638" s="175">
        <f>'Products x speed'!L259</f>
        <v>0</v>
      </c>
      <c r="K638" s="175">
        <f>'Products x speed'!M259</f>
        <v>0</v>
      </c>
      <c r="L638" s="175">
        <f>'Products x speed'!N259</f>
        <v>0</v>
      </c>
      <c r="M638" s="175">
        <f>'Products x speed'!O259</f>
        <v>0</v>
      </c>
      <c r="T638" s="545"/>
    </row>
    <row r="639" spans="2:20">
      <c r="B639" s="289" t="str">
        <f t="shared" si="181"/>
        <v>2x(200G FR4)</v>
      </c>
      <c r="C639" s="165"/>
      <c r="D639" s="175"/>
      <c r="E639" s="175">
        <f>'Products x speed'!G260</f>
        <v>0</v>
      </c>
      <c r="F639" s="175">
        <f>'Products x speed'!H260</f>
        <v>0</v>
      </c>
      <c r="G639" s="175">
        <f>'Products x speed'!I260</f>
        <v>0</v>
      </c>
      <c r="H639" s="175">
        <f>'Products x speed'!J260</f>
        <v>0</v>
      </c>
      <c r="I639" s="175">
        <f>'Products x speed'!K260</f>
        <v>0</v>
      </c>
      <c r="J639" s="175">
        <f>'Products x speed'!L260</f>
        <v>0</v>
      </c>
      <c r="K639" s="175">
        <f>'Products x speed'!M260</f>
        <v>0</v>
      </c>
      <c r="L639" s="175">
        <f>'Products x speed'!N260</f>
        <v>0</v>
      </c>
      <c r="M639" s="175">
        <f>'Products x speed'!O260</f>
        <v>0</v>
      </c>
    </row>
    <row r="640" spans="2:20" ht="15.6">
      <c r="B640" s="289" t="str">
        <f t="shared" si="181"/>
        <v>400G FR4</v>
      </c>
      <c r="C640" s="165"/>
      <c r="D640" s="175">
        <f>'Products x speed'!F261</f>
        <v>8.1299999999999997E-2</v>
      </c>
      <c r="E640" s="175">
        <f>'Products x speed'!G261</f>
        <v>0</v>
      </c>
      <c r="F640" s="175">
        <f>'Products x speed'!H261</f>
        <v>0</v>
      </c>
      <c r="G640" s="175">
        <f>'Products x speed'!I261</f>
        <v>0</v>
      </c>
      <c r="H640" s="175">
        <f>'Products x speed'!J261</f>
        <v>0</v>
      </c>
      <c r="I640" s="175">
        <f>'Products x speed'!K261</f>
        <v>0</v>
      </c>
      <c r="J640" s="175">
        <f>'Products x speed'!L261</f>
        <v>0</v>
      </c>
      <c r="K640" s="175">
        <f>'Products x speed'!M261</f>
        <v>0</v>
      </c>
      <c r="L640" s="175">
        <f>'Products x speed'!N261</f>
        <v>0</v>
      </c>
      <c r="M640" s="175">
        <f>'Products x speed'!O261</f>
        <v>0</v>
      </c>
      <c r="T640" s="546"/>
    </row>
    <row r="641" spans="2:14">
      <c r="B641" s="289" t="str">
        <f t="shared" si="181"/>
        <v>400G LR8, LR4</v>
      </c>
      <c r="C641" s="165"/>
      <c r="D641" s="175">
        <f>'Products x speed'!F262</f>
        <v>1.2669999999999999</v>
      </c>
      <c r="E641" s="175">
        <f>'Products x speed'!G262</f>
        <v>0</v>
      </c>
      <c r="F641" s="175">
        <f>'Products x speed'!H262</f>
        <v>0</v>
      </c>
      <c r="G641" s="175">
        <f>'Products x speed'!I262</f>
        <v>0</v>
      </c>
      <c r="H641" s="175">
        <f>'Products x speed'!J262</f>
        <v>0</v>
      </c>
      <c r="I641" s="175">
        <f>'Products x speed'!K262</f>
        <v>0</v>
      </c>
      <c r="J641" s="175">
        <f>'Products x speed'!L262</f>
        <v>0</v>
      </c>
      <c r="K641" s="175">
        <f>'Products x speed'!M262</f>
        <v>0</v>
      </c>
      <c r="L641" s="175">
        <f>'Products x speed'!N262</f>
        <v>0</v>
      </c>
      <c r="M641" s="175">
        <f>'Products x speed'!O262</f>
        <v>0</v>
      </c>
    </row>
    <row r="642" spans="2:14">
      <c r="B642" s="374" t="str">
        <f t="shared" si="181"/>
        <v>400G ER4</v>
      </c>
      <c r="C642" s="167"/>
      <c r="D642" s="171">
        <f>'Products x speed'!F263</f>
        <v>0</v>
      </c>
      <c r="E642" s="171">
        <f>'Products x speed'!G263</f>
        <v>0</v>
      </c>
      <c r="F642" s="171">
        <f>'Products x speed'!H263</f>
        <v>0</v>
      </c>
      <c r="G642" s="171">
        <f>'Products x speed'!I263</f>
        <v>0</v>
      </c>
      <c r="H642" s="171">
        <f>'Products x speed'!J263</f>
        <v>0</v>
      </c>
      <c r="I642" s="171">
        <f>'Products x speed'!K263</f>
        <v>0</v>
      </c>
      <c r="J642" s="171">
        <f>'Products x speed'!L263</f>
        <v>0</v>
      </c>
      <c r="K642" s="171">
        <f>'Products x speed'!M263</f>
        <v>0</v>
      </c>
      <c r="L642" s="171">
        <f>'Products x speed'!N263</f>
        <v>0</v>
      </c>
      <c r="M642" s="171">
        <f>'Products x speed'!O263</f>
        <v>0</v>
      </c>
    </row>
    <row r="643" spans="2:14">
      <c r="B643" s="275" t="str">
        <f>$B$621</f>
        <v>Total</v>
      </c>
      <c r="C643" s="169"/>
      <c r="D643" s="110">
        <f t="shared" ref="D643:G643" si="182">SUM(D636:D642)</f>
        <v>1.3482999999999998</v>
      </c>
      <c r="E643" s="110">
        <f t="shared" si="182"/>
        <v>0</v>
      </c>
      <c r="F643" s="110">
        <f t="shared" si="182"/>
        <v>0</v>
      </c>
      <c r="G643" s="110">
        <f t="shared" si="182"/>
        <v>0</v>
      </c>
      <c r="H643" s="110">
        <f>SUM(H636:H642)</f>
        <v>0</v>
      </c>
      <c r="I643" s="110">
        <f t="shared" ref="I643:M643" si="183">SUM(I636:I642)</f>
        <v>0</v>
      </c>
      <c r="J643" s="110">
        <f t="shared" si="183"/>
        <v>0</v>
      </c>
      <c r="K643" s="110">
        <f t="shared" si="183"/>
        <v>0</v>
      </c>
      <c r="L643" s="110">
        <f t="shared" si="183"/>
        <v>0</v>
      </c>
      <c r="M643" s="110">
        <f t="shared" si="183"/>
        <v>0</v>
      </c>
    </row>
    <row r="644" spans="2:14">
      <c r="C644" s="274"/>
      <c r="D644" s="274"/>
      <c r="E644" s="274"/>
      <c r="F644" s="327" t="s">
        <v>86</v>
      </c>
      <c r="G644" s="274" t="e">
        <f t="shared" ref="G644:M644" si="184">G643/F643-1</f>
        <v>#DIV/0!</v>
      </c>
      <c r="H644" s="274" t="e">
        <f t="shared" si="184"/>
        <v>#DIV/0!</v>
      </c>
      <c r="I644" s="274" t="e">
        <f t="shared" si="184"/>
        <v>#DIV/0!</v>
      </c>
      <c r="J644" s="274" t="e">
        <f t="shared" si="184"/>
        <v>#DIV/0!</v>
      </c>
      <c r="K644" s="274" t="e">
        <f t="shared" si="184"/>
        <v>#DIV/0!</v>
      </c>
      <c r="L644" s="274" t="e">
        <f t="shared" si="184"/>
        <v>#DIV/0!</v>
      </c>
      <c r="M644" s="274" t="e">
        <f t="shared" si="184"/>
        <v>#DIV/0!</v>
      </c>
    </row>
    <row r="647" spans="2:14" ht="21">
      <c r="B647" s="153" t="s">
        <v>393</v>
      </c>
    </row>
    <row r="648" spans="2:14" ht="21">
      <c r="B648" s="302" t="s">
        <v>22</v>
      </c>
      <c r="G648" s="302" t="s">
        <v>21</v>
      </c>
      <c r="N648" s="302" t="s">
        <v>15</v>
      </c>
    </row>
    <row r="652" spans="2:14" ht="16.5" customHeight="1"/>
    <row r="669" spans="2:20" s="293" customFormat="1" ht="15.6">
      <c r="B669" s="644" t="s">
        <v>394</v>
      </c>
      <c r="C669" s="383">
        <v>2016</v>
      </c>
      <c r="D669" s="389">
        <v>2017</v>
      </c>
      <c r="E669" s="389">
        <v>2018</v>
      </c>
      <c r="F669" s="389">
        <v>2019</v>
      </c>
      <c r="G669" s="389">
        <v>2020</v>
      </c>
      <c r="H669" s="389">
        <v>2021</v>
      </c>
      <c r="I669" s="389">
        <v>2022</v>
      </c>
      <c r="J669" s="389">
        <v>2023</v>
      </c>
      <c r="K669" s="389">
        <v>2024</v>
      </c>
      <c r="L669" s="389">
        <v>2025</v>
      </c>
      <c r="M669" s="389">
        <v>2026</v>
      </c>
    </row>
    <row r="670" spans="2:20" s="293" customFormat="1" ht="15.6">
      <c r="B670" s="645" t="str">
        <f>'Products x speed'!P72</f>
        <v>800G SR8_50 m_OSFP, QSFP-DD800</v>
      </c>
      <c r="C670" s="164">
        <f>'Products x speed'!E72</f>
        <v>0</v>
      </c>
      <c r="D670" s="164">
        <f>'Products x speed'!F72</f>
        <v>0</v>
      </c>
      <c r="E670" s="164">
        <f>'Products x speed'!G72</f>
        <v>0</v>
      </c>
      <c r="F670" s="164">
        <f>'Products x speed'!H72</f>
        <v>0</v>
      </c>
      <c r="G670" s="164">
        <f>'Products x speed'!I72</f>
        <v>0</v>
      </c>
      <c r="H670" s="164">
        <f>'Products x speed'!J72</f>
        <v>0</v>
      </c>
      <c r="I670" s="164">
        <f>'Products x speed'!K72</f>
        <v>0</v>
      </c>
      <c r="J670" s="164">
        <f>'Products x speed'!L72</f>
        <v>0</v>
      </c>
      <c r="K670" s="164">
        <f>'Products x speed'!M72</f>
        <v>0</v>
      </c>
      <c r="L670" s="164">
        <f>'Products x speed'!N72</f>
        <v>0</v>
      </c>
      <c r="M670" s="164">
        <f>'Products x speed'!O72</f>
        <v>0</v>
      </c>
      <c r="T670" s="545"/>
    </row>
    <row r="671" spans="2:20" s="293" customFormat="1" ht="15.6">
      <c r="B671" s="376" t="str">
        <f>'Products x speed'!P73</f>
        <v>800G DR8, DR4_500 m_OSFP, QSFP-DD800</v>
      </c>
      <c r="C671" s="166">
        <f>'Products x speed'!E73</f>
        <v>0</v>
      </c>
      <c r="D671" s="166">
        <f>'Products x speed'!F73</f>
        <v>0</v>
      </c>
      <c r="E671" s="166">
        <f>'Products x speed'!G73</f>
        <v>0</v>
      </c>
      <c r="F671" s="166">
        <f>'Products x speed'!H73</f>
        <v>0</v>
      </c>
      <c r="G671" s="166">
        <f>'Products x speed'!I73</f>
        <v>0</v>
      </c>
      <c r="H671" s="166">
        <f>'Products x speed'!J73</f>
        <v>0</v>
      </c>
      <c r="I671" s="166">
        <f>'Products x speed'!K73</f>
        <v>0</v>
      </c>
      <c r="J671" s="166">
        <f>'Products x speed'!L73</f>
        <v>0</v>
      </c>
      <c r="K671" s="166">
        <f>'Products x speed'!M73</f>
        <v>0</v>
      </c>
      <c r="L671" s="166">
        <f>'Products x speed'!N73</f>
        <v>0</v>
      </c>
      <c r="M671" s="166">
        <f>'Products x speed'!O73</f>
        <v>0</v>
      </c>
      <c r="T671" s="545"/>
    </row>
    <row r="672" spans="2:20" s="293" customFormat="1" ht="15.6">
      <c r="B672" s="376" t="str">
        <f>'Products x speed'!P74</f>
        <v>2x(400G FR4), 800G FR4_2 km_OSFP, QSFP-DD800</v>
      </c>
      <c r="C672" s="166">
        <f>'Products x speed'!E74</f>
        <v>0</v>
      </c>
      <c r="D672" s="166">
        <f>'Products x speed'!F74</f>
        <v>0</v>
      </c>
      <c r="E672" s="166">
        <f>'Products x speed'!G74</f>
        <v>0</v>
      </c>
      <c r="F672" s="166">
        <f>'Products x speed'!H74</f>
        <v>0</v>
      </c>
      <c r="G672" s="166">
        <f>'Products x speed'!I74</f>
        <v>0</v>
      </c>
      <c r="H672" s="166">
        <f>'Products x speed'!J74</f>
        <v>0</v>
      </c>
      <c r="I672" s="166">
        <f>'Products x speed'!K74</f>
        <v>0</v>
      </c>
      <c r="J672" s="166">
        <f>'Products x speed'!L74</f>
        <v>0</v>
      </c>
      <c r="K672" s="166">
        <f>'Products x speed'!M74</f>
        <v>0</v>
      </c>
      <c r="L672" s="166">
        <f>'Products x speed'!N74</f>
        <v>0</v>
      </c>
      <c r="M672" s="166">
        <f>'Products x speed'!O74</f>
        <v>0</v>
      </c>
      <c r="T672" s="546"/>
    </row>
    <row r="673" spans="2:20" s="293" customFormat="1" ht="15.6">
      <c r="B673" s="376" t="str">
        <f>'Products x speed'!P75</f>
        <v>800G LR8, LR4_6, 10 km_TBD</v>
      </c>
      <c r="C673" s="166">
        <f>'Products x speed'!E75</f>
        <v>0</v>
      </c>
      <c r="D673" s="166">
        <f>'Products x speed'!F75</f>
        <v>0</v>
      </c>
      <c r="E673" s="166">
        <f>'Products x speed'!G75</f>
        <v>0</v>
      </c>
      <c r="F673" s="166">
        <f>'Products x speed'!H75</f>
        <v>0</v>
      </c>
      <c r="G673" s="166">
        <f>'Products x speed'!I75</f>
        <v>0</v>
      </c>
      <c r="H673" s="166">
        <f>'Products x speed'!J75</f>
        <v>0</v>
      </c>
      <c r="I673" s="166">
        <f>'Products x speed'!K75</f>
        <v>0</v>
      </c>
      <c r="J673" s="166">
        <f>'Products x speed'!L75</f>
        <v>0</v>
      </c>
      <c r="K673" s="166">
        <f>'Products x speed'!M75</f>
        <v>0</v>
      </c>
      <c r="L673" s="166">
        <f>'Products x speed'!N75</f>
        <v>0</v>
      </c>
      <c r="M673" s="166">
        <f>'Products x speed'!O75</f>
        <v>0</v>
      </c>
      <c r="T673" s="546"/>
    </row>
    <row r="674" spans="2:20" s="293" customFormat="1" ht="15.6">
      <c r="B674" s="376" t="str">
        <f>'Products x speed'!P76</f>
        <v>800G ZRlite_10 km, 20 km_TBD</v>
      </c>
      <c r="C674" s="166">
        <f>'Products x speed'!E76</f>
        <v>0</v>
      </c>
      <c r="D674" s="166">
        <f>'Products x speed'!F76</f>
        <v>0</v>
      </c>
      <c r="E674" s="166">
        <f>'Products x speed'!G76</f>
        <v>0</v>
      </c>
      <c r="F674" s="166">
        <f>'Products x speed'!H76</f>
        <v>0</v>
      </c>
      <c r="G674" s="166">
        <f>'Products x speed'!I76</f>
        <v>0</v>
      </c>
      <c r="H674" s="166">
        <f>'Products x speed'!J76</f>
        <v>0</v>
      </c>
      <c r="I674" s="166">
        <f>'Products x speed'!K76</f>
        <v>0</v>
      </c>
      <c r="J674" s="166">
        <f>'Products x speed'!L76</f>
        <v>0</v>
      </c>
      <c r="K674" s="166">
        <f>'Products x speed'!M76</f>
        <v>0</v>
      </c>
      <c r="L674" s="166">
        <f>'Products x speed'!N76</f>
        <v>0</v>
      </c>
      <c r="M674" s="166">
        <f>'Products x speed'!O76</f>
        <v>0</v>
      </c>
      <c r="T674" s="546"/>
    </row>
    <row r="675" spans="2:20" s="293" customFormat="1" ht="15.6">
      <c r="B675" s="376" t="str">
        <f>'Products x speed'!P77</f>
        <v>800G ER4_40 km_TBD</v>
      </c>
      <c r="C675" s="166">
        <f>'Products x speed'!E77</f>
        <v>0</v>
      </c>
      <c r="D675" s="166">
        <f>'Products x speed'!F77</f>
        <v>0</v>
      </c>
      <c r="E675" s="166">
        <f>'Products x speed'!G77</f>
        <v>0</v>
      </c>
      <c r="F675" s="166">
        <f>'Products x speed'!H77</f>
        <v>0</v>
      </c>
      <c r="G675" s="166">
        <f>'Products x speed'!I77</f>
        <v>0</v>
      </c>
      <c r="H675" s="166">
        <f>'Products x speed'!J77</f>
        <v>0</v>
      </c>
      <c r="I675" s="166">
        <f>'Products x speed'!K77</f>
        <v>0</v>
      </c>
      <c r="J675" s="166">
        <f>'Products x speed'!L77</f>
        <v>0</v>
      </c>
      <c r="K675" s="166">
        <f>'Products x speed'!M77</f>
        <v>0</v>
      </c>
      <c r="L675" s="166">
        <f>'Products x speed'!N77</f>
        <v>0</v>
      </c>
      <c r="M675" s="166">
        <f>'Products x speed'!O77</f>
        <v>0</v>
      </c>
      <c r="T675" s="546"/>
    </row>
    <row r="676" spans="2:20" s="293" customFormat="1">
      <c r="B676" s="383" t="s">
        <v>13</v>
      </c>
      <c r="C676" s="169"/>
      <c r="D676" s="170">
        <f t="shared" ref="D676:M676" si="185">SUM(D670:D675)</f>
        <v>0</v>
      </c>
      <c r="E676" s="170">
        <f t="shared" si="185"/>
        <v>0</v>
      </c>
      <c r="F676" s="170">
        <f t="shared" si="185"/>
        <v>0</v>
      </c>
      <c r="G676" s="170">
        <f t="shared" si="185"/>
        <v>0</v>
      </c>
      <c r="H676" s="170">
        <f t="shared" si="185"/>
        <v>0</v>
      </c>
      <c r="I676" s="170">
        <f t="shared" si="185"/>
        <v>0</v>
      </c>
      <c r="J676" s="170">
        <f t="shared" si="185"/>
        <v>0</v>
      </c>
      <c r="K676" s="170">
        <f t="shared" si="185"/>
        <v>0</v>
      </c>
      <c r="L676" s="170">
        <f t="shared" si="185"/>
        <v>0</v>
      </c>
      <c r="M676" s="170">
        <f t="shared" si="185"/>
        <v>0</v>
      </c>
    </row>
    <row r="677" spans="2:20" s="293" customFormat="1">
      <c r="C677" s="295"/>
      <c r="D677" s="295"/>
      <c r="E677" s="295"/>
      <c r="F677" s="646" t="s">
        <v>86</v>
      </c>
      <c r="G677" s="295"/>
      <c r="H677" s="295"/>
      <c r="I677" s="295" t="e">
        <f t="shared" ref="I677" si="186">I676/H676-1</f>
        <v>#DIV/0!</v>
      </c>
      <c r="J677" s="295" t="e">
        <f t="shared" ref="J677" si="187">J676/I676-1</f>
        <v>#DIV/0!</v>
      </c>
      <c r="K677" s="295" t="e">
        <f t="shared" ref="K677" si="188">K676/J676-1</f>
        <v>#DIV/0!</v>
      </c>
      <c r="L677" s="295" t="e">
        <f t="shared" ref="L677:M677" si="189">L676/K676-1</f>
        <v>#DIV/0!</v>
      </c>
      <c r="M677" s="295" t="e">
        <f t="shared" si="189"/>
        <v>#DIV/0!</v>
      </c>
    </row>
    <row r="678" spans="2:20" s="293" customFormat="1"/>
    <row r="679" spans="2:20" s="293" customFormat="1" ht="15.6">
      <c r="B679" s="644" t="s">
        <v>395</v>
      </c>
      <c r="C679" s="383">
        <v>2016</v>
      </c>
      <c r="D679" s="389">
        <v>2017</v>
      </c>
      <c r="E679" s="389">
        <v>2018</v>
      </c>
      <c r="F679" s="389">
        <v>2019</v>
      </c>
      <c r="G679" s="389">
        <v>2020</v>
      </c>
      <c r="H679" s="389">
        <v>2021</v>
      </c>
      <c r="I679" s="389">
        <v>2022</v>
      </c>
      <c r="J679" s="389">
        <v>2023</v>
      </c>
      <c r="K679" s="389">
        <v>2024</v>
      </c>
      <c r="L679" s="389">
        <v>2025</v>
      </c>
      <c r="M679" s="389">
        <v>2026</v>
      </c>
    </row>
    <row r="680" spans="2:20" s="293" customFormat="1">
      <c r="B680" s="647" t="str">
        <f>B670</f>
        <v>800G SR8_50 m_OSFP, QSFP-DD800</v>
      </c>
      <c r="C680" s="164"/>
      <c r="D680" s="173"/>
      <c r="E680" s="173"/>
      <c r="F680" s="173"/>
      <c r="G680" s="173"/>
      <c r="H680" s="173" t="str">
        <f t="shared" ref="H680:M686" si="190">IF(H670=0,"",(H690*10^6)/H670)</f>
        <v/>
      </c>
      <c r="I680" s="173" t="str">
        <f t="shared" si="190"/>
        <v/>
      </c>
      <c r="J680" s="173" t="str">
        <f t="shared" si="190"/>
        <v/>
      </c>
      <c r="K680" s="173" t="str">
        <f t="shared" si="190"/>
        <v/>
      </c>
      <c r="L680" s="173" t="str">
        <f t="shared" si="190"/>
        <v/>
      </c>
      <c r="M680" s="173" t="str">
        <f t="shared" si="190"/>
        <v/>
      </c>
    </row>
    <row r="681" spans="2:20" s="293" customFormat="1">
      <c r="B681" s="376" t="str">
        <f>B671</f>
        <v>800G DR8, DR4_500 m_OSFP, QSFP-DD800</v>
      </c>
      <c r="C681" s="166"/>
      <c r="D681" s="175"/>
      <c r="E681" s="175"/>
      <c r="F681" s="175"/>
      <c r="G681" s="175"/>
      <c r="H681" s="175" t="str">
        <f t="shared" si="190"/>
        <v/>
      </c>
      <c r="I681" s="175" t="str">
        <f t="shared" si="190"/>
        <v/>
      </c>
      <c r="J681" s="175" t="str">
        <f t="shared" si="190"/>
        <v/>
      </c>
      <c r="K681" s="175" t="str">
        <f t="shared" si="190"/>
        <v/>
      </c>
      <c r="L681" s="175" t="str">
        <f t="shared" si="190"/>
        <v/>
      </c>
      <c r="M681" s="175" t="str">
        <f t="shared" si="190"/>
        <v/>
      </c>
    </row>
    <row r="682" spans="2:20" s="293" customFormat="1">
      <c r="B682" s="376" t="str">
        <f t="shared" ref="B682:B685" si="191">B672</f>
        <v>2x(400G FR4), 800G FR4_2 km_OSFP, QSFP-DD800</v>
      </c>
      <c r="C682" s="166"/>
      <c r="D682" s="175"/>
      <c r="E682" s="175"/>
      <c r="F682" s="175"/>
      <c r="G682" s="175"/>
      <c r="H682" s="175" t="str">
        <f t="shared" si="190"/>
        <v/>
      </c>
      <c r="I682" s="175" t="str">
        <f t="shared" si="190"/>
        <v/>
      </c>
      <c r="J682" s="175" t="str">
        <f t="shared" si="190"/>
        <v/>
      </c>
      <c r="K682" s="175" t="str">
        <f t="shared" si="190"/>
        <v/>
      </c>
      <c r="L682" s="175" t="str">
        <f t="shared" si="190"/>
        <v/>
      </c>
      <c r="M682" s="175" t="str">
        <f t="shared" si="190"/>
        <v/>
      </c>
    </row>
    <row r="683" spans="2:20" s="293" customFormat="1">
      <c r="B683" s="376" t="str">
        <f t="shared" si="191"/>
        <v>800G LR8, LR4_6, 10 km_TBD</v>
      </c>
      <c r="C683" s="166"/>
      <c r="D683" s="175"/>
      <c r="E683" s="175"/>
      <c r="F683" s="175"/>
      <c r="G683" s="175"/>
      <c r="H683" s="175"/>
      <c r="I683" s="175" t="str">
        <f t="shared" si="190"/>
        <v/>
      </c>
      <c r="J683" s="175" t="str">
        <f t="shared" si="190"/>
        <v/>
      </c>
      <c r="K683" s="175" t="str">
        <f t="shared" si="190"/>
        <v/>
      </c>
      <c r="L683" s="175" t="str">
        <f t="shared" si="190"/>
        <v/>
      </c>
      <c r="M683" s="175" t="str">
        <f t="shared" si="190"/>
        <v/>
      </c>
    </row>
    <row r="684" spans="2:20" s="293" customFormat="1">
      <c r="B684" s="376" t="str">
        <f t="shared" si="191"/>
        <v>800G ZRlite_10 km, 20 km_TBD</v>
      </c>
      <c r="C684" s="166"/>
      <c r="D684" s="175"/>
      <c r="E684" s="175"/>
      <c r="F684" s="175"/>
      <c r="G684" s="175"/>
      <c r="H684" s="175"/>
      <c r="I684" s="175"/>
      <c r="J684" s="175" t="str">
        <f t="shared" si="190"/>
        <v/>
      </c>
      <c r="K684" s="175" t="str">
        <f t="shared" si="190"/>
        <v/>
      </c>
      <c r="L684" s="175" t="str">
        <f t="shared" si="190"/>
        <v/>
      </c>
      <c r="M684" s="175" t="str">
        <f t="shared" si="190"/>
        <v/>
      </c>
    </row>
    <row r="685" spans="2:20" s="293" customFormat="1">
      <c r="B685" s="376" t="str">
        <f t="shared" si="191"/>
        <v>800G ER4_40 km_TBD</v>
      </c>
      <c r="C685" s="166"/>
      <c r="D685" s="175"/>
      <c r="E685" s="175"/>
      <c r="F685" s="175"/>
      <c r="G685" s="175"/>
      <c r="H685" s="175" t="str">
        <f t="shared" si="190"/>
        <v/>
      </c>
      <c r="I685" s="175" t="str">
        <f t="shared" si="190"/>
        <v/>
      </c>
      <c r="J685" s="175"/>
      <c r="K685" s="175"/>
      <c r="L685" s="175" t="str">
        <f t="shared" si="190"/>
        <v/>
      </c>
      <c r="M685" s="175" t="str">
        <f t="shared" si="190"/>
        <v/>
      </c>
    </row>
    <row r="686" spans="2:20" s="293" customFormat="1">
      <c r="B686" s="383" t="str">
        <f>$B$621</f>
        <v>Total</v>
      </c>
      <c r="C686" s="169"/>
      <c r="D686" s="110" t="str">
        <f>IF(D676=0,"",(D696*10^6)/D676)</f>
        <v/>
      </c>
      <c r="E686" s="110" t="str">
        <f>IF(E676=0,"",(E696*10^6)/E676)</f>
        <v/>
      </c>
      <c r="F686" s="110" t="str">
        <f>IF(F676=0,"",(F696*10^6)/F676)</f>
        <v/>
      </c>
      <c r="G686" s="110" t="str">
        <f>IF(G676=0,"",(G696*10^6)/G676)</f>
        <v/>
      </c>
      <c r="H686" s="110" t="str">
        <f t="shared" si="190"/>
        <v/>
      </c>
      <c r="I686" s="110" t="str">
        <f t="shared" si="190"/>
        <v/>
      </c>
      <c r="J686" s="110" t="str">
        <f t="shared" si="190"/>
        <v/>
      </c>
      <c r="K686" s="110" t="str">
        <f t="shared" si="190"/>
        <v/>
      </c>
      <c r="L686" s="110" t="str">
        <f t="shared" si="190"/>
        <v/>
      </c>
      <c r="M686" s="110" t="str">
        <f t="shared" si="190"/>
        <v/>
      </c>
    </row>
    <row r="687" spans="2:20" s="293" customFormat="1">
      <c r="C687" s="295"/>
      <c r="D687" s="295"/>
      <c r="E687" s="295"/>
      <c r="F687" s="646" t="s">
        <v>86</v>
      </c>
      <c r="G687" s="295"/>
      <c r="H687" s="295"/>
      <c r="I687" s="295" t="e">
        <f t="shared" ref="I687" si="192">I686/H686-1</f>
        <v>#VALUE!</v>
      </c>
      <c r="J687" s="295" t="e">
        <f t="shared" ref="J687" si="193">J686/I686-1</f>
        <v>#VALUE!</v>
      </c>
      <c r="K687" s="295" t="e">
        <f t="shared" ref="K687" si="194">K686/J686-1</f>
        <v>#VALUE!</v>
      </c>
      <c r="L687" s="295" t="e">
        <f t="shared" ref="L687:M687" si="195">L686/K686-1</f>
        <v>#VALUE!</v>
      </c>
      <c r="M687" s="295" t="e">
        <f t="shared" si="195"/>
        <v>#VALUE!</v>
      </c>
    </row>
    <row r="688" spans="2:20" s="293" customFormat="1"/>
    <row r="689" spans="2:20" s="293" customFormat="1" ht="15.6">
      <c r="B689" s="644" t="s">
        <v>396</v>
      </c>
      <c r="C689" s="383">
        <v>2016</v>
      </c>
      <c r="D689" s="389">
        <v>2017</v>
      </c>
      <c r="E689" s="389">
        <v>2018</v>
      </c>
      <c r="F689" s="389">
        <v>2019</v>
      </c>
      <c r="G689" s="389">
        <v>2020</v>
      </c>
      <c r="H689" s="389">
        <v>2021</v>
      </c>
      <c r="I689" s="389">
        <v>2022</v>
      </c>
      <c r="J689" s="389">
        <v>2023</v>
      </c>
      <c r="K689" s="389">
        <v>2024</v>
      </c>
      <c r="L689" s="389">
        <v>2025</v>
      </c>
      <c r="M689" s="389">
        <v>2026</v>
      </c>
    </row>
    <row r="690" spans="2:20" s="293" customFormat="1" ht="15.6">
      <c r="B690" s="647" t="str">
        <f t="shared" ref="B690:B695" si="196">B670</f>
        <v>800G SR8_50 m_OSFP, QSFP-DD800</v>
      </c>
      <c r="C690" s="164"/>
      <c r="D690" s="173"/>
      <c r="E690" s="173"/>
      <c r="F690" s="173"/>
      <c r="G690" s="173">
        <f>'Products x speed'!I264</f>
        <v>0</v>
      </c>
      <c r="H690" s="173">
        <f>'Products x speed'!J264</f>
        <v>0</v>
      </c>
      <c r="I690" s="173">
        <f>'Products x speed'!K264</f>
        <v>0</v>
      </c>
      <c r="J690" s="173">
        <f>'Products x speed'!L264</f>
        <v>0</v>
      </c>
      <c r="K690" s="173">
        <f>'Products x speed'!M264</f>
        <v>0</v>
      </c>
      <c r="L690" s="173">
        <f>'Products x speed'!N264</f>
        <v>0</v>
      </c>
      <c r="M690" s="173">
        <f>'Products x speed'!O264</f>
        <v>0</v>
      </c>
      <c r="T690" s="545"/>
    </row>
    <row r="691" spans="2:20" s="293" customFormat="1" ht="15.6">
      <c r="B691" s="376" t="str">
        <f t="shared" si="196"/>
        <v>800G DR8, DR4_500 m_OSFP, QSFP-DD800</v>
      </c>
      <c r="C691" s="166"/>
      <c r="D691" s="175"/>
      <c r="E691" s="175"/>
      <c r="F691" s="175"/>
      <c r="G691" s="175">
        <f>'Products x speed'!I265</f>
        <v>0</v>
      </c>
      <c r="H691" s="175">
        <f>'Products x speed'!J265</f>
        <v>0</v>
      </c>
      <c r="I691" s="175">
        <f>'Products x speed'!K265</f>
        <v>0</v>
      </c>
      <c r="J691" s="175">
        <f>'Products x speed'!L265</f>
        <v>0</v>
      </c>
      <c r="K691" s="175">
        <f>'Products x speed'!M265</f>
        <v>0</v>
      </c>
      <c r="L691" s="175">
        <f>'Products x speed'!N265</f>
        <v>0</v>
      </c>
      <c r="M691" s="175">
        <f>'Products x speed'!O265</f>
        <v>0</v>
      </c>
      <c r="T691" s="545"/>
    </row>
    <row r="692" spans="2:20" s="293" customFormat="1" ht="15.6">
      <c r="B692" s="376" t="str">
        <f t="shared" si="196"/>
        <v>2x(400G FR4), 800G FR4_2 km_OSFP, QSFP-DD800</v>
      </c>
      <c r="C692" s="166"/>
      <c r="D692" s="175"/>
      <c r="E692" s="175"/>
      <c r="F692" s="175"/>
      <c r="G692" s="175">
        <f>'Products x speed'!I266</f>
        <v>0</v>
      </c>
      <c r="H692" s="175">
        <f>'Products x speed'!J266</f>
        <v>0</v>
      </c>
      <c r="I692" s="175">
        <f>'Products x speed'!K266</f>
        <v>0</v>
      </c>
      <c r="J692" s="175">
        <f>'Products x speed'!L266</f>
        <v>0</v>
      </c>
      <c r="K692" s="175">
        <f>'Products x speed'!M266</f>
        <v>0</v>
      </c>
      <c r="L692" s="175">
        <f>'Products x speed'!N266</f>
        <v>0</v>
      </c>
      <c r="M692" s="175">
        <f>'Products x speed'!O266</f>
        <v>0</v>
      </c>
      <c r="T692" s="546"/>
    </row>
    <row r="693" spans="2:20" s="293" customFormat="1" ht="15.6">
      <c r="B693" s="376" t="str">
        <f t="shared" si="196"/>
        <v>800G LR8, LR4_6, 10 km_TBD</v>
      </c>
      <c r="C693" s="166"/>
      <c r="D693" s="175"/>
      <c r="E693" s="175"/>
      <c r="F693" s="175"/>
      <c r="G693" s="175">
        <f>'Products x speed'!I267</f>
        <v>0</v>
      </c>
      <c r="H693" s="175">
        <f>'Products x speed'!J267</f>
        <v>0</v>
      </c>
      <c r="I693" s="175">
        <f>'Products x speed'!K267</f>
        <v>0</v>
      </c>
      <c r="J693" s="175">
        <f>'Products x speed'!L267</f>
        <v>0</v>
      </c>
      <c r="K693" s="175">
        <f>'Products x speed'!M267</f>
        <v>0</v>
      </c>
      <c r="L693" s="175">
        <f>'Products x speed'!N267</f>
        <v>0</v>
      </c>
      <c r="M693" s="175">
        <f>'Products x speed'!O267</f>
        <v>0</v>
      </c>
      <c r="T693" s="546"/>
    </row>
    <row r="694" spans="2:20" s="293" customFormat="1" ht="15.6">
      <c r="B694" s="376" t="str">
        <f t="shared" si="196"/>
        <v>800G ZRlite_10 km, 20 km_TBD</v>
      </c>
      <c r="C694" s="166"/>
      <c r="D694" s="175"/>
      <c r="E694" s="175"/>
      <c r="F694" s="175"/>
      <c r="G694" s="175">
        <f>'Products x speed'!I268</f>
        <v>0</v>
      </c>
      <c r="H694" s="175">
        <f>'Products x speed'!J268</f>
        <v>0</v>
      </c>
      <c r="I694" s="175">
        <f>'Products x speed'!K268</f>
        <v>0</v>
      </c>
      <c r="J694" s="175">
        <f>'Products x speed'!L268</f>
        <v>0</v>
      </c>
      <c r="K694" s="175">
        <f>'Products x speed'!M268</f>
        <v>0</v>
      </c>
      <c r="L694" s="175">
        <f>'Products x speed'!N268</f>
        <v>0</v>
      </c>
      <c r="M694" s="175">
        <f>'Products x speed'!O268</f>
        <v>0</v>
      </c>
      <c r="T694" s="546"/>
    </row>
    <row r="695" spans="2:20" s="293" customFormat="1" ht="15.6">
      <c r="B695" s="376" t="str">
        <f t="shared" si="196"/>
        <v>800G ER4_40 km_TBD</v>
      </c>
      <c r="C695" s="166"/>
      <c r="D695" s="175"/>
      <c r="E695" s="175"/>
      <c r="F695" s="175"/>
      <c r="G695" s="175">
        <f>'Products x speed'!I269</f>
        <v>0</v>
      </c>
      <c r="H695" s="175">
        <f>'Products x speed'!J269</f>
        <v>0</v>
      </c>
      <c r="I695" s="175">
        <f>'Products x speed'!K269</f>
        <v>0</v>
      </c>
      <c r="J695" s="175">
        <f>'Products x speed'!L269</f>
        <v>0</v>
      </c>
      <c r="K695" s="175">
        <f>'Products x speed'!M269</f>
        <v>0</v>
      </c>
      <c r="L695" s="175">
        <f>'Products x speed'!N269</f>
        <v>0</v>
      </c>
      <c r="M695" s="175">
        <f>'Products x speed'!O269</f>
        <v>0</v>
      </c>
      <c r="T695" s="546"/>
    </row>
    <row r="696" spans="2:20" s="293" customFormat="1">
      <c r="B696" s="383" t="str">
        <f>$B$621</f>
        <v>Total</v>
      </c>
      <c r="C696" s="169"/>
      <c r="D696" s="648">
        <f t="shared" ref="D696:M696" si="197">SUM(D690:D695)</f>
        <v>0</v>
      </c>
      <c r="E696" s="110">
        <f t="shared" si="197"/>
        <v>0</v>
      </c>
      <c r="F696" s="110">
        <f t="shared" si="197"/>
        <v>0</v>
      </c>
      <c r="G696" s="110">
        <f t="shared" si="197"/>
        <v>0</v>
      </c>
      <c r="H696" s="110">
        <f t="shared" si="197"/>
        <v>0</v>
      </c>
      <c r="I696" s="110">
        <f t="shared" si="197"/>
        <v>0</v>
      </c>
      <c r="J696" s="110">
        <f t="shared" si="197"/>
        <v>0</v>
      </c>
      <c r="K696" s="110">
        <f t="shared" si="197"/>
        <v>0</v>
      </c>
      <c r="L696" s="110">
        <f t="shared" si="197"/>
        <v>0</v>
      </c>
      <c r="M696" s="110">
        <f t="shared" si="197"/>
        <v>0</v>
      </c>
    </row>
    <row r="697" spans="2:20" s="293" customFormat="1"/>
    <row r="699" spans="2:20" ht="21">
      <c r="B699" s="153" t="s">
        <v>441</v>
      </c>
    </row>
    <row r="700" spans="2:20" ht="21">
      <c r="B700" s="302" t="s">
        <v>22</v>
      </c>
      <c r="G700" s="302" t="s">
        <v>21</v>
      </c>
      <c r="N700" s="302" t="s">
        <v>15</v>
      </c>
    </row>
    <row r="704" spans="2:20" ht="16.5" customHeight="1"/>
    <row r="721" spans="2:20" s="293" customFormat="1" ht="15.6">
      <c r="B721" s="644" t="s">
        <v>442</v>
      </c>
      <c r="C721" s="383">
        <v>2016</v>
      </c>
      <c r="D721" s="389">
        <v>2017</v>
      </c>
      <c r="E721" s="389">
        <v>2018</v>
      </c>
      <c r="F721" s="389">
        <v>2019</v>
      </c>
      <c r="G721" s="389">
        <v>2020</v>
      </c>
      <c r="H721" s="389">
        <v>2021</v>
      </c>
      <c r="I721" s="389">
        <v>2022</v>
      </c>
      <c r="J721" s="389">
        <v>2023</v>
      </c>
      <c r="K721" s="389">
        <v>2024</v>
      </c>
      <c r="L721" s="389">
        <v>2025</v>
      </c>
      <c r="M721" s="389">
        <v>2026</v>
      </c>
    </row>
    <row r="722" spans="2:20" s="293" customFormat="1" ht="15.6">
      <c r="B722" s="645" t="str">
        <f>'Products x speed'!P78</f>
        <v>1.6T SR16_100 m_OSFP-XD and TBD</v>
      </c>
      <c r="C722" s="164"/>
      <c r="D722" s="164"/>
      <c r="E722" s="164"/>
      <c r="F722" s="164"/>
      <c r="G722" s="164"/>
      <c r="H722" s="164"/>
      <c r="I722" s="164"/>
      <c r="J722" s="164"/>
      <c r="K722" s="164">
        <f>'Products x speed'!M78</f>
        <v>0</v>
      </c>
      <c r="L722" s="164">
        <f>'Products x speed'!N78</f>
        <v>0</v>
      </c>
      <c r="M722" s="164">
        <f>'Products x speed'!O78</f>
        <v>0</v>
      </c>
      <c r="T722" s="545"/>
    </row>
    <row r="723" spans="2:20" s="293" customFormat="1" ht="15.6">
      <c r="B723" s="376" t="str">
        <f>'Products x speed'!P79</f>
        <v>1.6T DR8_500 m_OSFP-XD and TBD</v>
      </c>
      <c r="C723" s="166"/>
      <c r="D723" s="166"/>
      <c r="E723" s="166"/>
      <c r="F723" s="166"/>
      <c r="G723" s="166"/>
      <c r="H723" s="166"/>
      <c r="I723" s="166"/>
      <c r="J723" s="166"/>
      <c r="K723" s="166">
        <f>'Products x speed'!M79</f>
        <v>0</v>
      </c>
      <c r="L723" s="166">
        <f>'Products x speed'!N79</f>
        <v>0</v>
      </c>
      <c r="M723" s="166">
        <f>'Products x speed'!O79</f>
        <v>0</v>
      </c>
      <c r="T723" s="545"/>
    </row>
    <row r="724" spans="2:20" s="293" customFormat="1" ht="15.6">
      <c r="B724" s="376" t="str">
        <f>'Products x speed'!P80</f>
        <v>1.6T FR8_2 km_OSFP-XD and TBD</v>
      </c>
      <c r="C724" s="166"/>
      <c r="D724" s="166"/>
      <c r="E724" s="166"/>
      <c r="F724" s="166"/>
      <c r="G724" s="166"/>
      <c r="H724" s="166"/>
      <c r="I724" s="166"/>
      <c r="J724" s="166"/>
      <c r="K724" s="166">
        <f>'Products x speed'!M80</f>
        <v>0</v>
      </c>
      <c r="L724" s="166">
        <f>'Products x speed'!N80</f>
        <v>0</v>
      </c>
      <c r="M724" s="166">
        <f>'Products x speed'!O80</f>
        <v>0</v>
      </c>
      <c r="T724" s="546"/>
    </row>
    <row r="725" spans="2:20" s="293" customFormat="1">
      <c r="B725" s="383" t="s">
        <v>13</v>
      </c>
      <c r="C725" s="169"/>
      <c r="D725" s="170">
        <f t="shared" ref="D725:M725" si="198">SUM(D722:D724)</f>
        <v>0</v>
      </c>
      <c r="E725" s="170">
        <f t="shared" si="198"/>
        <v>0</v>
      </c>
      <c r="F725" s="170">
        <f t="shared" si="198"/>
        <v>0</v>
      </c>
      <c r="G725" s="170">
        <f t="shared" si="198"/>
        <v>0</v>
      </c>
      <c r="H725" s="170">
        <f t="shared" si="198"/>
        <v>0</v>
      </c>
      <c r="I725" s="170">
        <f t="shared" si="198"/>
        <v>0</v>
      </c>
      <c r="J725" s="170">
        <f t="shared" si="198"/>
        <v>0</v>
      </c>
      <c r="K725" s="170">
        <f t="shared" si="198"/>
        <v>0</v>
      </c>
      <c r="L725" s="170">
        <f t="shared" si="198"/>
        <v>0</v>
      </c>
      <c r="M725" s="170">
        <f t="shared" si="198"/>
        <v>0</v>
      </c>
    </row>
    <row r="726" spans="2:20" s="293" customFormat="1">
      <c r="C726" s="295"/>
      <c r="D726" s="295"/>
      <c r="E726" s="295"/>
      <c r="F726" s="646" t="s">
        <v>86</v>
      </c>
      <c r="G726" s="295"/>
      <c r="H726" s="295"/>
      <c r="I726" s="295"/>
      <c r="J726" s="295"/>
      <c r="K726" s="295"/>
      <c r="L726" s="295" t="e">
        <f t="shared" ref="L726" si="199">L725/K725-1</f>
        <v>#DIV/0!</v>
      </c>
      <c r="M726" s="295" t="e">
        <f t="shared" ref="M726" si="200">M725/L725-1</f>
        <v>#DIV/0!</v>
      </c>
    </row>
    <row r="727" spans="2:20" s="293" customFormat="1"/>
    <row r="728" spans="2:20" s="293" customFormat="1" ht="15.6">
      <c r="B728" s="644" t="s">
        <v>443</v>
      </c>
      <c r="C728" s="383">
        <v>2016</v>
      </c>
      <c r="D728" s="389">
        <v>2017</v>
      </c>
      <c r="E728" s="389">
        <v>2018</v>
      </c>
      <c r="F728" s="389">
        <v>2019</v>
      </c>
      <c r="G728" s="389">
        <v>2020</v>
      </c>
      <c r="H728" s="389">
        <v>2021</v>
      </c>
      <c r="I728" s="389">
        <v>2022</v>
      </c>
      <c r="J728" s="389">
        <v>2023</v>
      </c>
      <c r="K728" s="389">
        <v>2024</v>
      </c>
      <c r="L728" s="389">
        <v>2025</v>
      </c>
      <c r="M728" s="389">
        <v>2026</v>
      </c>
    </row>
    <row r="729" spans="2:20" s="293" customFormat="1">
      <c r="B729" s="647" t="str">
        <f>B722</f>
        <v>1.6T SR16_100 m_OSFP-XD and TBD</v>
      </c>
      <c r="C729" s="164"/>
      <c r="D729" s="173"/>
      <c r="E729" s="173"/>
      <c r="F729" s="173"/>
      <c r="G729" s="173"/>
      <c r="H729" s="173"/>
      <c r="I729" s="173"/>
      <c r="J729" s="173"/>
      <c r="K729" s="173" t="str">
        <f t="shared" ref="K729:M732" si="201">IF(K722=0,"",(K736*10^6)/K722)</f>
        <v/>
      </c>
      <c r="L729" s="173" t="str">
        <f t="shared" si="201"/>
        <v/>
      </c>
      <c r="M729" s="173" t="str">
        <f t="shared" si="201"/>
        <v/>
      </c>
    </row>
    <row r="730" spans="2:20" s="293" customFormat="1">
      <c r="B730" s="376" t="str">
        <f>B723</f>
        <v>1.6T DR8_500 m_OSFP-XD and TBD</v>
      </c>
      <c r="C730" s="166"/>
      <c r="D730" s="175"/>
      <c r="E730" s="175"/>
      <c r="F730" s="175"/>
      <c r="G730" s="175"/>
      <c r="H730" s="175"/>
      <c r="I730" s="175"/>
      <c r="J730" s="175"/>
      <c r="K730" s="175" t="str">
        <f t="shared" si="201"/>
        <v/>
      </c>
      <c r="L730" s="175" t="str">
        <f t="shared" si="201"/>
        <v/>
      </c>
      <c r="M730" s="175" t="str">
        <f t="shared" si="201"/>
        <v/>
      </c>
    </row>
    <row r="731" spans="2:20" s="293" customFormat="1">
      <c r="B731" s="376" t="str">
        <f>B724</f>
        <v>1.6T FR8_2 km_OSFP-XD and TBD</v>
      </c>
      <c r="C731" s="166"/>
      <c r="D731" s="175"/>
      <c r="E731" s="175"/>
      <c r="F731" s="175"/>
      <c r="G731" s="175"/>
      <c r="H731" s="175"/>
      <c r="I731" s="175"/>
      <c r="J731" s="175"/>
      <c r="K731" s="175" t="str">
        <f t="shared" si="201"/>
        <v/>
      </c>
      <c r="L731" s="175" t="str">
        <f t="shared" si="201"/>
        <v/>
      </c>
      <c r="M731" s="175" t="str">
        <f t="shared" si="201"/>
        <v/>
      </c>
    </row>
    <row r="732" spans="2:20" s="293" customFormat="1">
      <c r="B732" s="383" t="str">
        <f>$B$621</f>
        <v>Total</v>
      </c>
      <c r="C732" s="169"/>
      <c r="D732" s="110" t="str">
        <f>IF(D725=0,"",(D739*10^6)/D725)</f>
        <v/>
      </c>
      <c r="E732" s="110" t="str">
        <f>IF(E725=0,"",(E739*10^6)/E725)</f>
        <v/>
      </c>
      <c r="F732" s="110" t="str">
        <f>IF(F725=0,"",(F739*10^6)/F725)</f>
        <v/>
      </c>
      <c r="G732" s="110" t="str">
        <f>IF(G725=0,"",(G739*10^6)/G725)</f>
        <v/>
      </c>
      <c r="H732" s="110"/>
      <c r="I732" s="110"/>
      <c r="J732" s="110"/>
      <c r="K732" s="110" t="str">
        <f t="shared" si="201"/>
        <v/>
      </c>
      <c r="L732" s="110" t="str">
        <f t="shared" si="201"/>
        <v/>
      </c>
      <c r="M732" s="110" t="str">
        <f t="shared" si="201"/>
        <v/>
      </c>
    </row>
    <row r="733" spans="2:20" s="293" customFormat="1">
      <c r="C733" s="295"/>
      <c r="D733" s="295"/>
      <c r="E733" s="295"/>
      <c r="F733" s="646" t="s">
        <v>86</v>
      </c>
      <c r="G733" s="295"/>
      <c r="H733" s="295"/>
      <c r="I733" s="295"/>
      <c r="J733" s="295"/>
      <c r="K733" s="295"/>
      <c r="L733" s="295" t="e">
        <f t="shared" ref="L733" si="202">L732/K732-1</f>
        <v>#VALUE!</v>
      </c>
      <c r="M733" s="295" t="e">
        <f t="shared" ref="M733" si="203">M732/L732-1</f>
        <v>#VALUE!</v>
      </c>
    </row>
    <row r="734" spans="2:20" s="293" customFormat="1"/>
    <row r="735" spans="2:20" s="293" customFormat="1" ht="15.6">
      <c r="B735" s="644" t="s">
        <v>444</v>
      </c>
      <c r="C735" s="383">
        <v>2016</v>
      </c>
      <c r="D735" s="389">
        <v>2017</v>
      </c>
      <c r="E735" s="389">
        <v>2018</v>
      </c>
      <c r="F735" s="389">
        <v>2019</v>
      </c>
      <c r="G735" s="389">
        <v>2020</v>
      </c>
      <c r="H735" s="389">
        <v>2021</v>
      </c>
      <c r="I735" s="389">
        <v>2022</v>
      </c>
      <c r="J735" s="389">
        <v>2023</v>
      </c>
      <c r="K735" s="389">
        <v>2024</v>
      </c>
      <c r="L735" s="389">
        <v>2025</v>
      </c>
      <c r="M735" s="389">
        <v>2026</v>
      </c>
    </row>
    <row r="736" spans="2:20" s="293" customFormat="1" ht="15.6">
      <c r="B736" s="647" t="str">
        <f>B722</f>
        <v>1.6T SR16_100 m_OSFP-XD and TBD</v>
      </c>
      <c r="C736" s="164"/>
      <c r="D736" s="173"/>
      <c r="E736" s="173"/>
      <c r="F736" s="173"/>
      <c r="G736" s="173"/>
      <c r="H736" s="173"/>
      <c r="I736" s="173"/>
      <c r="J736" s="173"/>
      <c r="K736" s="173">
        <f>'Products x speed'!M270</f>
        <v>0</v>
      </c>
      <c r="L736" s="173">
        <f>'Products x speed'!N270</f>
        <v>0</v>
      </c>
      <c r="M736" s="173">
        <f>'Products x speed'!O270</f>
        <v>0</v>
      </c>
      <c r="T736" s="545"/>
    </row>
    <row r="737" spans="2:20" s="293" customFormat="1" ht="15.6">
      <c r="B737" s="376" t="str">
        <f>B723</f>
        <v>1.6T DR8_500 m_OSFP-XD and TBD</v>
      </c>
      <c r="C737" s="166"/>
      <c r="D737" s="175"/>
      <c r="E737" s="175"/>
      <c r="F737" s="175"/>
      <c r="G737" s="175"/>
      <c r="H737" s="175"/>
      <c r="I737" s="175"/>
      <c r="J737" s="175"/>
      <c r="K737" s="175">
        <f>'Products x speed'!M271</f>
        <v>0</v>
      </c>
      <c r="L737" s="175">
        <f>'Products x speed'!N271</f>
        <v>0</v>
      </c>
      <c r="M737" s="175">
        <f>'Products x speed'!O271</f>
        <v>0</v>
      </c>
      <c r="T737" s="545"/>
    </row>
    <row r="738" spans="2:20" s="293" customFormat="1" ht="15.6">
      <c r="B738" s="376" t="str">
        <f>B724</f>
        <v>1.6T FR8_2 km_OSFP-XD and TBD</v>
      </c>
      <c r="C738" s="166"/>
      <c r="D738" s="175"/>
      <c r="E738" s="175"/>
      <c r="F738" s="175"/>
      <c r="G738" s="175"/>
      <c r="H738" s="175"/>
      <c r="I738" s="175"/>
      <c r="J738" s="175"/>
      <c r="K738" s="175">
        <f>'Products x speed'!M272</f>
        <v>0</v>
      </c>
      <c r="L738" s="175">
        <f>'Products x speed'!N272</f>
        <v>0</v>
      </c>
      <c r="M738" s="175">
        <f>'Products x speed'!O272</f>
        <v>0</v>
      </c>
      <c r="T738" s="546"/>
    </row>
    <row r="739" spans="2:20" s="293" customFormat="1">
      <c r="B739" s="383" t="str">
        <f>$B$621</f>
        <v>Total</v>
      </c>
      <c r="C739" s="169"/>
      <c r="D739" s="648">
        <f>SUM(D736:D738)</f>
        <v>0</v>
      </c>
      <c r="E739" s="110">
        <f>SUM(E736:E738)</f>
        <v>0</v>
      </c>
      <c r="F739" s="110">
        <f>SUM(F736:F738)</f>
        <v>0</v>
      </c>
      <c r="G739" s="110"/>
      <c r="H739" s="110"/>
      <c r="I739" s="110"/>
      <c r="J739" s="110"/>
      <c r="K739" s="110">
        <f>SUM(K736:K738)</f>
        <v>0</v>
      </c>
      <c r="L739" s="110">
        <f>SUM(L736:L738)</f>
        <v>0</v>
      </c>
      <c r="M739" s="110">
        <f>SUM(M736:M738)</f>
        <v>0</v>
      </c>
    </row>
    <row r="740" spans="2:20">
      <c r="C740" s="274"/>
      <c r="D740" s="274"/>
      <c r="E740" s="274"/>
      <c r="F740" s="327" t="s">
        <v>86</v>
      </c>
      <c r="G740" s="274"/>
      <c r="H740" s="274"/>
      <c r="I740" s="274"/>
      <c r="J740" s="274"/>
      <c r="K740" s="274"/>
      <c r="L740" s="274" t="e">
        <f>L696/K696-1</f>
        <v>#DIV/0!</v>
      </c>
      <c r="M740" s="274" t="e">
        <f>M696/L696-1</f>
        <v>#DIV/0!</v>
      </c>
    </row>
    <row r="741" spans="2:20">
      <c r="C741" s="274"/>
      <c r="D741" s="274"/>
      <c r="E741" s="274"/>
      <c r="F741" s="327"/>
      <c r="G741" s="274"/>
      <c r="H741" s="274"/>
      <c r="I741" s="274"/>
      <c r="J741" s="274"/>
      <c r="K741" s="274"/>
      <c r="L741" s="274"/>
      <c r="M741" s="274"/>
    </row>
    <row r="742" spans="2:20">
      <c r="C742" s="274"/>
      <c r="D742" s="274"/>
      <c r="E742" s="274"/>
      <c r="F742" s="327"/>
      <c r="G742" s="274"/>
      <c r="H742" s="274"/>
      <c r="I742" s="274"/>
      <c r="J742" s="274"/>
      <c r="K742" s="274"/>
      <c r="L742" s="274"/>
      <c r="M742" s="274"/>
    </row>
    <row r="743" spans="2:20">
      <c r="C743" s="274"/>
      <c r="D743" s="274"/>
      <c r="E743" s="274"/>
      <c r="F743" s="327"/>
      <c r="G743" s="274"/>
      <c r="H743" s="274"/>
      <c r="I743" s="274"/>
      <c r="J743" s="274"/>
      <c r="K743" s="274"/>
      <c r="L743" s="274"/>
      <c r="M743" s="274"/>
    </row>
    <row r="744" spans="2:20">
      <c r="C744" s="274"/>
      <c r="D744" s="274"/>
      <c r="E744" s="274"/>
      <c r="F744" s="327"/>
      <c r="G744" s="274"/>
      <c r="H744" s="274"/>
      <c r="I744" s="274"/>
      <c r="J744" s="274"/>
      <c r="K744" s="274"/>
      <c r="L744" s="274"/>
      <c r="M744" s="274"/>
    </row>
    <row r="745" spans="2:20">
      <c r="C745" s="274"/>
      <c r="D745" s="274"/>
      <c r="E745" s="274"/>
      <c r="F745" s="327"/>
      <c r="G745" s="274"/>
      <c r="H745" s="274"/>
      <c r="I745" s="274"/>
      <c r="J745" s="274"/>
      <c r="K745" s="274"/>
      <c r="L745" s="274"/>
      <c r="M745" s="274"/>
    </row>
    <row r="747" spans="2:20" ht="21">
      <c r="B747" s="153" t="s">
        <v>362</v>
      </c>
      <c r="C747" s="528">
        <v>2016</v>
      </c>
      <c r="D747" s="528">
        <v>2017</v>
      </c>
      <c r="E747" s="528">
        <v>2018</v>
      </c>
      <c r="F747" s="528">
        <v>2019</v>
      </c>
      <c r="G747" s="528">
        <v>2020</v>
      </c>
      <c r="H747" s="528">
        <v>2021</v>
      </c>
      <c r="I747" s="528">
        <v>2022</v>
      </c>
      <c r="J747" s="528">
        <v>2023</v>
      </c>
      <c r="K747" s="528">
        <v>2024</v>
      </c>
      <c r="L747" s="528">
        <v>2025</v>
      </c>
      <c r="M747" s="528">
        <v>2026</v>
      </c>
    </row>
    <row r="748" spans="2:20">
      <c r="B748" s="273" t="s">
        <v>70</v>
      </c>
      <c r="C748" s="500">
        <f t="shared" ref="C748:M748" si="204">C282</f>
        <v>13000883.93</v>
      </c>
      <c r="D748" s="500">
        <f t="shared" si="204"/>
        <v>14702610</v>
      </c>
      <c r="E748" s="500">
        <f t="shared" si="204"/>
        <v>0</v>
      </c>
      <c r="F748" s="500">
        <f t="shared" si="204"/>
        <v>0</v>
      </c>
      <c r="G748" s="500">
        <f t="shared" si="204"/>
        <v>0</v>
      </c>
      <c r="H748" s="500">
        <f t="shared" si="204"/>
        <v>0</v>
      </c>
      <c r="I748" s="500">
        <f t="shared" si="204"/>
        <v>0</v>
      </c>
      <c r="J748" s="500">
        <f t="shared" si="204"/>
        <v>0</v>
      </c>
      <c r="K748" s="500">
        <f t="shared" si="204"/>
        <v>0</v>
      </c>
      <c r="L748" s="500">
        <f t="shared" si="204"/>
        <v>0</v>
      </c>
      <c r="M748" s="500">
        <f t="shared" si="204"/>
        <v>0</v>
      </c>
    </row>
    <row r="749" spans="2:20">
      <c r="B749" s="273" t="s">
        <v>342</v>
      </c>
      <c r="C749" s="296">
        <f>SUM('Products x speed'!E17:E18)</f>
        <v>6522271</v>
      </c>
      <c r="D749" s="296">
        <f>SUM('Products x speed'!F17:F18)</f>
        <v>6815238</v>
      </c>
      <c r="E749" s="296">
        <f>SUM('Products x speed'!G17:G18)</f>
        <v>0</v>
      </c>
      <c r="F749" s="296">
        <f>SUM('Products x speed'!H17:H18)</f>
        <v>0</v>
      </c>
      <c r="G749" s="296">
        <f>SUM('Products x speed'!I17:I18)</f>
        <v>0</v>
      </c>
      <c r="H749" s="296">
        <f>SUM('Products x speed'!J17:J18)</f>
        <v>0</v>
      </c>
      <c r="I749" s="296">
        <f>SUM('Products x speed'!K17:K18)</f>
        <v>0</v>
      </c>
      <c r="J749" s="296">
        <f>SUM('Products x speed'!L17:L18)</f>
        <v>0</v>
      </c>
      <c r="K749" s="296">
        <f>SUM('Products x speed'!M17:M18)</f>
        <v>0</v>
      </c>
      <c r="L749" s="296">
        <f>SUM('Products x speed'!N17:N18)</f>
        <v>0</v>
      </c>
      <c r="M749" s="296">
        <f>SUM('Products x speed'!O17:O18)</f>
        <v>0</v>
      </c>
    </row>
    <row r="750" spans="2:20">
      <c r="B750" s="273" t="s">
        <v>363</v>
      </c>
      <c r="C750" s="296">
        <f>SUM('Products x speed'!E19:E22)</f>
        <v>523162</v>
      </c>
      <c r="D750" s="296">
        <f>SUM('Products x speed'!F19:F22)</f>
        <v>438040.1</v>
      </c>
      <c r="E750" s="296">
        <f>SUM('Products x speed'!G19:G22)</f>
        <v>0</v>
      </c>
      <c r="F750" s="296">
        <f>SUM('Products x speed'!H19:H22)</f>
        <v>0</v>
      </c>
      <c r="G750" s="296">
        <f>SUM('Products x speed'!I19:I22)</f>
        <v>0</v>
      </c>
      <c r="H750" s="296">
        <f>SUM('Products x speed'!J19:J22)</f>
        <v>0</v>
      </c>
      <c r="I750" s="296">
        <f>SUM('Products x speed'!K19:K22)</f>
        <v>0</v>
      </c>
      <c r="J750" s="296">
        <f>SUM('Products x speed'!L19:L22)</f>
        <v>0</v>
      </c>
      <c r="K750" s="296">
        <f>SUM('Products x speed'!M19:M22)</f>
        <v>0</v>
      </c>
      <c r="L750" s="296">
        <f>SUM('Products x speed'!N19:N22)</f>
        <v>0</v>
      </c>
      <c r="M750" s="296">
        <f>SUM('Products x speed'!O19:O22)</f>
        <v>0</v>
      </c>
    </row>
    <row r="751" spans="2:20">
      <c r="B751" s="273" t="s">
        <v>365</v>
      </c>
      <c r="C751" s="296">
        <f>SUM('Products x speed'!E19:E20)</f>
        <v>410538.25</v>
      </c>
      <c r="D751" s="296">
        <f>SUM('Products x speed'!F19:F20)</f>
        <v>365552.6</v>
      </c>
      <c r="E751" s="296">
        <f>SUM('Products x speed'!G19:G20)</f>
        <v>0</v>
      </c>
      <c r="F751" s="296">
        <f>SUM('Products x speed'!H19:H20)</f>
        <v>0</v>
      </c>
      <c r="G751" s="296">
        <f>SUM('Products x speed'!I19:I20)</f>
        <v>0</v>
      </c>
      <c r="H751" s="296">
        <f>SUM('Products x speed'!J19:J20)</f>
        <v>0</v>
      </c>
      <c r="I751" s="296">
        <f>SUM('Products x speed'!K19:K20)</f>
        <v>0</v>
      </c>
      <c r="J751" s="296">
        <f>SUM('Products x speed'!L19:L20)</f>
        <v>0</v>
      </c>
      <c r="K751" s="296">
        <f>SUM('Products x speed'!M19:M20)</f>
        <v>0</v>
      </c>
      <c r="L751" s="296">
        <f>SUM('Products x speed'!N19:N20)</f>
        <v>0</v>
      </c>
      <c r="M751" s="296">
        <f>SUM('Products x speed'!O19:O20)</f>
        <v>0</v>
      </c>
    </row>
    <row r="752" spans="2:20">
      <c r="B752" s="273" t="s">
        <v>366</v>
      </c>
      <c r="C752" s="296">
        <f>C750-C751</f>
        <v>112623.75</v>
      </c>
      <c r="D752" s="296">
        <f t="shared" ref="D752:G752" si="205">D750-D751</f>
        <v>72487.5</v>
      </c>
      <c r="E752" s="296">
        <f t="shared" si="205"/>
        <v>0</v>
      </c>
      <c r="F752" s="296">
        <f t="shared" si="205"/>
        <v>0</v>
      </c>
      <c r="G752" s="296">
        <f t="shared" si="205"/>
        <v>0</v>
      </c>
      <c r="H752" s="296">
        <f t="shared" ref="H752" si="206">H750-H751</f>
        <v>0</v>
      </c>
      <c r="I752" s="296">
        <f t="shared" ref="I752" si="207">I750-I751</f>
        <v>0</v>
      </c>
      <c r="J752" s="296">
        <f t="shared" ref="J752:K752" si="208">J750-J751</f>
        <v>0</v>
      </c>
      <c r="K752" s="296">
        <f t="shared" si="208"/>
        <v>0</v>
      </c>
      <c r="L752" s="296">
        <f t="shared" ref="L752" si="209">L750-L751</f>
        <v>0</v>
      </c>
      <c r="M752" s="296">
        <f t="shared" ref="M752" si="210">M750-M751</f>
        <v>0</v>
      </c>
    </row>
    <row r="754" spans="2:13" ht="21">
      <c r="B754" s="153" t="s">
        <v>367</v>
      </c>
    </row>
    <row r="755" spans="2:13">
      <c r="B755" s="273" t="s">
        <v>146</v>
      </c>
      <c r="C755" s="500">
        <f t="shared" ref="C755:M755" si="211">SUM(C376:C380)</f>
        <v>299241</v>
      </c>
      <c r="D755" s="500">
        <f t="shared" si="211"/>
        <v>631974</v>
      </c>
      <c r="E755" s="500">
        <f t="shared" si="211"/>
        <v>0</v>
      </c>
      <c r="F755" s="500">
        <f t="shared" si="211"/>
        <v>0</v>
      </c>
      <c r="G755" s="500">
        <f t="shared" si="211"/>
        <v>0</v>
      </c>
      <c r="H755" s="500">
        <f t="shared" si="211"/>
        <v>0</v>
      </c>
      <c r="I755" s="500">
        <f t="shared" si="211"/>
        <v>0</v>
      </c>
      <c r="J755" s="500">
        <f t="shared" si="211"/>
        <v>0</v>
      </c>
      <c r="K755" s="500">
        <f t="shared" si="211"/>
        <v>0</v>
      </c>
      <c r="L755" s="500">
        <f t="shared" si="211"/>
        <v>0</v>
      </c>
      <c r="M755" s="500">
        <f t="shared" si="211"/>
        <v>0</v>
      </c>
    </row>
    <row r="756" spans="2:13">
      <c r="B756" s="273" t="s">
        <v>364</v>
      </c>
      <c r="C756" s="500">
        <f>SUM(C461:C465)</f>
        <v>292622</v>
      </c>
      <c r="D756" s="500">
        <f t="shared" ref="D756:M756" si="212">SUM(D461:D464)</f>
        <v>552903</v>
      </c>
      <c r="E756" s="500">
        <f t="shared" si="212"/>
        <v>0</v>
      </c>
      <c r="F756" s="500">
        <f t="shared" si="212"/>
        <v>0</v>
      </c>
      <c r="G756" s="500">
        <f t="shared" si="212"/>
        <v>0</v>
      </c>
      <c r="H756" s="500">
        <f t="shared" si="212"/>
        <v>0</v>
      </c>
      <c r="I756" s="500">
        <f t="shared" si="212"/>
        <v>0</v>
      </c>
      <c r="J756" s="500">
        <f t="shared" si="212"/>
        <v>0</v>
      </c>
      <c r="K756" s="500">
        <f t="shared" si="212"/>
        <v>0</v>
      </c>
      <c r="L756" s="500">
        <f t="shared" si="212"/>
        <v>0</v>
      </c>
      <c r="M756" s="500">
        <f t="shared" si="212"/>
        <v>0</v>
      </c>
    </row>
    <row r="757" spans="2:13">
      <c r="B757" s="273" t="s">
        <v>370</v>
      </c>
      <c r="C757" s="500">
        <f>C758+C759</f>
        <v>0</v>
      </c>
      <c r="D757" s="500">
        <f t="shared" ref="D757:L757" si="213">D758+D759</f>
        <v>0</v>
      </c>
      <c r="E757" s="500">
        <f t="shared" si="213"/>
        <v>0</v>
      </c>
      <c r="F757" s="500">
        <f t="shared" si="213"/>
        <v>0</v>
      </c>
      <c r="G757" s="500">
        <f t="shared" si="213"/>
        <v>0</v>
      </c>
      <c r="H757" s="500">
        <f t="shared" si="213"/>
        <v>0</v>
      </c>
      <c r="I757" s="500">
        <f t="shared" si="213"/>
        <v>0</v>
      </c>
      <c r="J757" s="500">
        <f t="shared" si="213"/>
        <v>0</v>
      </c>
      <c r="K757" s="500">
        <f t="shared" si="213"/>
        <v>0</v>
      </c>
      <c r="L757" s="500">
        <f t="shared" si="213"/>
        <v>0</v>
      </c>
      <c r="M757" s="500">
        <f t="shared" ref="M757" si="214">M758+M759</f>
        <v>0</v>
      </c>
    </row>
    <row r="758" spans="2:13">
      <c r="B758" s="273" t="s">
        <v>369</v>
      </c>
      <c r="C758" s="500">
        <f t="shared" ref="C758:L758" si="215">C468</f>
        <v>0</v>
      </c>
      <c r="D758" s="500">
        <f t="shared" si="215"/>
        <v>0</v>
      </c>
      <c r="E758" s="500">
        <f t="shared" si="215"/>
        <v>0</v>
      </c>
      <c r="F758" s="500">
        <f t="shared" si="215"/>
        <v>0</v>
      </c>
      <c r="G758" s="500">
        <f t="shared" si="215"/>
        <v>0</v>
      </c>
      <c r="H758" s="500">
        <f t="shared" si="215"/>
        <v>0</v>
      </c>
      <c r="I758" s="500">
        <f t="shared" si="215"/>
        <v>0</v>
      </c>
      <c r="J758" s="500">
        <f t="shared" si="215"/>
        <v>0</v>
      </c>
      <c r="K758" s="500">
        <f t="shared" si="215"/>
        <v>0</v>
      </c>
      <c r="L758" s="500">
        <f t="shared" si="215"/>
        <v>0</v>
      </c>
      <c r="M758" s="500">
        <f t="shared" ref="M758" si="216">M468</f>
        <v>0</v>
      </c>
    </row>
    <row r="759" spans="2:13">
      <c r="B759" s="273" t="s">
        <v>368</v>
      </c>
      <c r="H759" s="116"/>
      <c r="I759" s="116"/>
      <c r="J759" s="116"/>
      <c r="K759" s="116"/>
      <c r="L759" s="116"/>
      <c r="M759" s="116"/>
    </row>
    <row r="762" spans="2:13">
      <c r="H762" s="617"/>
      <c r="I762" s="617"/>
      <c r="J762" s="617"/>
      <c r="K762" s="617"/>
      <c r="L762" s="617"/>
      <c r="M762" s="617"/>
    </row>
    <row r="763" spans="2:13">
      <c r="H763" s="617"/>
      <c r="I763" s="617"/>
      <c r="J763" s="617"/>
      <c r="K763" s="617"/>
      <c r="L763" s="617"/>
      <c r="M763" s="617"/>
    </row>
    <row r="764" spans="2:13">
      <c r="H764" s="617"/>
      <c r="I764" s="617"/>
      <c r="J764" s="617"/>
      <c r="K764" s="617"/>
      <c r="L764" s="617"/>
      <c r="M764" s="617"/>
    </row>
  </sheetData>
  <conditionalFormatting sqref="T473 T575">
    <cfRule type="expression" dxfId="26" priority="35">
      <formula>ROUND(T472-T473,-2)&lt;&gt;0</formula>
    </cfRule>
  </conditionalFormatting>
  <conditionalFormatting sqref="T284">
    <cfRule type="expression" dxfId="25" priority="27">
      <formula>ROUND(T283-T284,-2)&lt;&gt;0</formula>
    </cfRule>
  </conditionalFormatting>
  <conditionalFormatting sqref="T213">
    <cfRule type="expression" dxfId="24" priority="26">
      <formula>ROUND(T212-T213,-2)&lt;&gt;0</formula>
    </cfRule>
  </conditionalFormatting>
  <conditionalFormatting sqref="T141">
    <cfRule type="expression" dxfId="23" priority="25">
      <formula>ROUND(T140-T141,-2)&lt;&gt;0</formula>
    </cfRule>
  </conditionalFormatting>
  <conditionalFormatting sqref="T121">
    <cfRule type="expression" dxfId="22" priority="24">
      <formula>ROUND(T120-T121,-2)&lt;&gt;0</formula>
    </cfRule>
  </conditionalFormatting>
  <conditionalFormatting sqref="T339">
    <cfRule type="expression" dxfId="21" priority="21">
      <formula>ROUND(T338-T339,-2)&lt;&gt;0</formula>
    </cfRule>
  </conditionalFormatting>
  <conditionalFormatting sqref="T616">
    <cfRule type="expression" dxfId="20" priority="19">
      <formula>ROUND(T615-T616,-2)&lt;&gt;0</formula>
    </cfRule>
  </conditionalFormatting>
  <conditionalFormatting sqref="T393">
    <cfRule type="expression" dxfId="19" priority="9">
      <formula>ROUND(T392-T393,-2)&lt;&gt;0</formula>
    </cfRule>
  </conditionalFormatting>
  <conditionalFormatting sqref="T377">
    <cfRule type="expression" dxfId="18" priority="11">
      <formula>ROUND(T376-T377,-2)&lt;&gt;0</formula>
    </cfRule>
  </conditionalFormatting>
  <conditionalFormatting sqref="T584">
    <cfRule type="expression" dxfId="17" priority="7">
      <formula>ROUND(T585-T584,-2)&lt;&gt;0</formula>
    </cfRule>
  </conditionalFormatting>
  <conditionalFormatting sqref="T638">
    <cfRule type="expression" dxfId="16" priority="5">
      <formula>ROUND(T637-T638,-2)&lt;&gt;0</formula>
    </cfRule>
  </conditionalFormatting>
  <conditionalFormatting sqref="T476">
    <cfRule type="expression" dxfId="15" priority="90">
      <formula>ROUND(#REF!-T476,-2)&lt;&gt;0</formula>
    </cfRule>
  </conditionalFormatting>
  <conditionalFormatting sqref="T490">
    <cfRule type="expression" dxfId="14" priority="91">
      <formula>ROUND(T489-T490,-2)&lt;&gt;0</formula>
    </cfRule>
  </conditionalFormatting>
  <conditionalFormatting sqref="T458">
    <cfRule type="expression" dxfId="13" priority="93">
      <formula>ROUND(T457-T458,-2)&lt;&gt;0</formula>
    </cfRule>
  </conditionalFormatting>
  <conditionalFormatting sqref="T671">
    <cfRule type="expression" dxfId="12" priority="4">
      <formula>ROUND(T670-T671,-2)&lt;&gt;0</formula>
    </cfRule>
  </conditionalFormatting>
  <conditionalFormatting sqref="T691">
    <cfRule type="expression" dxfId="11" priority="3">
      <formula>ROUND(T690-T691,-2)&lt;&gt;0</formula>
    </cfRule>
  </conditionalFormatting>
  <conditionalFormatting sqref="T723">
    <cfRule type="expression" dxfId="10" priority="2">
      <formula>ROUND(T722-T723,-2)&lt;&gt;0</formula>
    </cfRule>
  </conditionalFormatting>
  <conditionalFormatting sqref="T737">
    <cfRule type="expression" dxfId="9" priority="1">
      <formula>ROUND(T736-T737,-2)&lt;&gt;0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33"/>
  <sheetViews>
    <sheetView showGridLines="0" zoomScale="70" zoomScaleNormal="70" zoomScalePageLayoutView="70" workbookViewId="0"/>
  </sheetViews>
  <sheetFormatPr defaultColWidth="8.77734375" defaultRowHeight="13.8"/>
  <cols>
    <col min="1" max="1" width="4.44140625" style="30" customWidth="1"/>
    <col min="2" max="2" width="16.21875" style="30" customWidth="1"/>
    <col min="3" max="3" width="11.77734375" style="30" customWidth="1"/>
    <col min="4" max="4" width="11.44140625" style="30" customWidth="1"/>
    <col min="5" max="5" width="14.33203125" style="30" customWidth="1"/>
    <col min="6" max="13" width="13.44140625" style="30" customWidth="1"/>
    <col min="14" max="14" width="13.6640625" style="30" customWidth="1"/>
    <col min="15" max="15" width="11.44140625" style="30" customWidth="1"/>
    <col min="16" max="16384" width="8.77734375" style="30"/>
  </cols>
  <sheetData>
    <row r="2" spans="2:2" ht="17.399999999999999">
      <c r="B2" s="6" t="str">
        <f>Introduction!$B$2</f>
        <v>LightCounting Ethernet Transceivers Forecast</v>
      </c>
    </row>
    <row r="3" spans="2:2" ht="15.6">
      <c r="B3" s="37" t="str">
        <f>Introduction!$B$3</f>
        <v>September 2021 - Sample template for illustrative purposes only</v>
      </c>
    </row>
    <row r="4" spans="2:2" ht="17.399999999999999">
      <c r="B4" s="6" t="s">
        <v>28</v>
      </c>
    </row>
    <row r="25" spans="3:16">
      <c r="E25" s="31"/>
    </row>
    <row r="26" spans="3:16" ht="15.75" customHeight="1">
      <c r="E26" s="180"/>
    </row>
    <row r="27" spans="3:16" ht="25.8">
      <c r="E27" s="741" t="s">
        <v>134</v>
      </c>
      <c r="F27" s="742"/>
      <c r="G27" s="742"/>
      <c r="H27" s="743"/>
      <c r="I27" s="543" t="s">
        <v>340</v>
      </c>
    </row>
    <row r="28" spans="3:16" ht="21.75" customHeight="1">
      <c r="E28" s="738" t="s">
        <v>256</v>
      </c>
      <c r="F28" s="739"/>
      <c r="G28" s="739"/>
      <c r="H28" s="740"/>
      <c r="I28" s="543" t="s">
        <v>341</v>
      </c>
    </row>
    <row r="30" spans="3:16" ht="18">
      <c r="C30" s="35"/>
      <c r="D30" s="33"/>
      <c r="E30" s="33">
        <v>2016</v>
      </c>
      <c r="F30" s="33">
        <v>2017</v>
      </c>
      <c r="G30" s="33">
        <v>2018</v>
      </c>
      <c r="H30" s="33">
        <v>2019</v>
      </c>
      <c r="I30" s="33">
        <v>2020</v>
      </c>
      <c r="J30" s="33">
        <v>2021</v>
      </c>
      <c r="K30" s="33">
        <v>2022</v>
      </c>
      <c r="L30" s="33">
        <v>2023</v>
      </c>
      <c r="M30" s="33">
        <v>2024</v>
      </c>
      <c r="N30" s="33">
        <v>2025</v>
      </c>
      <c r="O30" s="33">
        <v>2026</v>
      </c>
    </row>
    <row r="31" spans="3:16" ht="18">
      <c r="C31" s="32"/>
      <c r="D31" s="34" t="s">
        <v>18</v>
      </c>
      <c r="E31" s="65">
        <f ca="1">INDEX((INDIRECT($P31)),MATCH($E$28,'Products x speed'!$P$9:$P$109,0),MATCH(E$30,$E$30:$N$30,0)+3)</f>
        <v>30525.800000000003</v>
      </c>
      <c r="F31" s="65">
        <f ca="1">INDEX((INDIRECT($P31)),MATCH($E$28,'Products x speed'!$P$9:$P$109,0),MATCH(F$30,$E$30:$N$30,0)+3)</f>
        <v>21446.800000000003</v>
      </c>
      <c r="G31" s="65">
        <f ca="1">INDEX((INDIRECT($P31)),MATCH($E$28,'Products x speed'!$P$9:$P$109,0),MATCH(G$30,$E$30:$N$30,0)+3)</f>
        <v>0</v>
      </c>
      <c r="H31" s="65">
        <f ca="1">INDEX((INDIRECT($P31)),MATCH($E$28,'Products x speed'!$P$9:$P$109,0),MATCH(H$30,$E$30:$O$30,0)+3)</f>
        <v>0</v>
      </c>
      <c r="I31" s="65">
        <f ca="1">INDEX((INDIRECT($P31)),MATCH($E$28,'Products x speed'!$P$9:$P$109,0),MATCH(I$30,$E$30:$O$30,0)+3)</f>
        <v>0</v>
      </c>
      <c r="J31" s="65">
        <f ca="1">INDEX((INDIRECT($P31)),MATCH($E$28,'Products x speed'!$P$9:$P$109,0),MATCH(J$30,$E$30:$O$30,0)+3)</f>
        <v>0</v>
      </c>
      <c r="K31" s="65">
        <f ca="1">INDEX((INDIRECT($P31)),MATCH($E$28,'Products x speed'!$P$9:$P$109,0),MATCH(K$30,$E$30:$O$30,0)+3)</f>
        <v>0</v>
      </c>
      <c r="L31" s="65">
        <f ca="1">INDEX((INDIRECT($P31)),MATCH($E$28,'Products x speed'!$P$9:$P$109,0),MATCH(L$30,$E$30:$O$30,0)+3)</f>
        <v>0</v>
      </c>
      <c r="M31" s="65">
        <f ca="1">INDEX((INDIRECT($P31)),MATCH($E$28,'Products x speed'!$P$9:$P$109,0),MATCH(M$30,$E$30:$O$30,0)+3)</f>
        <v>0</v>
      </c>
      <c r="N31" s="65">
        <f ca="1">INDEX((INDIRECT($P31)),MATCH($E$28,'Products x speed'!$P$9:$P$109,0),MATCH(N$30,$E$30:$O$30,0)+3)</f>
        <v>0</v>
      </c>
      <c r="O31" s="65">
        <f ca="1">INDEX((INDIRECT($P31)),MATCH($E$28,'Products x speed'!$P$9:$P$109,0),MATCH(O$30,$E$30:$O$30,0)+3)</f>
        <v>0</v>
      </c>
      <c r="P31" s="30" t="str">
        <f>IF(E27="Total","Volume",IF(E27="Telecom","VolTEL",IF(E27="Cloud","VolDCM","VolDCE")))</f>
        <v>VolDCM</v>
      </c>
    </row>
    <row r="32" spans="3:16" ht="18">
      <c r="C32" s="32"/>
      <c r="D32" s="34" t="s">
        <v>30</v>
      </c>
      <c r="E32" s="74">
        <f t="shared" ref="E32:M32" ca="1" si="0">IF(E31=0,"",E33*10^6/E31)</f>
        <v>202.96860771881492</v>
      </c>
      <c r="F32" s="74">
        <f t="shared" ca="1" si="0"/>
        <v>139.47449702400385</v>
      </c>
      <c r="G32" s="74" t="str">
        <f t="shared" ca="1" si="0"/>
        <v/>
      </c>
      <c r="H32" s="74" t="str">
        <f t="shared" ca="1" si="0"/>
        <v/>
      </c>
      <c r="I32" s="74" t="str">
        <f t="shared" ca="1" si="0"/>
        <v/>
      </c>
      <c r="J32" s="74" t="str">
        <f t="shared" ca="1" si="0"/>
        <v/>
      </c>
      <c r="K32" s="74" t="str">
        <f t="shared" ca="1" si="0"/>
        <v/>
      </c>
      <c r="L32" s="74" t="str">
        <f t="shared" ca="1" si="0"/>
        <v/>
      </c>
      <c r="M32" s="74" t="str">
        <f t="shared" ca="1" si="0"/>
        <v/>
      </c>
      <c r="N32" s="74" t="str">
        <f ca="1">IF(N31=0,"",N33*10^6/N31)</f>
        <v/>
      </c>
      <c r="O32" s="74" t="str">
        <f ca="1">IF(O31=0,"",O33*10^6/O31)</f>
        <v/>
      </c>
    </row>
    <row r="33" spans="3:16" ht="18">
      <c r="C33" s="32"/>
      <c r="D33" s="34" t="s">
        <v>29</v>
      </c>
      <c r="E33" s="74">
        <f ca="1">IF(E31=0,"",INDEX((INDIRECT($P33)),MATCH($E$28,'Products x speed'!$P$9:$P$109,0),MATCH(E$30,$E$30:$N$30,0)+3))</f>
        <v>6.1957791255030008</v>
      </c>
      <c r="F33" s="74">
        <f ca="1">IF(F31=0,"",INDEX((INDIRECT($P33)),MATCH($E$28,'Products x speed'!$P$9:$P$109,0),MATCH(F$30,$E$30:$N$30,0)+3))</f>
        <v>2.9912816427744064</v>
      </c>
      <c r="G33" s="74" t="str">
        <f ca="1">IF(G31=0,"",INDEX((INDIRECT($P33)),MATCH($E$28,'Products x speed'!$P$9:$P$109,0),MATCH(G$30,$E$30:$N$30,0)+3))</f>
        <v/>
      </c>
      <c r="H33" s="74" t="str">
        <f ca="1">IF(H31=0,"",INDEX((INDIRECT($P33)),MATCH($E$28,'Products x speed'!$P$9:$P$109,0),MATCH(H$30,$E$30:$O$30,0)+3))</f>
        <v/>
      </c>
      <c r="I33" s="74" t="str">
        <f ca="1">IF(I31=0,"",INDEX((INDIRECT($P33)),MATCH($E$28,'Products x speed'!$P$9:$P$109,0),MATCH(I$30,$E$30:$O$30,0)+3))</f>
        <v/>
      </c>
      <c r="J33" s="74" t="str">
        <f ca="1">IF(J31=0,"",INDEX((INDIRECT($P33)),MATCH($E$28,'Products x speed'!$P$9:$P$109,0),MATCH(J$30,$E$30:$O$30,0)+3))</f>
        <v/>
      </c>
      <c r="K33" s="74" t="str">
        <f ca="1">IF(K31=0,"",INDEX((INDIRECT($P33)),MATCH($E$28,'Products x speed'!$P$9:$P$109,0),MATCH(K$30,$E$30:$O$30,0)+3))</f>
        <v/>
      </c>
      <c r="L33" s="74" t="str">
        <f ca="1">IF(L31=0,"",INDEX((INDIRECT($P33)),MATCH($E$28,'Products x speed'!$P$9:$P$109,0),MATCH(L$30,$E$30:$O$30,0)+3))</f>
        <v/>
      </c>
      <c r="M33" s="74" t="str">
        <f ca="1">IF(M31=0,"",INDEX((INDIRECT($P33)),MATCH($E$28,'Products x speed'!$P$9:$P$109,0),MATCH(M$30,$E$30:$O$30,0)+3))</f>
        <v/>
      </c>
      <c r="N33" s="74" t="str">
        <f ca="1">IF(N31=0,"",INDEX((INDIRECT($P33)),MATCH($E$28,'Products x speed'!$P$9:$P$109,0),MATCH(N$30,$E$30:$O$30,0)+3))</f>
        <v/>
      </c>
      <c r="O33" s="74" t="str">
        <f ca="1">IF(O31=0,"",INDEX((INDIRECT($P33)),MATCH($E$28,'Products x speed'!$P$9:$P$109,0),MATCH(O$30,$E$30:$O$30,0)+3))</f>
        <v/>
      </c>
      <c r="P33" s="30" t="str">
        <f>IF(E27="Total","Revenue",IF(E27="Telecom","RevTEL",IF(E27="Cloud","RevDCM","RevDCE")))</f>
        <v>RevDCM</v>
      </c>
    </row>
  </sheetData>
  <mergeCells count="2">
    <mergeCell ref="E28:H28"/>
    <mergeCell ref="E27:H27"/>
  </mergeCells>
  <dataValidations count="1">
    <dataValidation type="list" allowBlank="1" showInputMessage="1" showErrorMessage="1" sqref="E27:H27" xr:uid="{00000000-0002-0000-0400-000000000000}">
      <formula1>"Total, Telecom, Cloud, Enterprise"</formula1>
    </dataValidation>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'Products x speed'!$P$9:$P$97</xm:f>
          </x14:formula1>
          <xm:sqref>E28:H28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U297"/>
  <sheetViews>
    <sheetView showGridLines="0" zoomScale="70" zoomScaleNormal="70" zoomScalePageLayoutView="70" workbookViewId="0">
      <pane xSplit="4" ySplit="6" topLeftCell="E7" activePane="bottomRight" state="frozen"/>
      <selection pane="topRight" activeCell="E1" sqref="E1"/>
      <selection pane="bottomLeft" activeCell="A7" sqref="A7"/>
      <selection pane="bottomRight"/>
    </sheetView>
  </sheetViews>
  <sheetFormatPr defaultColWidth="8.77734375" defaultRowHeight="13.8"/>
  <cols>
    <col min="1" max="1" width="4.44140625" style="82" customWidth="1"/>
    <col min="2" max="2" width="17.77734375" style="292" customWidth="1"/>
    <col min="3" max="3" width="12.44140625" style="292" customWidth="1"/>
    <col min="4" max="4" width="23.6640625" style="292" customWidth="1"/>
    <col min="5" max="6" width="13.44140625" style="292" customWidth="1"/>
    <col min="7" max="7" width="13.6640625" style="292" customWidth="1"/>
    <col min="8" max="8" width="12.77734375" style="292" customWidth="1"/>
    <col min="9" max="9" width="14.21875" style="292" customWidth="1"/>
    <col min="10" max="15" width="12" style="292" customWidth="1"/>
    <col min="16" max="16" width="15.21875" style="100" customWidth="1"/>
    <col min="17" max="17" width="12.21875" style="82" customWidth="1"/>
    <col min="18" max="18" width="10.77734375" style="82" bestFit="1" customWidth="1"/>
    <col min="19" max="19" width="10.21875" style="82" bestFit="1" customWidth="1"/>
    <col min="20" max="23" width="8.77734375" style="82"/>
    <col min="24" max="31" width="10.44140625" style="82" customWidth="1"/>
    <col min="32" max="16384" width="8.77734375" style="82"/>
  </cols>
  <sheetData>
    <row r="1" spans="2:21">
      <c r="D1" s="293"/>
      <c r="K1" s="440"/>
      <c r="L1" s="440"/>
      <c r="M1" s="440"/>
      <c r="N1" s="440"/>
      <c r="O1" s="440"/>
    </row>
    <row r="2" spans="2:21" ht="23.4">
      <c r="B2" s="702" t="str">
        <f>Introduction!$B$2</f>
        <v>LightCounting Ethernet Transceivers Forecast</v>
      </c>
      <c r="C2" s="411"/>
      <c r="D2" s="411"/>
      <c r="H2" s="703"/>
      <c r="I2" s="440"/>
      <c r="J2" s="440"/>
      <c r="K2" s="440"/>
      <c r="P2" s="100" t="s">
        <v>14</v>
      </c>
      <c r="T2" s="12"/>
      <c r="U2" s="12"/>
    </row>
    <row r="3" spans="2:21" ht="15.6">
      <c r="B3" s="439" t="str">
        <f>Introduction!B3</f>
        <v>September 2021 - Sample template for illustrative purposes only</v>
      </c>
      <c r="F3" s="704"/>
      <c r="G3" s="655"/>
      <c r="H3" s="620"/>
      <c r="I3" s="440"/>
      <c r="J3" s="440"/>
      <c r="K3" s="440"/>
    </row>
    <row r="4" spans="2:21" ht="18">
      <c r="B4" s="702" t="s">
        <v>87</v>
      </c>
      <c r="C4" s="411"/>
      <c r="D4" s="411"/>
      <c r="E4" s="705"/>
      <c r="F4" s="620"/>
      <c r="G4" s="375"/>
      <c r="H4" s="620"/>
      <c r="I4" s="440"/>
      <c r="J4" s="440"/>
      <c r="K4" s="440"/>
      <c r="P4" s="264"/>
    </row>
    <row r="5" spans="2:21" ht="14.4">
      <c r="B5" s="706"/>
      <c r="D5" s="293"/>
      <c r="E5" s="593"/>
      <c r="F5" s="593"/>
      <c r="G5" s="593"/>
      <c r="H5" s="593"/>
      <c r="I5" s="593"/>
      <c r="J5" s="593"/>
      <c r="K5" s="593"/>
      <c r="L5" s="593"/>
      <c r="M5" s="593"/>
      <c r="N5" s="593"/>
      <c r="O5" s="593"/>
      <c r="P5" s="700"/>
      <c r="Q5" s="244"/>
    </row>
    <row r="6" spans="2:21">
      <c r="B6" s="252" t="s">
        <v>32</v>
      </c>
      <c r="C6" s="253" t="s">
        <v>31</v>
      </c>
      <c r="D6" s="254" t="s">
        <v>33</v>
      </c>
      <c r="E6" s="441">
        <v>2016</v>
      </c>
      <c r="F6" s="441">
        <v>2017</v>
      </c>
      <c r="G6" s="441">
        <v>2018</v>
      </c>
      <c r="H6" s="441">
        <v>2019</v>
      </c>
      <c r="I6" s="441">
        <v>2020</v>
      </c>
      <c r="J6" s="441">
        <v>2021</v>
      </c>
      <c r="K6" s="441">
        <v>2022</v>
      </c>
      <c r="L6" s="441">
        <v>2023</v>
      </c>
      <c r="M6" s="441">
        <v>2024</v>
      </c>
      <c r="N6" s="441">
        <v>2025</v>
      </c>
      <c r="O6" s="441">
        <v>2026</v>
      </c>
    </row>
    <row r="7" spans="2:21" ht="21">
      <c r="B7" s="506" t="s">
        <v>123</v>
      </c>
      <c r="F7" s="707" t="s">
        <v>17</v>
      </c>
      <c r="H7" s="440">
        <f t="shared" ref="H7:N7" si="0">SUM(H36:H40)</f>
        <v>0</v>
      </c>
      <c r="I7" s="440">
        <f t="shared" si="0"/>
        <v>0</v>
      </c>
      <c r="J7" s="440">
        <f t="shared" si="0"/>
        <v>0</v>
      </c>
      <c r="K7" s="440">
        <f t="shared" si="0"/>
        <v>0</v>
      </c>
      <c r="L7" s="440">
        <f t="shared" si="0"/>
        <v>0</v>
      </c>
      <c r="M7" s="440">
        <f t="shared" si="0"/>
        <v>0</v>
      </c>
      <c r="N7" s="440">
        <f t="shared" si="0"/>
        <v>0</v>
      </c>
      <c r="O7" s="440">
        <f t="shared" ref="O7" si="1">SUM(O36:O40)</f>
        <v>0</v>
      </c>
    </row>
    <row r="8" spans="2:21">
      <c r="B8" s="85" t="s">
        <v>32</v>
      </c>
      <c r="C8" s="85" t="s">
        <v>31</v>
      </c>
      <c r="D8" s="85" t="s">
        <v>33</v>
      </c>
      <c r="E8" s="86">
        <v>2016</v>
      </c>
      <c r="F8" s="86">
        <v>2017</v>
      </c>
      <c r="G8" s="86">
        <v>2018</v>
      </c>
      <c r="H8" s="86">
        <v>2019</v>
      </c>
      <c r="I8" s="86">
        <v>2020</v>
      </c>
      <c r="J8" s="86">
        <v>2021</v>
      </c>
      <c r="K8" s="86">
        <v>2022</v>
      </c>
      <c r="L8" s="86">
        <v>2023</v>
      </c>
      <c r="M8" s="86">
        <v>2024</v>
      </c>
      <c r="N8" s="86">
        <v>2025</v>
      </c>
      <c r="O8" s="86">
        <v>2026</v>
      </c>
      <c r="P8" s="701" t="s">
        <v>64</v>
      </c>
    </row>
    <row r="9" spans="2:21" ht="14.4">
      <c r="B9" s="234" t="str">
        <f>Products!B36</f>
        <v>1G</v>
      </c>
      <c r="C9" s="235" t="str">
        <f>Products!C36</f>
        <v>500 m</v>
      </c>
      <c r="D9" s="236" t="str">
        <f>Products!D36</f>
        <v>SFP</v>
      </c>
      <c r="E9" s="192">
        <v>4496175.0999999996</v>
      </c>
      <c r="F9" s="192">
        <v>4278484</v>
      </c>
      <c r="G9" s="192"/>
      <c r="H9" s="192"/>
      <c r="I9" s="192"/>
      <c r="J9" s="192"/>
      <c r="K9" s="192"/>
      <c r="L9" s="192"/>
      <c r="M9" s="192"/>
      <c r="N9" s="192"/>
      <c r="O9" s="192"/>
      <c r="P9" s="550" t="str">
        <f t="shared" ref="P9:P38" si="2">B9&amp;"_"&amp;C9&amp;"_"&amp;D9</f>
        <v>1G_500 m_SFP</v>
      </c>
      <c r="S9" s="603"/>
    </row>
    <row r="10" spans="2:21" ht="14.4">
      <c r="B10" s="237" t="str">
        <f>Products!B37</f>
        <v>1G</v>
      </c>
      <c r="C10" s="238" t="str">
        <f>Products!C37</f>
        <v>10 km</v>
      </c>
      <c r="D10" s="239" t="str">
        <f>Products!D37</f>
        <v>SFP</v>
      </c>
      <c r="E10" s="192">
        <v>8393495.8800000008</v>
      </c>
      <c r="F10" s="192">
        <v>6412151</v>
      </c>
      <c r="G10" s="192"/>
      <c r="H10" s="192"/>
      <c r="I10" s="192"/>
      <c r="J10" s="192"/>
      <c r="K10" s="192"/>
      <c r="L10" s="192"/>
      <c r="M10" s="192"/>
      <c r="N10" s="192"/>
      <c r="O10" s="192"/>
      <c r="P10" s="258" t="str">
        <f t="shared" si="2"/>
        <v>1G_10 km_SFP</v>
      </c>
      <c r="S10" s="603"/>
    </row>
    <row r="11" spans="2:21" ht="14.4">
      <c r="B11" s="237" t="str">
        <f>Products!B38</f>
        <v>1G</v>
      </c>
      <c r="C11" s="238" t="str">
        <f>Products!C38</f>
        <v>40 km</v>
      </c>
      <c r="D11" s="239" t="str">
        <f>Products!D38</f>
        <v>SFP</v>
      </c>
      <c r="E11" s="192">
        <v>562563.625</v>
      </c>
      <c r="F11" s="192">
        <v>477500.4</v>
      </c>
      <c r="G11" s="192"/>
      <c r="H11" s="192"/>
      <c r="I11" s="192"/>
      <c r="J11" s="192"/>
      <c r="K11" s="192"/>
      <c r="L11" s="192"/>
      <c r="M11" s="192"/>
      <c r="N11" s="192"/>
      <c r="O11" s="192"/>
      <c r="P11" s="258" t="str">
        <f t="shared" si="2"/>
        <v>1G_40 km_SFP</v>
      </c>
      <c r="S11" s="603"/>
    </row>
    <row r="12" spans="2:21" ht="14.4">
      <c r="B12" s="237" t="str">
        <f>Products!B39</f>
        <v>1G</v>
      </c>
      <c r="C12" s="238" t="str">
        <f>Products!C39</f>
        <v>80 km</v>
      </c>
      <c r="D12" s="239" t="str">
        <f>Products!D39</f>
        <v>SFP</v>
      </c>
      <c r="E12" s="192">
        <v>115175.5</v>
      </c>
      <c r="F12" s="192">
        <v>105559.64999999997</v>
      </c>
      <c r="G12" s="192"/>
      <c r="H12" s="192"/>
      <c r="I12" s="192"/>
      <c r="J12" s="192"/>
      <c r="K12" s="192"/>
      <c r="L12" s="192"/>
      <c r="M12" s="192"/>
      <c r="N12" s="192"/>
      <c r="O12" s="192"/>
      <c r="P12" s="258" t="str">
        <f t="shared" si="2"/>
        <v>1G_80 km_SFP</v>
      </c>
      <c r="S12" s="603"/>
    </row>
    <row r="13" spans="2:21" ht="14.4">
      <c r="B13" s="328" t="s">
        <v>255</v>
      </c>
      <c r="C13" s="326" t="s">
        <v>160</v>
      </c>
      <c r="D13" s="329" t="s">
        <v>161</v>
      </c>
      <c r="E13" s="588">
        <v>200000</v>
      </c>
      <c r="F13" s="290"/>
      <c r="G13" s="290"/>
      <c r="H13" s="290"/>
      <c r="I13" s="290"/>
      <c r="J13" s="290"/>
      <c r="K13" s="290"/>
      <c r="L13" s="290"/>
      <c r="M13" s="290"/>
      <c r="N13" s="290"/>
      <c r="O13" s="290"/>
      <c r="P13" s="259" t="str">
        <f t="shared" si="2"/>
        <v>G &amp; Fast Ethernet_Various_Legacy/discontinued</v>
      </c>
      <c r="S13" s="603"/>
    </row>
    <row r="14" spans="2:21" ht="14.4">
      <c r="B14" s="237" t="str">
        <f>Products!B41</f>
        <v>10G</v>
      </c>
      <c r="C14" s="238" t="str">
        <f>Products!C41</f>
        <v>300 m</v>
      </c>
      <c r="D14" s="239" t="str">
        <f>Products!D41</f>
        <v>XFP</v>
      </c>
      <c r="E14" s="192">
        <v>117811</v>
      </c>
      <c r="F14" s="192">
        <v>83582</v>
      </c>
      <c r="G14" s="192"/>
      <c r="H14" s="192"/>
      <c r="I14" s="192"/>
      <c r="J14" s="192"/>
      <c r="K14" s="192"/>
      <c r="L14" s="192"/>
      <c r="M14" s="192"/>
      <c r="N14" s="192"/>
      <c r="O14" s="192"/>
      <c r="P14" s="258" t="str">
        <f t="shared" si="2"/>
        <v>10G_300 m_XFP</v>
      </c>
      <c r="S14" s="603"/>
    </row>
    <row r="15" spans="2:21" ht="14.4">
      <c r="B15" s="237" t="str">
        <f>Products!B42</f>
        <v>10G</v>
      </c>
      <c r="C15" s="238" t="str">
        <f>Products!C42</f>
        <v>300 m</v>
      </c>
      <c r="D15" s="239" t="str">
        <f>Products!D42</f>
        <v>SFP+</v>
      </c>
      <c r="E15" s="192">
        <v>11231936.93</v>
      </c>
      <c r="F15" s="192">
        <v>12500000</v>
      </c>
      <c r="G15" s="192"/>
      <c r="H15" s="192"/>
      <c r="I15" s="192"/>
      <c r="J15" s="192"/>
      <c r="K15" s="192"/>
      <c r="L15" s="192"/>
      <c r="M15" s="192"/>
      <c r="N15" s="192"/>
      <c r="O15" s="192"/>
      <c r="P15" s="258" t="str">
        <f t="shared" si="2"/>
        <v>10G_300 m_SFP+</v>
      </c>
      <c r="S15" s="603"/>
    </row>
    <row r="16" spans="2:21" ht="14.4">
      <c r="B16" s="237" t="str">
        <f>Products!B43</f>
        <v>10G LRM</v>
      </c>
      <c r="C16" s="238" t="str">
        <f>Products!C43</f>
        <v>220 m</v>
      </c>
      <c r="D16" s="239" t="str">
        <f>Products!D43</f>
        <v>SFP+</v>
      </c>
      <c r="E16" s="192">
        <v>121638</v>
      </c>
      <c r="F16" s="192">
        <v>108162</v>
      </c>
      <c r="G16" s="192"/>
      <c r="H16" s="192"/>
      <c r="I16" s="192"/>
      <c r="J16" s="192"/>
      <c r="K16" s="192"/>
      <c r="L16" s="192"/>
      <c r="M16" s="192"/>
      <c r="N16" s="192"/>
      <c r="O16" s="192"/>
      <c r="P16" s="258" t="str">
        <f t="shared" si="2"/>
        <v>10G LRM_220 m_SFP+</v>
      </c>
      <c r="S16" s="603"/>
    </row>
    <row r="17" spans="2:19" ht="14.4">
      <c r="B17" s="237" t="str">
        <f>Products!B44</f>
        <v>10G</v>
      </c>
      <c r="C17" s="238" t="str">
        <f>Products!C44</f>
        <v>10 km</v>
      </c>
      <c r="D17" s="239" t="str">
        <f>Products!D44</f>
        <v>XFP</v>
      </c>
      <c r="E17" s="192">
        <v>122271</v>
      </c>
      <c r="F17" s="192">
        <v>65238</v>
      </c>
      <c r="G17" s="192"/>
      <c r="H17" s="192"/>
      <c r="I17" s="192"/>
      <c r="J17" s="192"/>
      <c r="K17" s="192"/>
      <c r="L17" s="192"/>
      <c r="M17" s="192"/>
      <c r="N17" s="192"/>
      <c r="O17" s="192"/>
      <c r="P17" s="258" t="str">
        <f t="shared" si="2"/>
        <v>10G_10 km_XFP</v>
      </c>
      <c r="S17" s="603"/>
    </row>
    <row r="18" spans="2:19" ht="14.4">
      <c r="B18" s="237" t="str">
        <f>Products!B45</f>
        <v>10G</v>
      </c>
      <c r="C18" s="238" t="str">
        <f>Products!C45</f>
        <v>10 km</v>
      </c>
      <c r="D18" s="239" t="str">
        <f>Products!D45</f>
        <v>SFP+</v>
      </c>
      <c r="E18" s="192">
        <v>6400000</v>
      </c>
      <c r="F18" s="192">
        <v>6750000</v>
      </c>
      <c r="G18" s="192"/>
      <c r="H18" s="192"/>
      <c r="I18" s="192"/>
      <c r="J18" s="192"/>
      <c r="K18" s="192"/>
      <c r="L18" s="192"/>
      <c r="M18" s="192"/>
      <c r="N18" s="192"/>
      <c r="O18" s="192"/>
      <c r="P18" s="258" t="str">
        <f t="shared" si="2"/>
        <v>10G_10 km_SFP+</v>
      </c>
      <c r="S18" s="603"/>
    </row>
    <row r="19" spans="2:19" ht="14.4">
      <c r="B19" s="237" t="str">
        <f>Products!B46</f>
        <v>10G</v>
      </c>
      <c r="C19" s="238" t="str">
        <f>Products!C46</f>
        <v>40 km</v>
      </c>
      <c r="D19" s="239" t="str">
        <f>Products!D46</f>
        <v>XFP</v>
      </c>
      <c r="E19" s="192">
        <v>152629</v>
      </c>
      <c r="F19" s="192">
        <v>107234</v>
      </c>
      <c r="G19" s="192"/>
      <c r="H19" s="192"/>
      <c r="I19" s="192"/>
      <c r="J19" s="192"/>
      <c r="K19" s="192"/>
      <c r="L19" s="192"/>
      <c r="M19" s="192"/>
      <c r="N19" s="192"/>
      <c r="O19" s="192"/>
      <c r="P19" s="258" t="str">
        <f t="shared" si="2"/>
        <v>10G_40 km_XFP</v>
      </c>
      <c r="S19" s="603"/>
    </row>
    <row r="20" spans="2:19" ht="14.4">
      <c r="B20" s="237" t="str">
        <f>Products!B47</f>
        <v>10G</v>
      </c>
      <c r="C20" s="238" t="str">
        <f>Products!C47</f>
        <v>40 km</v>
      </c>
      <c r="D20" s="239" t="str">
        <f>Products!D47</f>
        <v>SFP+</v>
      </c>
      <c r="E20" s="192">
        <v>257909.25</v>
      </c>
      <c r="F20" s="192">
        <v>258318.59999999998</v>
      </c>
      <c r="G20" s="192"/>
      <c r="H20" s="192"/>
      <c r="I20" s="192"/>
      <c r="J20" s="192"/>
      <c r="K20" s="192"/>
      <c r="L20" s="192"/>
      <c r="M20" s="192"/>
      <c r="N20" s="192"/>
      <c r="O20" s="192"/>
      <c r="P20" s="258" t="str">
        <f t="shared" si="2"/>
        <v>10G_40 km_SFP+</v>
      </c>
      <c r="S20" s="603"/>
    </row>
    <row r="21" spans="2:19" ht="14.4">
      <c r="B21" s="237" t="str">
        <f>Products!B48</f>
        <v>10G</v>
      </c>
      <c r="C21" s="238" t="str">
        <f>Products!C48</f>
        <v>80 km</v>
      </c>
      <c r="D21" s="239" t="str">
        <f>Products!D48</f>
        <v>XFP</v>
      </c>
      <c r="E21" s="192">
        <v>68753</v>
      </c>
      <c r="F21" s="192">
        <v>9455</v>
      </c>
      <c r="G21" s="192"/>
      <c r="H21" s="192"/>
      <c r="I21" s="192"/>
      <c r="J21" s="192"/>
      <c r="K21" s="192"/>
      <c r="L21" s="192"/>
      <c r="M21" s="192"/>
      <c r="N21" s="192"/>
      <c r="O21" s="192"/>
      <c r="P21" s="258" t="str">
        <f t="shared" si="2"/>
        <v>10G_80 km_XFP</v>
      </c>
      <c r="S21" s="603"/>
    </row>
    <row r="22" spans="2:19" ht="14.4">
      <c r="B22" s="237" t="str">
        <f>Products!B49</f>
        <v>10G</v>
      </c>
      <c r="C22" s="238" t="str">
        <f>Products!C49</f>
        <v>80 km</v>
      </c>
      <c r="D22" s="239" t="str">
        <f>Products!D49</f>
        <v>SFP+</v>
      </c>
      <c r="E22" s="192">
        <v>43870.75</v>
      </c>
      <c r="F22" s="192">
        <v>63032.5</v>
      </c>
      <c r="G22" s="192"/>
      <c r="H22" s="192"/>
      <c r="I22" s="192"/>
      <c r="J22" s="192"/>
      <c r="K22" s="192"/>
      <c r="L22" s="192"/>
      <c r="M22" s="192"/>
      <c r="N22" s="192"/>
      <c r="O22" s="192"/>
      <c r="P22" s="258" t="str">
        <f t="shared" si="2"/>
        <v>10G_80 km_SFP+</v>
      </c>
      <c r="S22" s="603"/>
    </row>
    <row r="23" spans="2:19" ht="14.4">
      <c r="B23" s="495" t="s">
        <v>60</v>
      </c>
      <c r="C23" s="366" t="s">
        <v>160</v>
      </c>
      <c r="D23" s="329" t="s">
        <v>161</v>
      </c>
      <c r="E23" s="290">
        <v>65053</v>
      </c>
      <c r="F23" s="290">
        <v>24329</v>
      </c>
      <c r="G23" s="192"/>
      <c r="H23" s="192"/>
      <c r="I23" s="192"/>
      <c r="J23" s="290"/>
      <c r="K23" s="290"/>
      <c r="L23" s="290"/>
      <c r="M23" s="290"/>
      <c r="N23" s="290"/>
      <c r="O23" s="290"/>
      <c r="P23" s="259" t="str">
        <f t="shared" si="2"/>
        <v>10G_Various_Legacy/discontinued</v>
      </c>
      <c r="S23" s="603"/>
    </row>
    <row r="24" spans="2:19" ht="14.4">
      <c r="B24" s="234" t="str">
        <f>Products!B51</f>
        <v>25G SR, eSR</v>
      </c>
      <c r="C24" s="235" t="str">
        <f>Products!C51</f>
        <v>100 - 300 m</v>
      </c>
      <c r="D24" s="236" t="str">
        <f>Products!D51</f>
        <v>SFP28</v>
      </c>
      <c r="E24" s="291">
        <v>7146</v>
      </c>
      <c r="F24" s="291">
        <v>95865</v>
      </c>
      <c r="G24" s="291"/>
      <c r="H24" s="291"/>
      <c r="I24" s="291"/>
      <c r="J24" s="291"/>
      <c r="K24" s="291"/>
      <c r="L24" s="291"/>
      <c r="M24" s="291"/>
      <c r="N24" s="291"/>
      <c r="O24" s="291"/>
      <c r="P24" s="317" t="str">
        <f t="shared" si="2"/>
        <v>25G SR, eSR_100 - 300 m_SFP28</v>
      </c>
      <c r="S24" s="603"/>
    </row>
    <row r="25" spans="2:19" ht="14.4">
      <c r="B25" s="237" t="str">
        <f>Products!B52</f>
        <v>25G LR</v>
      </c>
      <c r="C25" s="238" t="str">
        <f>Products!C52</f>
        <v>10 km</v>
      </c>
      <c r="D25" s="239" t="str">
        <f>Products!D52</f>
        <v>SFP28</v>
      </c>
      <c r="E25" s="192">
        <v>4548</v>
      </c>
      <c r="F25" s="192">
        <v>17462</v>
      </c>
      <c r="G25" s="192"/>
      <c r="H25" s="192"/>
      <c r="I25" s="192"/>
      <c r="J25" s="192"/>
      <c r="K25" s="192"/>
      <c r="L25" s="192"/>
      <c r="M25" s="192"/>
      <c r="N25" s="192"/>
      <c r="O25" s="192"/>
      <c r="P25" s="258" t="str">
        <f t="shared" si="2"/>
        <v>25G LR_10 km_SFP28</v>
      </c>
      <c r="S25" s="603"/>
    </row>
    <row r="26" spans="2:19" ht="14.4">
      <c r="B26" s="240" t="str">
        <f>Products!B53</f>
        <v>25G ER</v>
      </c>
      <c r="C26" s="241" t="str">
        <f>Products!C53</f>
        <v>40 km</v>
      </c>
      <c r="D26" s="242" t="str">
        <f>Products!D53</f>
        <v>SFP28</v>
      </c>
      <c r="E26" s="192">
        <v>0</v>
      </c>
      <c r="F26" s="192">
        <v>0</v>
      </c>
      <c r="G26" s="192"/>
      <c r="H26" s="192"/>
      <c r="I26" s="192"/>
      <c r="J26" s="192"/>
      <c r="K26" s="192"/>
      <c r="L26" s="192"/>
      <c r="M26" s="192"/>
      <c r="N26" s="192"/>
      <c r="O26" s="192"/>
      <c r="P26" s="258" t="str">
        <f t="shared" si="2"/>
        <v>25G ER_40 km_SFP28</v>
      </c>
      <c r="S26" s="603"/>
    </row>
    <row r="27" spans="2:19" ht="14.4">
      <c r="B27" s="237" t="str">
        <f>Products!B54</f>
        <v>40G SR4</v>
      </c>
      <c r="C27" s="238" t="str">
        <f>Products!C54</f>
        <v>100 m</v>
      </c>
      <c r="D27" s="239" t="str">
        <f>Products!D54</f>
        <v>QSFP+</v>
      </c>
      <c r="E27" s="291">
        <v>639935</v>
      </c>
      <c r="F27" s="291">
        <v>793812</v>
      </c>
      <c r="G27" s="291"/>
      <c r="H27" s="291"/>
      <c r="I27" s="291"/>
      <c r="J27" s="291"/>
      <c r="K27" s="291"/>
      <c r="L27" s="291"/>
      <c r="M27" s="291"/>
      <c r="N27" s="291"/>
      <c r="O27" s="291"/>
      <c r="P27" s="317" t="str">
        <f t="shared" si="2"/>
        <v>40G SR4_100 m_QSFP+</v>
      </c>
      <c r="S27" s="603"/>
    </row>
    <row r="28" spans="2:19" ht="14.4">
      <c r="B28" s="237" t="str">
        <f>Products!B55</f>
        <v>40G MM duplex</v>
      </c>
      <c r="C28" s="238" t="str">
        <f>Products!C55</f>
        <v>100 m</v>
      </c>
      <c r="D28" s="239" t="str">
        <f>Products!D55</f>
        <v>QSFP+</v>
      </c>
      <c r="E28" s="192">
        <v>614294</v>
      </c>
      <c r="F28" s="192">
        <v>750519</v>
      </c>
      <c r="G28" s="192"/>
      <c r="H28" s="192"/>
      <c r="I28" s="192"/>
      <c r="J28" s="192"/>
      <c r="K28" s="192"/>
      <c r="L28" s="192"/>
      <c r="M28" s="192"/>
      <c r="N28" s="192"/>
      <c r="O28" s="192"/>
      <c r="P28" s="258" t="str">
        <f t="shared" si="2"/>
        <v>40G MM duplex_100 m_QSFP+</v>
      </c>
      <c r="S28" s="603"/>
    </row>
    <row r="29" spans="2:19" ht="14.4">
      <c r="B29" s="237" t="str">
        <f>Products!B56</f>
        <v>40G eSR4</v>
      </c>
      <c r="C29" s="238" t="str">
        <f>Products!C56</f>
        <v>300 m</v>
      </c>
      <c r="D29" s="239" t="str">
        <f>Products!D56</f>
        <v>QSFP+</v>
      </c>
      <c r="E29" s="192">
        <v>275269</v>
      </c>
      <c r="F29" s="192">
        <v>466535</v>
      </c>
      <c r="G29" s="192"/>
      <c r="H29" s="192"/>
      <c r="I29" s="192"/>
      <c r="J29" s="192"/>
      <c r="K29" s="192"/>
      <c r="L29" s="192"/>
      <c r="M29" s="192"/>
      <c r="N29" s="192"/>
      <c r="O29" s="192"/>
      <c r="P29" s="258" t="str">
        <f t="shared" si="2"/>
        <v>40G eSR4_300 m_QSFP+</v>
      </c>
      <c r="S29" s="603"/>
    </row>
    <row r="30" spans="2:19" ht="14.4">
      <c r="B30" s="237" t="str">
        <f>Products!B57</f>
        <v xml:space="preserve">40G PSM4 </v>
      </c>
      <c r="C30" s="238" t="s">
        <v>44</v>
      </c>
      <c r="D30" s="239" t="s">
        <v>89</v>
      </c>
      <c r="E30" s="192">
        <v>813790</v>
      </c>
      <c r="F30" s="192">
        <v>613640</v>
      </c>
      <c r="G30" s="192"/>
      <c r="H30" s="192"/>
      <c r="I30" s="192"/>
      <c r="J30" s="192"/>
      <c r="K30" s="192"/>
      <c r="L30" s="192"/>
      <c r="M30" s="192"/>
      <c r="N30" s="192"/>
      <c r="O30" s="192"/>
      <c r="P30" s="258" t="str">
        <f t="shared" si="2"/>
        <v>40G PSM4 _500 m_QSFP+</v>
      </c>
      <c r="S30" s="603"/>
    </row>
    <row r="31" spans="2:19" ht="14.4">
      <c r="B31" s="237" t="str">
        <f>Products!B58</f>
        <v>40G (FR)</v>
      </c>
      <c r="C31" s="238" t="str">
        <f>Products!C58</f>
        <v>2 km</v>
      </c>
      <c r="D31" s="239" t="str">
        <f>Products!D58</f>
        <v>CFP</v>
      </c>
      <c r="E31" s="192">
        <v>791</v>
      </c>
      <c r="F31" s="192">
        <v>402</v>
      </c>
      <c r="G31" s="192"/>
      <c r="H31" s="192"/>
      <c r="I31" s="192"/>
      <c r="J31" s="192"/>
      <c r="K31" s="192"/>
      <c r="L31" s="192"/>
      <c r="M31" s="192"/>
      <c r="N31" s="192"/>
      <c r="O31" s="192"/>
      <c r="P31" s="258" t="str">
        <f t="shared" si="2"/>
        <v>40G (FR)_2 km_CFP</v>
      </c>
      <c r="S31" s="603"/>
    </row>
    <row r="32" spans="2:19" ht="14.4">
      <c r="B32" s="237" t="str">
        <f>Products!B59</f>
        <v>40G (LR4 subspec)</v>
      </c>
      <c r="C32" s="238" t="str">
        <f>Products!C59</f>
        <v>2 km</v>
      </c>
      <c r="D32" s="239" t="str">
        <f>Products!D59</f>
        <v>QSFP+</v>
      </c>
      <c r="E32" s="192">
        <v>470209</v>
      </c>
      <c r="F32" s="192">
        <v>806616</v>
      </c>
      <c r="G32" s="192"/>
      <c r="H32" s="192"/>
      <c r="I32" s="192"/>
      <c r="J32" s="192"/>
      <c r="K32" s="192"/>
      <c r="L32" s="192"/>
      <c r="M32" s="192"/>
      <c r="N32" s="192"/>
      <c r="O32" s="192"/>
      <c r="P32" s="258" t="str">
        <f t="shared" si="2"/>
        <v>40G (LR4 subspec)_2 km_QSFP+</v>
      </c>
      <c r="S32" s="603"/>
    </row>
    <row r="33" spans="2:19" ht="14.4">
      <c r="B33" s="237" t="str">
        <f>Products!B60</f>
        <v>40G</v>
      </c>
      <c r="C33" s="238" t="str">
        <f>Products!C60</f>
        <v>10 km</v>
      </c>
      <c r="D33" s="239" t="str">
        <f>Products!D60</f>
        <v>CFP</v>
      </c>
      <c r="E33" s="192">
        <v>6655</v>
      </c>
      <c r="F33" s="192">
        <v>2846</v>
      </c>
      <c r="G33" s="192"/>
      <c r="H33" s="192"/>
      <c r="I33" s="192"/>
      <c r="J33" s="192"/>
      <c r="K33" s="192"/>
      <c r="L33" s="192"/>
      <c r="M33" s="192"/>
      <c r="N33" s="192"/>
      <c r="O33" s="192"/>
      <c r="P33" s="258" t="str">
        <f t="shared" si="2"/>
        <v>40G_10 km_CFP</v>
      </c>
      <c r="S33" s="603"/>
    </row>
    <row r="34" spans="2:19" ht="14.4">
      <c r="B34" s="237" t="str">
        <f>Products!B61</f>
        <v>40G</v>
      </c>
      <c r="C34" s="238" t="str">
        <f>Products!C61</f>
        <v>10 km</v>
      </c>
      <c r="D34" s="239" t="str">
        <f>Products!D61</f>
        <v>QSFP+</v>
      </c>
      <c r="E34" s="192">
        <v>327231</v>
      </c>
      <c r="F34" s="192">
        <v>424358</v>
      </c>
      <c r="G34" s="192"/>
      <c r="H34" s="192"/>
      <c r="I34" s="192"/>
      <c r="J34" s="192"/>
      <c r="K34" s="192"/>
      <c r="L34" s="192"/>
      <c r="M34" s="192"/>
      <c r="N34" s="192"/>
      <c r="O34" s="192"/>
      <c r="P34" s="258" t="str">
        <f t="shared" si="2"/>
        <v>40G_10 km_QSFP+</v>
      </c>
      <c r="Q34" s="100"/>
      <c r="S34" s="603"/>
    </row>
    <row r="35" spans="2:19" ht="14.4">
      <c r="B35" s="240" t="str">
        <f>Products!B62</f>
        <v>40G</v>
      </c>
      <c r="C35" s="241" t="str">
        <f>Products!C62</f>
        <v>40 km</v>
      </c>
      <c r="D35" s="242" t="str">
        <f>Products!D62</f>
        <v>QSFP+</v>
      </c>
      <c r="E35" s="290">
        <v>4894</v>
      </c>
      <c r="F35" s="290">
        <v>5432</v>
      </c>
      <c r="G35" s="290"/>
      <c r="H35" s="290"/>
      <c r="I35" s="290"/>
      <c r="J35" s="290"/>
      <c r="K35" s="290"/>
      <c r="L35" s="290"/>
      <c r="M35" s="290"/>
      <c r="N35" s="290"/>
      <c r="O35" s="290"/>
      <c r="P35" s="259" t="str">
        <f t="shared" si="2"/>
        <v>40G_40 km_QSFP+</v>
      </c>
      <c r="Q35" s="100"/>
      <c r="S35" s="603"/>
    </row>
    <row r="36" spans="2:19" ht="14.4">
      <c r="B36" s="234" t="str">
        <f>Products!B63</f>
        <v xml:space="preserve">50G </v>
      </c>
      <c r="C36" s="486" t="str">
        <f>Products!C63</f>
        <v>100 m</v>
      </c>
      <c r="D36" s="549" t="str">
        <f>Products!D63</f>
        <v>all</v>
      </c>
      <c r="E36" s="291">
        <v>0</v>
      </c>
      <c r="F36" s="291">
        <v>0</v>
      </c>
      <c r="G36" s="291"/>
      <c r="H36" s="291"/>
      <c r="I36" s="291"/>
      <c r="J36" s="291"/>
      <c r="K36" s="291"/>
      <c r="L36" s="291"/>
      <c r="M36" s="291"/>
      <c r="N36" s="291"/>
      <c r="O36" s="291"/>
      <c r="P36" s="258" t="str">
        <f t="shared" si="2"/>
        <v>50G _100 m_all</v>
      </c>
      <c r="Q36" s="100"/>
      <c r="S36" s="603"/>
    </row>
    <row r="37" spans="2:19" ht="14.4">
      <c r="B37" s="237" t="str">
        <f>Products!B64</f>
        <v xml:space="preserve">50G </v>
      </c>
      <c r="C37" s="238" t="str">
        <f>Products!C64</f>
        <v>2 km</v>
      </c>
      <c r="D37" s="239" t="str">
        <f>Products!D64</f>
        <v>all</v>
      </c>
      <c r="E37" s="192">
        <v>0</v>
      </c>
      <c r="F37" s="192">
        <v>0</v>
      </c>
      <c r="G37" s="192"/>
      <c r="H37" s="192"/>
      <c r="I37" s="192"/>
      <c r="J37" s="192"/>
      <c r="K37" s="192"/>
      <c r="L37" s="192"/>
      <c r="M37" s="192"/>
      <c r="N37" s="192"/>
      <c r="O37" s="192"/>
      <c r="P37" s="258" t="str">
        <f t="shared" si="2"/>
        <v>50G _2 km_all</v>
      </c>
      <c r="Q37" s="100"/>
      <c r="S37" s="603"/>
    </row>
    <row r="38" spans="2:19" ht="14.4">
      <c r="B38" s="237" t="str">
        <f>Products!B65</f>
        <v xml:space="preserve">50G </v>
      </c>
      <c r="C38" s="238" t="str">
        <f>Products!C65</f>
        <v>10 km</v>
      </c>
      <c r="D38" s="239" t="str">
        <f>Products!D65</f>
        <v>all</v>
      </c>
      <c r="E38" s="192">
        <v>0</v>
      </c>
      <c r="F38" s="192">
        <v>0</v>
      </c>
      <c r="G38" s="192"/>
      <c r="H38" s="192"/>
      <c r="I38" s="192"/>
      <c r="J38" s="192"/>
      <c r="K38" s="192"/>
      <c r="L38" s="192"/>
      <c r="M38" s="192"/>
      <c r="N38" s="192"/>
      <c r="O38" s="192"/>
      <c r="P38" s="258" t="str">
        <f t="shared" si="2"/>
        <v>50G _10 km_all</v>
      </c>
      <c r="Q38" s="100"/>
      <c r="S38" s="603"/>
    </row>
    <row r="39" spans="2:19" ht="14.4">
      <c r="B39" s="237" t="str">
        <f>Products!B66</f>
        <v xml:space="preserve">50G </v>
      </c>
      <c r="C39" s="238" t="str">
        <f>Products!C66</f>
        <v>40 km</v>
      </c>
      <c r="D39" s="239" t="str">
        <f>Products!D66</f>
        <v>all</v>
      </c>
      <c r="E39" s="192"/>
      <c r="F39" s="192"/>
      <c r="G39" s="192"/>
      <c r="H39" s="192"/>
      <c r="I39" s="192"/>
      <c r="J39" s="192"/>
      <c r="K39" s="192"/>
      <c r="L39" s="192"/>
      <c r="M39" s="192"/>
      <c r="N39" s="192"/>
      <c r="O39" s="192"/>
      <c r="P39" s="698"/>
      <c r="Q39" s="100"/>
      <c r="S39" s="603"/>
    </row>
    <row r="40" spans="2:19" ht="14.4">
      <c r="B40" s="240" t="str">
        <f>Products!B67</f>
        <v xml:space="preserve">50G </v>
      </c>
      <c r="C40" s="241" t="str">
        <f>Products!C67</f>
        <v>80 km</v>
      </c>
      <c r="D40" s="242" t="str">
        <f>Products!D67</f>
        <v>all</v>
      </c>
      <c r="E40" s="192"/>
      <c r="F40" s="192"/>
      <c r="G40" s="192"/>
      <c r="H40" s="192"/>
      <c r="I40" s="192"/>
      <c r="J40" s="192"/>
      <c r="K40" s="192"/>
      <c r="L40" s="192"/>
      <c r="M40" s="192"/>
      <c r="N40" s="192"/>
      <c r="O40" s="192"/>
      <c r="P40" s="699"/>
      <c r="Q40" s="100"/>
      <c r="S40" s="603"/>
    </row>
    <row r="41" spans="2:19" ht="14.4">
      <c r="B41" s="237" t="str">
        <f>Products!B68</f>
        <v>100G SR4</v>
      </c>
      <c r="C41" s="238" t="str">
        <f>Products!C68</f>
        <v>100 m</v>
      </c>
      <c r="D41" s="239" t="str">
        <f>Products!D68</f>
        <v>CFP</v>
      </c>
      <c r="E41" s="291">
        <v>14816</v>
      </c>
      <c r="F41" s="291">
        <v>6913</v>
      </c>
      <c r="G41" s="291"/>
      <c r="H41" s="291"/>
      <c r="I41" s="291"/>
      <c r="J41" s="291"/>
      <c r="K41" s="291"/>
      <c r="L41" s="291"/>
      <c r="M41" s="291"/>
      <c r="N41" s="291"/>
      <c r="O41" s="291"/>
      <c r="P41" s="258" t="str">
        <f t="shared" ref="P41:P87" si="3">B41&amp;"_"&amp;C41&amp;"_"&amp;D41</f>
        <v>100G SR4_100 m_CFP</v>
      </c>
      <c r="Q41" s="100"/>
      <c r="S41" s="603"/>
    </row>
    <row r="42" spans="2:19" ht="14.4">
      <c r="B42" s="237" t="str">
        <f>Products!B69</f>
        <v>100G SR4</v>
      </c>
      <c r="C42" s="238" t="str">
        <f>Products!C69</f>
        <v>100 m</v>
      </c>
      <c r="D42" s="239" t="str">
        <f>Products!D69</f>
        <v>CFP2/4</v>
      </c>
      <c r="E42" s="192">
        <v>4367</v>
      </c>
      <c r="F42" s="192">
        <v>2269</v>
      </c>
      <c r="G42" s="192"/>
      <c r="H42" s="192"/>
      <c r="I42" s="192"/>
      <c r="J42" s="192"/>
      <c r="K42" s="192"/>
      <c r="L42" s="192"/>
      <c r="M42" s="192"/>
      <c r="N42" s="192"/>
      <c r="O42" s="192"/>
      <c r="P42" s="258" t="str">
        <f t="shared" si="3"/>
        <v>100G SR4_100 m_CFP2/4</v>
      </c>
      <c r="Q42" s="100"/>
      <c r="S42" s="603"/>
    </row>
    <row r="43" spans="2:19" ht="14.4">
      <c r="B43" s="237" t="str">
        <f>Products!B70</f>
        <v>100G SR4</v>
      </c>
      <c r="C43" s="238" t="str">
        <f>Products!C70</f>
        <v>100 m</v>
      </c>
      <c r="D43" s="239" t="str">
        <f>Products!D70</f>
        <v>QSFP28</v>
      </c>
      <c r="E43" s="192">
        <v>280058</v>
      </c>
      <c r="F43" s="192">
        <v>622792</v>
      </c>
      <c r="G43" s="192"/>
      <c r="H43" s="192"/>
      <c r="I43" s="192"/>
      <c r="J43" s="192"/>
      <c r="K43" s="192"/>
      <c r="L43" s="192"/>
      <c r="M43" s="192"/>
      <c r="N43" s="192"/>
      <c r="O43" s="192"/>
      <c r="P43" s="258" t="str">
        <f t="shared" si="3"/>
        <v>100G SR4_100 m_QSFP28</v>
      </c>
      <c r="Q43" s="100"/>
      <c r="S43" s="603"/>
    </row>
    <row r="44" spans="2:19" ht="14.4">
      <c r="B44" s="237" t="str">
        <f>Products!B71</f>
        <v>100G SR2</v>
      </c>
      <c r="C44" s="238" t="str">
        <f>Products!C71</f>
        <v>100 m</v>
      </c>
      <c r="D44" s="239" t="str">
        <f>Products!D71</f>
        <v>All</v>
      </c>
      <c r="E44" s="192">
        <v>0</v>
      </c>
      <c r="F44" s="192">
        <v>0</v>
      </c>
      <c r="G44" s="192"/>
      <c r="H44" s="192"/>
      <c r="I44" s="192"/>
      <c r="J44" s="192"/>
      <c r="K44" s="192"/>
      <c r="L44" s="192"/>
      <c r="M44" s="192"/>
      <c r="N44" s="192"/>
      <c r="O44" s="192"/>
      <c r="P44" s="258" t="str">
        <f t="shared" si="3"/>
        <v>100G SR2_100 m_All</v>
      </c>
      <c r="Q44" s="100"/>
      <c r="S44" s="603"/>
    </row>
    <row r="45" spans="2:19" ht="14.4">
      <c r="B45" s="237" t="str">
        <f>Products!B72</f>
        <v>100G MM Duplex</v>
      </c>
      <c r="C45" s="238" t="str">
        <f>Products!C72</f>
        <v>100 - 300 m</v>
      </c>
      <c r="D45" s="239" t="str">
        <f>Products!D72</f>
        <v>QSFP28</v>
      </c>
      <c r="E45" s="192">
        <v>0</v>
      </c>
      <c r="F45" s="192">
        <v>0</v>
      </c>
      <c r="G45" s="192"/>
      <c r="H45" s="192"/>
      <c r="I45" s="192"/>
      <c r="J45" s="192"/>
      <c r="K45" s="192"/>
      <c r="L45" s="192"/>
      <c r="M45" s="192"/>
      <c r="N45" s="192"/>
      <c r="O45" s="192"/>
      <c r="P45" s="258" t="str">
        <f t="shared" si="3"/>
        <v>100G MM Duplex_100 - 300 m_QSFP28</v>
      </c>
      <c r="Q45" s="100"/>
      <c r="S45" s="603"/>
    </row>
    <row r="46" spans="2:19" ht="14.4">
      <c r="B46" s="237" t="str">
        <f>Products!B73</f>
        <v>100G eSR4</v>
      </c>
      <c r="C46" s="238" t="str">
        <f>Products!C73</f>
        <v>300 m</v>
      </c>
      <c r="D46" s="239" t="str">
        <f>Products!D73</f>
        <v>QSFP28</v>
      </c>
      <c r="E46" s="192">
        <v>0</v>
      </c>
      <c r="F46" s="192">
        <v>0</v>
      </c>
      <c r="G46" s="192"/>
      <c r="H46" s="192"/>
      <c r="I46" s="192"/>
      <c r="J46" s="192"/>
      <c r="K46" s="192"/>
      <c r="L46" s="192"/>
      <c r="M46" s="192"/>
      <c r="N46" s="192"/>
      <c r="O46" s="192"/>
      <c r="P46" s="258" t="str">
        <f t="shared" si="3"/>
        <v>100G eSR4_300 m_QSFP28</v>
      </c>
      <c r="Q46" s="100"/>
      <c r="S46" s="603"/>
    </row>
    <row r="47" spans="2:19" ht="14.4">
      <c r="B47" s="237" t="str">
        <f>Products!B74</f>
        <v>100G PSM4</v>
      </c>
      <c r="C47" s="238" t="str">
        <f>Products!C74</f>
        <v>500 m</v>
      </c>
      <c r="D47" s="239" t="str">
        <f>Products!D74</f>
        <v>QSFP28</v>
      </c>
      <c r="E47" s="192">
        <v>200861</v>
      </c>
      <c r="F47" s="192">
        <v>710038</v>
      </c>
      <c r="G47" s="192"/>
      <c r="H47" s="192"/>
      <c r="I47" s="192"/>
      <c r="J47" s="192"/>
      <c r="K47" s="192"/>
      <c r="L47" s="192"/>
      <c r="M47" s="192"/>
      <c r="N47" s="192"/>
      <c r="O47" s="192"/>
      <c r="P47" s="258" t="str">
        <f t="shared" si="3"/>
        <v>100G PSM4_500 m_QSFP28</v>
      </c>
      <c r="Q47" s="100"/>
      <c r="S47" s="603"/>
    </row>
    <row r="48" spans="2:19" ht="14.4">
      <c r="B48" s="237" t="str">
        <f>Products!B75</f>
        <v>100G DR</v>
      </c>
      <c r="C48" s="238" t="str">
        <f>Products!C75</f>
        <v>500m</v>
      </c>
      <c r="D48" s="239" t="str">
        <f>Products!D75</f>
        <v>QSFP28</v>
      </c>
      <c r="E48" s="192">
        <v>0</v>
      </c>
      <c r="F48" s="192">
        <v>0</v>
      </c>
      <c r="G48" s="192"/>
      <c r="H48" s="192"/>
      <c r="I48" s="192"/>
      <c r="J48" s="192"/>
      <c r="K48" s="192"/>
      <c r="L48" s="192"/>
      <c r="M48" s="192"/>
      <c r="N48" s="192"/>
      <c r="O48" s="192"/>
      <c r="P48" s="258" t="str">
        <f t="shared" si="3"/>
        <v>100G DR_500m_QSFP28</v>
      </c>
      <c r="Q48" s="100"/>
      <c r="S48" s="603"/>
    </row>
    <row r="49" spans="2:19" ht="14.4">
      <c r="B49" s="237" t="str">
        <f>Products!B76</f>
        <v>100G CWDM4-subspec</v>
      </c>
      <c r="C49" s="238" t="str">
        <f>Products!C76</f>
        <v>500 m</v>
      </c>
      <c r="D49" s="239" t="str">
        <f>Products!D76</f>
        <v>QSFP28</v>
      </c>
      <c r="E49" s="192">
        <v>88200.6</v>
      </c>
      <c r="F49" s="192">
        <v>683412.1</v>
      </c>
      <c r="G49" s="192"/>
      <c r="H49" s="192"/>
      <c r="I49" s="192"/>
      <c r="J49" s="192"/>
      <c r="K49" s="192"/>
      <c r="L49" s="192"/>
      <c r="M49" s="192"/>
      <c r="N49" s="192"/>
      <c r="O49" s="192"/>
      <c r="P49" s="258" t="str">
        <f t="shared" si="3"/>
        <v>100G CWDM4-subspec_500 m_QSFP28</v>
      </c>
      <c r="Q49" s="100"/>
      <c r="S49" s="603"/>
    </row>
    <row r="50" spans="2:19" ht="14.4">
      <c r="B50" s="237" t="str">
        <f>Products!B77</f>
        <v>100G CWDM4</v>
      </c>
      <c r="C50" s="238" t="str">
        <f>Products!C77</f>
        <v>2 km</v>
      </c>
      <c r="D50" s="239" t="str">
        <f>Products!D77</f>
        <v>QSFP28</v>
      </c>
      <c r="E50" s="192">
        <v>30989.399999999994</v>
      </c>
      <c r="F50" s="192">
        <v>292890.90000000002</v>
      </c>
      <c r="G50" s="192"/>
      <c r="H50" s="192"/>
      <c r="I50" s="192"/>
      <c r="J50" s="192"/>
      <c r="K50" s="192"/>
      <c r="L50" s="192"/>
      <c r="M50" s="192"/>
      <c r="N50" s="192"/>
      <c r="O50" s="192"/>
      <c r="P50" s="258" t="str">
        <f t="shared" si="3"/>
        <v>100G CWDM4_2 km_QSFP28</v>
      </c>
      <c r="Q50" s="100"/>
      <c r="S50" s="603"/>
    </row>
    <row r="51" spans="2:19" ht="14.4">
      <c r="B51" s="237" t="str">
        <f>Products!B78</f>
        <v>100G FR, DR+</v>
      </c>
      <c r="C51" s="238" t="str">
        <f>Products!C78</f>
        <v>2 km</v>
      </c>
      <c r="D51" s="239" t="str">
        <f>Products!D78</f>
        <v>QSFP28</v>
      </c>
      <c r="E51" s="192">
        <v>0</v>
      </c>
      <c r="F51" s="192">
        <v>0</v>
      </c>
      <c r="G51" s="192"/>
      <c r="H51" s="192"/>
      <c r="I51" s="192"/>
      <c r="J51" s="192"/>
      <c r="K51" s="192"/>
      <c r="L51" s="192"/>
      <c r="M51" s="192"/>
      <c r="N51" s="192"/>
      <c r="O51" s="192"/>
      <c r="P51" s="258" t="str">
        <f t="shared" si="3"/>
        <v>100G FR, DR+_2 km_QSFP28</v>
      </c>
      <c r="Q51" s="100"/>
      <c r="S51" s="603"/>
    </row>
    <row r="52" spans="2:19" ht="14.4">
      <c r="B52" s="237" t="str">
        <f>Products!B79</f>
        <v>100G LR4</v>
      </c>
      <c r="C52" s="238" t="str">
        <f>Products!C79</f>
        <v>10 km</v>
      </c>
      <c r="D52" s="239" t="str">
        <f>Products!D79</f>
        <v>CFP</v>
      </c>
      <c r="E52" s="192">
        <v>109936</v>
      </c>
      <c r="F52" s="192">
        <v>67349</v>
      </c>
      <c r="G52" s="192"/>
      <c r="H52" s="192"/>
      <c r="I52" s="192"/>
      <c r="J52" s="192"/>
      <c r="K52" s="192"/>
      <c r="L52" s="192"/>
      <c r="M52" s="192"/>
      <c r="N52" s="192"/>
      <c r="O52" s="192"/>
      <c r="P52" s="258" t="str">
        <f t="shared" si="3"/>
        <v>100G LR4_10 km_CFP</v>
      </c>
      <c r="Q52" s="100"/>
      <c r="S52" s="603"/>
    </row>
    <row r="53" spans="2:19" ht="14.4">
      <c r="B53" s="237" t="str">
        <f>Products!B80</f>
        <v>100G LR4</v>
      </c>
      <c r="C53" s="238" t="str">
        <f>Products!C80</f>
        <v>10 km</v>
      </c>
      <c r="D53" s="239" t="str">
        <f>Products!D80</f>
        <v>CFP2/4</v>
      </c>
      <c r="E53" s="192">
        <v>92243</v>
      </c>
      <c r="F53" s="192">
        <v>78202</v>
      </c>
      <c r="G53" s="192"/>
      <c r="H53" s="192"/>
      <c r="I53" s="192"/>
      <c r="J53" s="192"/>
      <c r="K53" s="192"/>
      <c r="L53" s="192"/>
      <c r="M53" s="192"/>
      <c r="N53" s="192"/>
      <c r="O53" s="192"/>
      <c r="P53" s="258" t="str">
        <f t="shared" si="3"/>
        <v>100G LR4_10 km_CFP2/4</v>
      </c>
      <c r="Q53" s="100"/>
      <c r="S53" s="603"/>
    </row>
    <row r="54" spans="2:19" ht="14.4">
      <c r="B54" s="237" t="str">
        <f>Products!B81</f>
        <v>100G LR4 and LR1</v>
      </c>
      <c r="C54" s="238" t="str">
        <f>Products!C81</f>
        <v>10 km</v>
      </c>
      <c r="D54" s="239" t="str">
        <f>Products!D81</f>
        <v>QSFP28</v>
      </c>
      <c r="E54" s="192">
        <v>90443</v>
      </c>
      <c r="F54" s="192">
        <v>362352</v>
      </c>
      <c r="G54" s="192"/>
      <c r="H54" s="192"/>
      <c r="I54" s="192"/>
      <c r="J54" s="192"/>
      <c r="K54" s="192"/>
      <c r="L54" s="192"/>
      <c r="M54" s="192"/>
      <c r="N54" s="192"/>
      <c r="O54" s="192"/>
      <c r="P54" s="258" t="str">
        <f t="shared" si="3"/>
        <v>100G LR4 and LR1_10 km_QSFP28</v>
      </c>
      <c r="Q54" s="100"/>
      <c r="S54" s="603"/>
    </row>
    <row r="55" spans="2:19" ht="14.4">
      <c r="B55" s="237" t="str">
        <f>Products!B82</f>
        <v>100G 4WDM10</v>
      </c>
      <c r="C55" s="238" t="str">
        <f>Products!C82</f>
        <v>10 km</v>
      </c>
      <c r="D55" s="239" t="str">
        <f>Products!D82</f>
        <v>QSFP28</v>
      </c>
      <c r="E55" s="192">
        <v>0</v>
      </c>
      <c r="F55" s="192">
        <v>45000</v>
      </c>
      <c r="G55" s="192"/>
      <c r="H55" s="192"/>
      <c r="I55" s="192"/>
      <c r="J55" s="192"/>
      <c r="K55" s="192"/>
      <c r="L55" s="192"/>
      <c r="M55" s="192"/>
      <c r="N55" s="192"/>
      <c r="O55" s="192"/>
      <c r="P55" s="258" t="str">
        <f t="shared" si="3"/>
        <v>100G 4WDM10_10 km_QSFP28</v>
      </c>
      <c r="Q55" s="100"/>
      <c r="S55" s="603"/>
    </row>
    <row r="56" spans="2:19" ht="14.4">
      <c r="B56" s="237" t="str">
        <f>Products!B83</f>
        <v>100G 4WDM20</v>
      </c>
      <c r="C56" s="238" t="str">
        <f>Products!C83</f>
        <v>20 km</v>
      </c>
      <c r="D56" s="239" t="str">
        <f>Products!D83</f>
        <v>QSFP28</v>
      </c>
      <c r="E56" s="192">
        <v>0</v>
      </c>
      <c r="F56" s="192">
        <v>0</v>
      </c>
      <c r="G56" s="192"/>
      <c r="H56" s="192"/>
      <c r="I56" s="192"/>
      <c r="J56" s="192"/>
      <c r="K56" s="192"/>
      <c r="L56" s="192"/>
      <c r="M56" s="192"/>
      <c r="N56" s="192"/>
      <c r="O56" s="192"/>
      <c r="P56" s="258" t="str">
        <f t="shared" si="3"/>
        <v>100G 4WDM20_20 km_QSFP28</v>
      </c>
      <c r="Q56" s="100"/>
      <c r="S56" s="603"/>
    </row>
    <row r="57" spans="2:19" ht="14.4">
      <c r="B57" s="237" t="str">
        <f>Products!B84</f>
        <v>100G ER4-Lite</v>
      </c>
      <c r="C57" s="238" t="str">
        <f>Products!C84</f>
        <v>30 km</v>
      </c>
      <c r="D57" s="239" t="str">
        <f>Products!D84</f>
        <v>QSFP28</v>
      </c>
      <c r="E57" s="192">
        <v>0</v>
      </c>
      <c r="F57" s="192">
        <v>2000</v>
      </c>
      <c r="G57" s="192"/>
      <c r="H57" s="192"/>
      <c r="I57" s="192"/>
      <c r="J57" s="192"/>
      <c r="K57" s="192"/>
      <c r="L57" s="192"/>
      <c r="M57" s="192"/>
      <c r="N57" s="192"/>
      <c r="O57" s="192"/>
      <c r="P57" s="258" t="str">
        <f t="shared" si="3"/>
        <v>100G ER4-Lite_30 km_QSFP28</v>
      </c>
      <c r="Q57" s="100"/>
      <c r="S57" s="603"/>
    </row>
    <row r="58" spans="2:19" ht="14.4">
      <c r="B58" s="237" t="str">
        <f>Products!B85</f>
        <v>100G ER4</v>
      </c>
      <c r="C58" s="238" t="str">
        <f>Products!C85</f>
        <v>40 km</v>
      </c>
      <c r="D58" s="239" t="str">
        <f>Products!D85</f>
        <v>QSFP28</v>
      </c>
      <c r="E58" s="192">
        <v>7456</v>
      </c>
      <c r="F58" s="192">
        <v>8272</v>
      </c>
      <c r="G58" s="192"/>
      <c r="H58" s="192"/>
      <c r="I58" s="192"/>
      <c r="J58" s="192"/>
      <c r="K58" s="192"/>
      <c r="L58" s="192"/>
      <c r="M58" s="192"/>
      <c r="N58" s="192"/>
      <c r="O58" s="192"/>
      <c r="P58" s="258" t="str">
        <f t="shared" si="3"/>
        <v>100G ER4_40 km_QSFP28</v>
      </c>
      <c r="Q58" s="100"/>
      <c r="S58" s="603"/>
    </row>
    <row r="59" spans="2:19" ht="14.4">
      <c r="B59" s="237" t="str">
        <f>Products!B86</f>
        <v>100G ZR4</v>
      </c>
      <c r="C59" s="238" t="str">
        <f>Products!C86</f>
        <v>80 km</v>
      </c>
      <c r="D59" s="239" t="str">
        <f>Products!D86</f>
        <v>QSFP28</v>
      </c>
      <c r="E59" s="192">
        <v>0</v>
      </c>
      <c r="F59" s="192">
        <v>0</v>
      </c>
      <c r="G59" s="192"/>
      <c r="H59" s="192"/>
      <c r="I59" s="192"/>
      <c r="J59" s="192"/>
      <c r="K59" s="192"/>
      <c r="L59" s="192"/>
      <c r="M59" s="192"/>
      <c r="N59" s="192"/>
      <c r="O59" s="192"/>
      <c r="P59" s="258" t="str">
        <f t="shared" si="3"/>
        <v>100G ZR4_80 km_QSFP28</v>
      </c>
      <c r="Q59" s="100"/>
      <c r="S59" s="603"/>
    </row>
    <row r="60" spans="2:19" ht="14.4">
      <c r="B60" s="234" t="str">
        <f>Products!B87</f>
        <v>200G SR4</v>
      </c>
      <c r="C60" s="235" t="str">
        <f>Products!C87</f>
        <v>100 m</v>
      </c>
      <c r="D60" s="236" t="str">
        <f>Products!D87</f>
        <v>QSFP56</v>
      </c>
      <c r="E60" s="291">
        <v>0</v>
      </c>
      <c r="F60" s="291">
        <v>0</v>
      </c>
      <c r="G60" s="291"/>
      <c r="H60" s="291"/>
      <c r="I60" s="291"/>
      <c r="J60" s="291"/>
      <c r="K60" s="291"/>
      <c r="L60" s="291"/>
      <c r="M60" s="291"/>
      <c r="N60" s="291"/>
      <c r="O60" s="291"/>
      <c r="P60" s="317" t="str">
        <f t="shared" si="3"/>
        <v>200G SR4_100 m_QSFP56</v>
      </c>
      <c r="Q60" s="355"/>
      <c r="S60" s="603"/>
    </row>
    <row r="61" spans="2:19" ht="14.4">
      <c r="B61" s="237" t="str">
        <f>Products!B88</f>
        <v>200G DR</v>
      </c>
      <c r="C61" s="238" t="str">
        <f>Products!C88</f>
        <v>500 m</v>
      </c>
      <c r="D61" s="239" t="str">
        <f>Products!D88</f>
        <v>TBD</v>
      </c>
      <c r="E61" s="192">
        <v>0</v>
      </c>
      <c r="F61" s="192">
        <v>0</v>
      </c>
      <c r="G61" s="192"/>
      <c r="H61" s="192"/>
      <c r="I61" s="192"/>
      <c r="J61" s="192"/>
      <c r="K61" s="192"/>
      <c r="L61" s="192"/>
      <c r="M61" s="192"/>
      <c r="N61" s="192"/>
      <c r="O61" s="192"/>
      <c r="P61" s="258" t="str">
        <f t="shared" si="3"/>
        <v>200G DR_500 m_TBD</v>
      </c>
      <c r="Q61" s="100"/>
      <c r="S61" s="603"/>
    </row>
    <row r="62" spans="2:19" ht="14.4">
      <c r="B62" s="237" t="str">
        <f>Products!B89</f>
        <v>200G FR4</v>
      </c>
      <c r="C62" s="238" t="str">
        <f>Products!C89</f>
        <v>3 km</v>
      </c>
      <c r="D62" s="239" t="str">
        <f>Products!D89</f>
        <v>QSFP56</v>
      </c>
      <c r="E62" s="192">
        <v>0</v>
      </c>
      <c r="F62" s="192">
        <v>0</v>
      </c>
      <c r="G62" s="192"/>
      <c r="H62" s="192"/>
      <c r="I62" s="192"/>
      <c r="J62" s="192"/>
      <c r="K62" s="192"/>
      <c r="L62" s="192"/>
      <c r="M62" s="192"/>
      <c r="N62" s="192"/>
      <c r="O62" s="192"/>
      <c r="P62" s="258" t="str">
        <f t="shared" si="3"/>
        <v>200G FR4_3 km_QSFP56</v>
      </c>
      <c r="Q62" s="100"/>
      <c r="S62" s="603"/>
    </row>
    <row r="63" spans="2:19" ht="14.4">
      <c r="B63" s="237" t="str">
        <f>Products!B90</f>
        <v>200G LR</v>
      </c>
      <c r="C63" s="238" t="str">
        <f>Products!C90</f>
        <v>10 km</v>
      </c>
      <c r="D63" s="239" t="str">
        <f>Products!D90</f>
        <v>TBD</v>
      </c>
      <c r="E63" s="192">
        <v>0</v>
      </c>
      <c r="F63" s="192">
        <v>0</v>
      </c>
      <c r="G63" s="192"/>
      <c r="H63" s="192"/>
      <c r="I63" s="192"/>
      <c r="J63" s="192"/>
      <c r="K63" s="192"/>
      <c r="L63" s="192"/>
      <c r="M63" s="192"/>
      <c r="N63" s="192"/>
      <c r="O63" s="192"/>
      <c r="P63" s="258" t="str">
        <f t="shared" si="3"/>
        <v>200G LR_10 km_TBD</v>
      </c>
      <c r="Q63" s="100"/>
      <c r="S63" s="603"/>
    </row>
    <row r="64" spans="2:19" ht="14.4">
      <c r="B64" s="240" t="str">
        <f>Products!B91</f>
        <v>200G ER4</v>
      </c>
      <c r="C64" s="241" t="str">
        <f>Products!C91</f>
        <v>40 km</v>
      </c>
      <c r="D64" s="242" t="str">
        <f>Products!D91</f>
        <v>TBD</v>
      </c>
      <c r="E64" s="290">
        <v>0</v>
      </c>
      <c r="F64" s="290">
        <v>0</v>
      </c>
      <c r="G64" s="290"/>
      <c r="H64" s="290"/>
      <c r="I64" s="290"/>
      <c r="J64" s="290"/>
      <c r="K64" s="290"/>
      <c r="L64" s="290"/>
      <c r="M64" s="290"/>
      <c r="N64" s="290"/>
      <c r="O64" s="290"/>
      <c r="P64" s="259" t="str">
        <f t="shared" si="3"/>
        <v>200G ER4_40 km_TBD</v>
      </c>
      <c r="Q64" s="266"/>
      <c r="S64" s="603"/>
    </row>
    <row r="65" spans="2:19" ht="14.4">
      <c r="B65" s="234" t="str">
        <f>Products!B92</f>
        <v>2x200 (400G-SR8)</v>
      </c>
      <c r="C65" s="235" t="str">
        <f>Products!C92</f>
        <v>100 m</v>
      </c>
      <c r="D65" s="236" t="str">
        <f>Products!D92</f>
        <v>OSFP, QSFP-DD</v>
      </c>
      <c r="E65" s="291">
        <v>0</v>
      </c>
      <c r="F65" s="291">
        <v>0</v>
      </c>
      <c r="G65" s="291"/>
      <c r="H65" s="291"/>
      <c r="I65" s="291"/>
      <c r="J65" s="291"/>
      <c r="K65" s="291"/>
      <c r="L65" s="291"/>
      <c r="M65" s="291"/>
      <c r="N65" s="291"/>
      <c r="O65" s="291"/>
      <c r="P65" s="317" t="str">
        <f t="shared" si="3"/>
        <v>2x200 (400G-SR8)_100 m_OSFP, QSFP-DD</v>
      </c>
      <c r="Q65" s="100"/>
      <c r="S65" s="603"/>
    </row>
    <row r="66" spans="2:19" ht="14.4">
      <c r="B66" s="237" t="str">
        <f>Products!B93</f>
        <v>400G SR4</v>
      </c>
      <c r="C66" s="238" t="str">
        <f>Products!C93</f>
        <v>100 m</v>
      </c>
      <c r="D66" s="239" t="str">
        <f>Products!D93</f>
        <v>OSFP112, QSFP112</v>
      </c>
      <c r="E66" s="192">
        <v>0</v>
      </c>
      <c r="F66" s="192">
        <v>0</v>
      </c>
      <c r="G66" s="192"/>
      <c r="H66" s="192"/>
      <c r="I66" s="192"/>
      <c r="J66" s="192"/>
      <c r="K66" s="192"/>
      <c r="L66" s="192"/>
      <c r="M66" s="192"/>
      <c r="N66" s="192"/>
      <c r="O66" s="192"/>
      <c r="P66" s="258" t="str">
        <f t="shared" si="3"/>
        <v>400G SR4_100 m_OSFP112, QSFP112</v>
      </c>
      <c r="Q66" s="100"/>
      <c r="S66" s="603"/>
    </row>
    <row r="67" spans="2:19" ht="14.4">
      <c r="B67" s="237" t="str">
        <f>Products!B94</f>
        <v>400G DR4</v>
      </c>
      <c r="C67" s="238" t="str">
        <f>Products!C94</f>
        <v>500 m</v>
      </c>
      <c r="D67" s="239" t="str">
        <f>Products!D94</f>
        <v>OSFP, QSFP-DD, QSFP112</v>
      </c>
      <c r="E67" s="192">
        <v>0</v>
      </c>
      <c r="F67" s="192">
        <v>0</v>
      </c>
      <c r="G67" s="192"/>
      <c r="H67" s="192"/>
      <c r="I67" s="192"/>
      <c r="J67" s="192"/>
      <c r="K67" s="192"/>
      <c r="L67" s="192"/>
      <c r="M67" s="192"/>
      <c r="N67" s="192"/>
      <c r="O67" s="192"/>
      <c r="P67" s="258" t="str">
        <f t="shared" si="3"/>
        <v>400G DR4_500 m_OSFP, QSFP-DD, QSFP112</v>
      </c>
      <c r="Q67" s="100"/>
      <c r="S67" s="603"/>
    </row>
    <row r="68" spans="2:19" ht="14.4">
      <c r="B68" s="237" t="str">
        <f>Products!B95</f>
        <v>2x(200G FR4)</v>
      </c>
      <c r="C68" s="238" t="str">
        <f>Products!C95</f>
        <v>2 km</v>
      </c>
      <c r="D68" s="239" t="str">
        <f>Products!D95</f>
        <v>OSFP</v>
      </c>
      <c r="E68" s="192">
        <v>0</v>
      </c>
      <c r="F68" s="192">
        <v>0</v>
      </c>
      <c r="G68" s="192"/>
      <c r="H68" s="192"/>
      <c r="I68" s="192"/>
      <c r="J68" s="192"/>
      <c r="K68" s="192"/>
      <c r="L68" s="192"/>
      <c r="M68" s="192"/>
      <c r="N68" s="192"/>
      <c r="O68" s="192"/>
      <c r="P68" s="258" t="str">
        <f t="shared" si="3"/>
        <v>2x(200G FR4)_2 km_OSFP</v>
      </c>
      <c r="Q68" s="100"/>
      <c r="S68" s="603"/>
    </row>
    <row r="69" spans="2:19" ht="14.4">
      <c r="B69" s="237" t="str">
        <f>Products!B96</f>
        <v>400G FR4</v>
      </c>
      <c r="C69" s="238" t="str">
        <f>Products!C96</f>
        <v>2 km</v>
      </c>
      <c r="D69" s="239" t="str">
        <f>Products!D96</f>
        <v>OSFP, QSFP-DD, QSFP112</v>
      </c>
      <c r="E69" s="192">
        <v>0</v>
      </c>
      <c r="F69" s="192">
        <v>7</v>
      </c>
      <c r="G69" s="192"/>
      <c r="H69" s="192"/>
      <c r="I69" s="192"/>
      <c r="J69" s="192"/>
      <c r="K69" s="192"/>
      <c r="L69" s="192"/>
      <c r="M69" s="192"/>
      <c r="N69" s="192"/>
      <c r="O69" s="192"/>
      <c r="P69" s="258" t="str">
        <f t="shared" si="3"/>
        <v>400G FR4_2 km_OSFP, QSFP-DD, QSFP112</v>
      </c>
      <c r="Q69" s="100"/>
      <c r="S69" s="603"/>
    </row>
    <row r="70" spans="2:19" ht="14.4">
      <c r="B70" s="237" t="str">
        <f>Products!B97</f>
        <v>400G LR8, LR4</v>
      </c>
      <c r="C70" s="238" t="str">
        <f>Products!C97</f>
        <v>10 km</v>
      </c>
      <c r="D70" s="239" t="str">
        <f>Products!D97</f>
        <v>OSFP, QSFP-DD, QSFP112</v>
      </c>
      <c r="E70" s="192">
        <v>0</v>
      </c>
      <c r="F70" s="192">
        <v>82</v>
      </c>
      <c r="G70" s="192"/>
      <c r="H70" s="192"/>
      <c r="I70" s="192"/>
      <c r="J70" s="192"/>
      <c r="K70" s="192"/>
      <c r="L70" s="192"/>
      <c r="M70" s="192"/>
      <c r="N70" s="192"/>
      <c r="O70" s="192"/>
      <c r="P70" s="258" t="str">
        <f t="shared" si="3"/>
        <v>400G LR8, LR4_10 km_OSFP, QSFP-DD, QSFP112</v>
      </c>
      <c r="Q70" s="100"/>
      <c r="S70" s="603"/>
    </row>
    <row r="71" spans="2:19" ht="14.4">
      <c r="B71" s="240" t="str">
        <f>Products!B98</f>
        <v>400G ER4</v>
      </c>
      <c r="C71" s="241" t="str">
        <f>Products!C98</f>
        <v>40 km</v>
      </c>
      <c r="D71" s="242" t="str">
        <f>Products!D98</f>
        <v>TBD</v>
      </c>
      <c r="E71" s="290">
        <v>0</v>
      </c>
      <c r="F71" s="290">
        <v>0</v>
      </c>
      <c r="G71" s="290"/>
      <c r="H71" s="290"/>
      <c r="I71" s="290"/>
      <c r="J71" s="290"/>
      <c r="K71" s="290"/>
      <c r="L71" s="290"/>
      <c r="M71" s="290"/>
      <c r="N71" s="290"/>
      <c r="O71" s="290"/>
      <c r="P71" s="259" t="str">
        <f t="shared" si="3"/>
        <v>400G ER4_40 km_TBD</v>
      </c>
      <c r="Q71" s="266"/>
      <c r="S71" s="603"/>
    </row>
    <row r="72" spans="2:19" s="100" customFormat="1" ht="14.4">
      <c r="B72" s="237" t="str">
        <f>Products!B99</f>
        <v>800G SR8</v>
      </c>
      <c r="C72" s="238" t="str">
        <f>Products!C99</f>
        <v>50 m</v>
      </c>
      <c r="D72" s="239" t="str">
        <f>Products!D99</f>
        <v>OSFP, QSFP-DD800</v>
      </c>
      <c r="E72" s="192"/>
      <c r="F72" s="192"/>
      <c r="G72" s="192"/>
      <c r="H72" s="192"/>
      <c r="I72" s="192"/>
      <c r="J72" s="192"/>
      <c r="K72" s="192"/>
      <c r="L72" s="192"/>
      <c r="M72" s="192"/>
      <c r="N72" s="192"/>
      <c r="O72" s="192"/>
      <c r="P72" s="258" t="str">
        <f t="shared" si="3"/>
        <v>800G SR8_50 m_OSFP, QSFP-DD800</v>
      </c>
      <c r="R72" s="265"/>
      <c r="S72" s="603"/>
    </row>
    <row r="73" spans="2:19" s="100" customFormat="1" ht="14.4">
      <c r="B73" s="237" t="str">
        <f>Products!B100</f>
        <v>800G DR8, DR4</v>
      </c>
      <c r="C73" s="238" t="str">
        <f>Products!C100</f>
        <v>500 m</v>
      </c>
      <c r="D73" s="239" t="str">
        <f>Products!D100</f>
        <v>OSFP, QSFP-DD800</v>
      </c>
      <c r="E73" s="192"/>
      <c r="F73" s="192"/>
      <c r="G73" s="192"/>
      <c r="H73" s="192"/>
      <c r="I73" s="192"/>
      <c r="J73" s="192"/>
      <c r="K73" s="192"/>
      <c r="L73" s="192"/>
      <c r="M73" s="192"/>
      <c r="N73" s="192"/>
      <c r="O73" s="192"/>
      <c r="P73" s="258" t="str">
        <f t="shared" si="3"/>
        <v>800G DR8, DR4_500 m_OSFP, QSFP-DD800</v>
      </c>
      <c r="S73" s="603"/>
    </row>
    <row r="74" spans="2:19" s="100" customFormat="1" ht="14.4">
      <c r="B74" s="237" t="str">
        <f>Products!B101</f>
        <v>2x(400G FR4), 800G FR4</v>
      </c>
      <c r="C74" s="238" t="str">
        <f>Products!C101</f>
        <v>2 km</v>
      </c>
      <c r="D74" s="239" t="str">
        <f>Products!D101</f>
        <v>OSFP, QSFP-DD800</v>
      </c>
      <c r="E74" s="192"/>
      <c r="F74" s="192"/>
      <c r="G74" s="192"/>
      <c r="H74" s="192"/>
      <c r="I74" s="192"/>
      <c r="J74" s="192"/>
      <c r="K74" s="192"/>
      <c r="L74" s="192"/>
      <c r="M74" s="192"/>
      <c r="N74" s="192"/>
      <c r="O74" s="192"/>
      <c r="P74" s="258" t="str">
        <f t="shared" si="3"/>
        <v>2x(400G FR4), 800G FR4_2 km_OSFP, QSFP-DD800</v>
      </c>
      <c r="S74" s="603"/>
    </row>
    <row r="75" spans="2:19" s="100" customFormat="1" ht="14.4">
      <c r="B75" s="237" t="str">
        <f>Products!B102</f>
        <v>800G LR8, LR4</v>
      </c>
      <c r="C75" s="238" t="str">
        <f>Products!C102</f>
        <v>6, 10 km</v>
      </c>
      <c r="D75" s="239" t="str">
        <f>Products!D102</f>
        <v>TBD</v>
      </c>
      <c r="E75" s="192"/>
      <c r="F75" s="192"/>
      <c r="G75" s="192"/>
      <c r="H75" s="192"/>
      <c r="I75" s="192"/>
      <c r="J75" s="192"/>
      <c r="K75" s="192"/>
      <c r="L75" s="192"/>
      <c r="M75" s="192"/>
      <c r="N75" s="192"/>
      <c r="O75" s="192"/>
      <c r="P75" s="258" t="str">
        <f t="shared" si="3"/>
        <v>800G LR8, LR4_6, 10 km_TBD</v>
      </c>
      <c r="S75" s="603"/>
    </row>
    <row r="76" spans="2:19" s="100" customFormat="1" ht="14.4">
      <c r="B76" s="237" t="str">
        <f>Products!B103</f>
        <v>800G ZRlite</v>
      </c>
      <c r="C76" s="238" t="str">
        <f>Products!C103</f>
        <v>10 km, 20 km</v>
      </c>
      <c r="D76" s="239" t="str">
        <f>Products!D103</f>
        <v>TBD</v>
      </c>
      <c r="E76" s="192"/>
      <c r="F76" s="192"/>
      <c r="G76" s="192"/>
      <c r="H76" s="192"/>
      <c r="I76" s="192"/>
      <c r="J76" s="192"/>
      <c r="K76" s="192"/>
      <c r="L76" s="192"/>
      <c r="M76" s="192"/>
      <c r="N76" s="192"/>
      <c r="O76" s="192"/>
      <c r="P76" s="258" t="str">
        <f t="shared" si="3"/>
        <v>800G ZRlite_10 km, 20 km_TBD</v>
      </c>
      <c r="S76" s="603"/>
    </row>
    <row r="77" spans="2:19" s="100" customFormat="1" ht="14.4">
      <c r="B77" s="240" t="str">
        <f>Products!B104</f>
        <v>800G ER4</v>
      </c>
      <c r="C77" s="241" t="str">
        <f>Products!C104</f>
        <v>40 km</v>
      </c>
      <c r="D77" s="242" t="str">
        <f>Products!D104</f>
        <v>TBD</v>
      </c>
      <c r="E77" s="290"/>
      <c r="F77" s="290"/>
      <c r="G77" s="290"/>
      <c r="H77" s="290"/>
      <c r="I77" s="290"/>
      <c r="J77" s="290"/>
      <c r="K77" s="290"/>
      <c r="L77" s="290"/>
      <c r="M77" s="290"/>
      <c r="N77" s="290"/>
      <c r="O77" s="290"/>
      <c r="P77" s="259" t="str">
        <f t="shared" si="3"/>
        <v>800G ER4_40 km_TBD</v>
      </c>
      <c r="Q77" s="266"/>
      <c r="S77" s="603"/>
    </row>
    <row r="78" spans="2:19" s="100" customFormat="1" ht="14.4">
      <c r="B78" s="237" t="str">
        <f>Products!B105</f>
        <v>1.6T SR16</v>
      </c>
      <c r="C78" s="238" t="str">
        <f>Products!C105</f>
        <v>100 m</v>
      </c>
      <c r="D78" s="239" t="str">
        <f>Products!D105</f>
        <v>OSFP-XD and TBD</v>
      </c>
      <c r="E78" s="192"/>
      <c r="F78" s="192"/>
      <c r="G78" s="192"/>
      <c r="H78" s="192"/>
      <c r="I78" s="192"/>
      <c r="J78" s="192"/>
      <c r="K78" s="192"/>
      <c r="L78" s="192"/>
      <c r="M78" s="192"/>
      <c r="N78" s="192"/>
      <c r="O78" s="192"/>
      <c r="P78" s="258" t="str">
        <f t="shared" si="3"/>
        <v>1.6T SR16_100 m_OSFP-XD and TBD</v>
      </c>
      <c r="S78" s="603"/>
    </row>
    <row r="79" spans="2:19" s="100" customFormat="1" ht="14.4">
      <c r="B79" s="237" t="str">
        <f>Products!B106</f>
        <v>1.6T DR8</v>
      </c>
      <c r="C79" s="238" t="str">
        <f>Products!C106</f>
        <v>500 m</v>
      </c>
      <c r="D79" s="239" t="str">
        <f>Products!D106</f>
        <v>OSFP-XD and TBD</v>
      </c>
      <c r="E79" s="192"/>
      <c r="F79" s="192"/>
      <c r="G79" s="192"/>
      <c r="H79" s="192"/>
      <c r="I79" s="192"/>
      <c r="J79" s="192"/>
      <c r="K79" s="192"/>
      <c r="L79" s="192"/>
      <c r="M79" s="192"/>
      <c r="N79" s="192"/>
      <c r="O79" s="192"/>
      <c r="P79" s="258" t="str">
        <f t="shared" si="3"/>
        <v>1.6T DR8_500 m_OSFP-XD and TBD</v>
      </c>
      <c r="S79" s="603"/>
    </row>
    <row r="80" spans="2:19" s="100" customFormat="1" ht="14.4">
      <c r="B80" s="237" t="str">
        <f>Products!B107</f>
        <v>1.6T FR8</v>
      </c>
      <c r="C80" s="238" t="str">
        <f>Products!C107</f>
        <v>2 km</v>
      </c>
      <c r="D80" s="239" t="str">
        <f>Products!D107</f>
        <v>OSFP-XD and TBD</v>
      </c>
      <c r="E80" s="192"/>
      <c r="F80" s="192"/>
      <c r="G80" s="192"/>
      <c r="H80" s="192"/>
      <c r="I80" s="192"/>
      <c r="J80" s="192"/>
      <c r="K80" s="192"/>
      <c r="L80" s="192"/>
      <c r="M80" s="192"/>
      <c r="N80" s="192"/>
      <c r="O80" s="192"/>
      <c r="P80" s="258" t="str">
        <f t="shared" si="3"/>
        <v>1.6T FR8_2 km_OSFP-XD and TBD</v>
      </c>
      <c r="S80" s="603"/>
    </row>
    <row r="81" spans="2:19" s="100" customFormat="1" ht="14.4">
      <c r="B81" s="237" t="str">
        <f>Products!B108</f>
        <v>1.6T LR8</v>
      </c>
      <c r="C81" s="238" t="str">
        <f>Products!C108</f>
        <v>10 km</v>
      </c>
      <c r="D81" s="239" t="str">
        <f>Products!D108</f>
        <v>OSFP-XD and TBD</v>
      </c>
      <c r="E81" s="192"/>
      <c r="F81" s="192"/>
      <c r="G81" s="192"/>
      <c r="H81" s="192"/>
      <c r="I81" s="192"/>
      <c r="J81" s="192"/>
      <c r="K81" s="192"/>
      <c r="L81" s="192"/>
      <c r="M81" s="192"/>
      <c r="N81" s="192"/>
      <c r="O81" s="192"/>
      <c r="P81" s="258" t="str">
        <f t="shared" si="3"/>
        <v>1.6T LR8_10 km_OSFP-XD and TBD</v>
      </c>
      <c r="S81" s="603"/>
    </row>
    <row r="82" spans="2:19" s="100" customFormat="1" ht="14.4">
      <c r="B82" s="240" t="str">
        <f>Products!B109</f>
        <v>1.6T ER8</v>
      </c>
      <c r="C82" s="241" t="str">
        <f>Products!C109</f>
        <v>&gt;10 km</v>
      </c>
      <c r="D82" s="242" t="str">
        <f>Products!D109</f>
        <v>OSFP-XD and TBD</v>
      </c>
      <c r="E82" s="290"/>
      <c r="F82" s="290"/>
      <c r="G82" s="290"/>
      <c r="H82" s="290"/>
      <c r="I82" s="290"/>
      <c r="J82" s="290"/>
      <c r="K82" s="290"/>
      <c r="L82" s="290"/>
      <c r="M82" s="290"/>
      <c r="N82" s="290"/>
      <c r="O82" s="290"/>
      <c r="P82" s="259" t="str">
        <f t="shared" si="3"/>
        <v>1.6T ER8_&gt;10 km_OSFP-XD and TBD</v>
      </c>
      <c r="Q82" s="266"/>
      <c r="S82" s="603"/>
    </row>
    <row r="83" spans="2:19" s="100" customFormat="1" ht="14.4">
      <c r="B83" s="237" t="str">
        <f>Products!B110</f>
        <v>3.2T SR</v>
      </c>
      <c r="C83" s="238" t="str">
        <f>Products!C110</f>
        <v>100 m</v>
      </c>
      <c r="D83" s="239" t="str">
        <f>Products!D110</f>
        <v>OSFP-XD and TBD</v>
      </c>
      <c r="E83" s="192"/>
      <c r="F83" s="192"/>
      <c r="G83" s="192"/>
      <c r="H83" s="192"/>
      <c r="I83" s="192"/>
      <c r="J83" s="192"/>
      <c r="K83" s="192"/>
      <c r="L83" s="192"/>
      <c r="M83" s="192"/>
      <c r="N83" s="192"/>
      <c r="O83" s="192"/>
      <c r="P83" s="258" t="str">
        <f t="shared" si="3"/>
        <v>3.2T SR_100 m_OSFP-XD and TBD</v>
      </c>
      <c r="S83" s="603"/>
    </row>
    <row r="84" spans="2:19" s="100" customFormat="1" ht="14.4">
      <c r="B84" s="237" t="str">
        <f>Products!B111</f>
        <v>3.2T DR</v>
      </c>
      <c r="C84" s="238" t="str">
        <f>Products!C111</f>
        <v>500 m</v>
      </c>
      <c r="D84" s="239" t="str">
        <f>Products!D111</f>
        <v>OSFP-XD and TBD</v>
      </c>
      <c r="E84" s="192"/>
      <c r="F84" s="192"/>
      <c r="G84" s="192"/>
      <c r="H84" s="192"/>
      <c r="I84" s="192"/>
      <c r="J84" s="192"/>
      <c r="K84" s="192"/>
      <c r="L84" s="192"/>
      <c r="M84" s="192"/>
      <c r="N84" s="192"/>
      <c r="O84" s="192"/>
      <c r="P84" s="258" t="str">
        <f t="shared" si="3"/>
        <v>3.2T DR_500 m_OSFP-XD and TBD</v>
      </c>
      <c r="S84" s="603"/>
    </row>
    <row r="85" spans="2:19" s="100" customFormat="1" ht="14.4">
      <c r="B85" s="237" t="str">
        <f>Products!B112</f>
        <v>3.2T FR</v>
      </c>
      <c r="C85" s="238" t="str">
        <f>Products!C112</f>
        <v>2 km</v>
      </c>
      <c r="D85" s="239" t="str">
        <f>Products!D112</f>
        <v>OSFP-XD and TBD</v>
      </c>
      <c r="E85" s="192"/>
      <c r="F85" s="192"/>
      <c r="G85" s="192"/>
      <c r="H85" s="192"/>
      <c r="I85" s="192"/>
      <c r="J85" s="192"/>
      <c r="K85" s="192"/>
      <c r="L85" s="192"/>
      <c r="M85" s="192"/>
      <c r="N85" s="192"/>
      <c r="O85" s="192"/>
      <c r="P85" s="258" t="str">
        <f t="shared" si="3"/>
        <v>3.2T FR_2 km_OSFP-XD and TBD</v>
      </c>
      <c r="S85" s="603"/>
    </row>
    <row r="86" spans="2:19" s="100" customFormat="1" ht="14.4">
      <c r="B86" s="237" t="str">
        <f>Products!B113</f>
        <v>3.2T LR</v>
      </c>
      <c r="C86" s="238" t="str">
        <f>Products!C113</f>
        <v>10 km</v>
      </c>
      <c r="D86" s="239" t="str">
        <f>Products!D113</f>
        <v>OSFP-XD and TBD</v>
      </c>
      <c r="E86" s="192"/>
      <c r="F86" s="192"/>
      <c r="G86" s="192"/>
      <c r="H86" s="192"/>
      <c r="I86" s="192"/>
      <c r="J86" s="192"/>
      <c r="K86" s="192"/>
      <c r="L86" s="192"/>
      <c r="M86" s="192"/>
      <c r="N86" s="192"/>
      <c r="O86" s="192"/>
      <c r="P86" s="258" t="str">
        <f t="shared" si="3"/>
        <v>3.2T LR_10 km_OSFP-XD and TBD</v>
      </c>
      <c r="S86" s="603"/>
    </row>
    <row r="87" spans="2:19" s="100" customFormat="1" ht="14.4">
      <c r="B87" s="237" t="str">
        <f>Products!B114</f>
        <v>3.2T ER</v>
      </c>
      <c r="C87" s="238" t="str">
        <f>Products!C114</f>
        <v>&gt;10 km</v>
      </c>
      <c r="D87" s="239" t="str">
        <f>Products!D114</f>
        <v>OSFP-XD and TBD</v>
      </c>
      <c r="E87" s="192"/>
      <c r="F87" s="192"/>
      <c r="G87" s="192"/>
      <c r="H87" s="192"/>
      <c r="I87" s="192"/>
      <c r="J87" s="192"/>
      <c r="K87" s="192"/>
      <c r="L87" s="192"/>
      <c r="M87" s="192"/>
      <c r="N87" s="192"/>
      <c r="O87" s="192"/>
      <c r="P87" s="258" t="str">
        <f t="shared" si="3"/>
        <v>3.2T ER_&gt;10 km_OSFP-XD and TBD</v>
      </c>
      <c r="S87" s="603"/>
    </row>
    <row r="88" spans="2:19" s="100" customFormat="1" ht="14.4">
      <c r="B88" s="240"/>
      <c r="C88" s="241"/>
      <c r="D88" s="242"/>
      <c r="E88" s="290"/>
      <c r="F88" s="290"/>
      <c r="G88" s="290"/>
      <c r="H88" s="290"/>
      <c r="I88" s="290"/>
      <c r="J88" s="290"/>
      <c r="K88" s="290"/>
      <c r="L88" s="290"/>
      <c r="M88" s="290"/>
      <c r="N88" s="290"/>
      <c r="O88" s="290"/>
      <c r="P88" s="258"/>
      <c r="S88" s="603"/>
    </row>
    <row r="89" spans="2:19" ht="14.4">
      <c r="B89" s="508" t="s">
        <v>20</v>
      </c>
      <c r="C89" s="509"/>
      <c r="D89" s="510"/>
      <c r="E89" s="101">
        <f t="shared" ref="E89:F89" si="4">SUM(E9:E88)</f>
        <v>36433414.034999996</v>
      </c>
      <c r="F89" s="101">
        <f t="shared" si="4"/>
        <v>38102112.150000006</v>
      </c>
      <c r="G89" s="101"/>
      <c r="H89" s="101"/>
      <c r="I89" s="101"/>
      <c r="J89" s="101"/>
      <c r="K89" s="101"/>
      <c r="L89" s="101"/>
      <c r="M89" s="101"/>
      <c r="N89" s="101"/>
      <c r="O89" s="101"/>
      <c r="P89" s="243" t="str">
        <f t="shared" ref="P89:P99" si="5">B89&amp;"_"&amp;C89&amp;"_"&amp;D89</f>
        <v>Total Devices __</v>
      </c>
      <c r="S89" s="603"/>
    </row>
    <row r="90" spans="2:19" ht="14.4">
      <c r="B90" s="231" t="s">
        <v>316</v>
      </c>
      <c r="C90" s="514" t="s">
        <v>49</v>
      </c>
      <c r="D90" s="549" t="s">
        <v>49</v>
      </c>
      <c r="E90" s="388">
        <f t="shared" ref="E90:F90" si="6">SUM(E14:E23)</f>
        <v>18581871.93</v>
      </c>
      <c r="F90" s="504">
        <f t="shared" si="6"/>
        <v>19969351.100000001</v>
      </c>
      <c r="G90" s="504"/>
      <c r="H90" s="504"/>
      <c r="I90" s="504"/>
      <c r="J90" s="504"/>
      <c r="K90" s="504"/>
      <c r="L90" s="504"/>
      <c r="M90" s="504"/>
      <c r="N90" s="504"/>
      <c r="O90" s="504"/>
      <c r="P90" s="356" t="str">
        <f t="shared" si="5"/>
        <v>10G total_All_All</v>
      </c>
      <c r="S90" s="603"/>
    </row>
    <row r="91" spans="2:19" ht="14.4">
      <c r="B91" s="54" t="s">
        <v>201</v>
      </c>
      <c r="C91" s="271" t="s">
        <v>49</v>
      </c>
      <c r="D91" s="507" t="s">
        <v>49</v>
      </c>
      <c r="E91" s="277">
        <f t="shared" ref="E91:F91" si="7">SUM(E24:E26)</f>
        <v>11694</v>
      </c>
      <c r="F91" s="277">
        <f t="shared" si="7"/>
        <v>113327</v>
      </c>
      <c r="G91" s="277"/>
      <c r="H91" s="693"/>
      <c r="I91" s="693"/>
      <c r="J91" s="693"/>
      <c r="K91" s="693"/>
      <c r="L91" s="21"/>
      <c r="M91" s="21"/>
      <c r="N91" s="21"/>
      <c r="O91" s="21"/>
      <c r="P91" s="356" t="str">
        <f t="shared" si="5"/>
        <v>25G total_All_All</v>
      </c>
      <c r="S91" s="603"/>
    </row>
    <row r="92" spans="2:19" ht="14.4">
      <c r="B92" s="54" t="s">
        <v>200</v>
      </c>
      <c r="C92" s="271" t="s">
        <v>49</v>
      </c>
      <c r="D92" s="507" t="s">
        <v>49</v>
      </c>
      <c r="E92" s="21">
        <f t="shared" ref="E92:F92" si="8">SUM(E27:E35)</f>
        <v>3153068</v>
      </c>
      <c r="F92" s="21">
        <f t="shared" si="8"/>
        <v>3864160</v>
      </c>
      <c r="G92" s="21"/>
      <c r="H92" s="21"/>
      <c r="I92" s="21"/>
      <c r="J92" s="21"/>
      <c r="K92" s="21"/>
      <c r="L92" s="21"/>
      <c r="M92" s="21"/>
      <c r="N92" s="21"/>
      <c r="O92" s="21"/>
      <c r="P92" s="356" t="str">
        <f t="shared" si="5"/>
        <v>40G total_All_All</v>
      </c>
      <c r="S92" s="603"/>
    </row>
    <row r="93" spans="2:19" ht="14.4">
      <c r="B93" s="54" t="s">
        <v>202</v>
      </c>
      <c r="C93" s="271" t="s">
        <v>49</v>
      </c>
      <c r="D93" s="507" t="s">
        <v>49</v>
      </c>
      <c r="E93" s="21">
        <f t="shared" ref="E93:F93" si="9">SUM(E36:E40)</f>
        <v>0</v>
      </c>
      <c r="F93" s="21">
        <f t="shared" si="9"/>
        <v>0</v>
      </c>
      <c r="G93" s="21"/>
      <c r="H93" s="21"/>
      <c r="I93" s="21"/>
      <c r="J93" s="21"/>
      <c r="K93" s="21"/>
      <c r="L93" s="21"/>
      <c r="M93" s="21"/>
      <c r="N93" s="21"/>
      <c r="O93" s="21"/>
      <c r="P93" s="356" t="str">
        <f t="shared" si="5"/>
        <v>50G total_All_All</v>
      </c>
      <c r="S93" s="603"/>
    </row>
    <row r="94" spans="2:19" ht="14.4">
      <c r="B94" s="54" t="s">
        <v>197</v>
      </c>
      <c r="C94" s="271" t="s">
        <v>49</v>
      </c>
      <c r="D94" s="507" t="s">
        <v>49</v>
      </c>
      <c r="E94" s="21">
        <f t="shared" ref="E94:F94" si="10">SUM(E41:E59)</f>
        <v>919370</v>
      </c>
      <c r="F94" s="21">
        <f t="shared" si="10"/>
        <v>2881490</v>
      </c>
      <c r="G94" s="21"/>
      <c r="H94" s="21"/>
      <c r="I94" s="21"/>
      <c r="J94" s="21"/>
      <c r="K94" s="21"/>
      <c r="L94" s="21"/>
      <c r="M94" s="21"/>
      <c r="N94" s="21"/>
      <c r="O94" s="21"/>
      <c r="P94" s="356" t="str">
        <f t="shared" si="5"/>
        <v>100G total_All_All</v>
      </c>
      <c r="S94" s="603"/>
    </row>
    <row r="95" spans="2:19" ht="14.4">
      <c r="B95" s="54" t="s">
        <v>199</v>
      </c>
      <c r="C95" s="271" t="s">
        <v>49</v>
      </c>
      <c r="D95" s="507" t="s">
        <v>49</v>
      </c>
      <c r="E95" s="438">
        <f>SUM(E60:E64)</f>
        <v>0</v>
      </c>
      <c r="F95" s="438">
        <f t="shared" ref="F95" si="11">SUM(F60:F64)</f>
        <v>0</v>
      </c>
      <c r="G95" s="438"/>
      <c r="H95" s="438"/>
      <c r="I95" s="438"/>
      <c r="J95" s="438"/>
      <c r="K95" s="21"/>
      <c r="L95" s="21"/>
      <c r="M95" s="21"/>
      <c r="N95" s="21"/>
      <c r="O95" s="21"/>
      <c r="P95" s="356" t="str">
        <f t="shared" si="5"/>
        <v>200G total_All_All</v>
      </c>
      <c r="S95" s="603"/>
    </row>
    <row r="96" spans="2:19" ht="14.4">
      <c r="B96" s="54" t="s">
        <v>198</v>
      </c>
      <c r="C96" s="271" t="s">
        <v>49</v>
      </c>
      <c r="D96" s="507" t="s">
        <v>49</v>
      </c>
      <c r="E96" s="21">
        <f>SUM(E65:E71)</f>
        <v>0</v>
      </c>
      <c r="F96" s="21">
        <f t="shared" ref="F96" si="12">SUM(F65:F71)</f>
        <v>89</v>
      </c>
      <c r="G96" s="21"/>
      <c r="H96" s="21"/>
      <c r="I96" s="21"/>
      <c r="J96" s="21"/>
      <c r="K96" s="21"/>
      <c r="L96" s="21"/>
      <c r="M96" s="21"/>
      <c r="N96" s="21"/>
      <c r="O96" s="21"/>
      <c r="P96" s="356" t="str">
        <f t="shared" si="5"/>
        <v>400G total_All_All</v>
      </c>
      <c r="S96" s="603"/>
    </row>
    <row r="97" spans="2:19" ht="14.4">
      <c r="B97" s="54" t="s">
        <v>345</v>
      </c>
      <c r="C97" s="271" t="s">
        <v>49</v>
      </c>
      <c r="D97" s="507" t="s">
        <v>49</v>
      </c>
      <c r="E97" s="438">
        <f>SUM(E72:E77)</f>
        <v>0</v>
      </c>
      <c r="F97" s="438">
        <f t="shared" ref="F97" si="13">SUM(F72:F77)</f>
        <v>0</v>
      </c>
      <c r="G97" s="438"/>
      <c r="H97" s="438"/>
      <c r="I97" s="438"/>
      <c r="J97" s="438"/>
      <c r="K97" s="438"/>
      <c r="L97" s="438"/>
      <c r="M97" s="438"/>
      <c r="N97" s="438"/>
      <c r="O97" s="438"/>
      <c r="P97" s="356" t="str">
        <f t="shared" si="5"/>
        <v>800G total_All_All</v>
      </c>
      <c r="S97" s="603"/>
    </row>
    <row r="98" spans="2:19" ht="14.4">
      <c r="B98" s="54" t="s">
        <v>427</v>
      </c>
      <c r="C98" s="271" t="s">
        <v>49</v>
      </c>
      <c r="D98" s="507" t="s">
        <v>49</v>
      </c>
      <c r="E98" s="21"/>
      <c r="F98" s="21"/>
      <c r="G98" s="21"/>
      <c r="H98" s="21"/>
      <c r="I98" s="21"/>
      <c r="J98" s="438"/>
      <c r="K98" s="438"/>
      <c r="L98" s="21"/>
      <c r="M98" s="21"/>
      <c r="N98" s="21"/>
      <c r="O98" s="21"/>
      <c r="P98" s="356" t="str">
        <f t="shared" si="5"/>
        <v>1.6T total_All_All</v>
      </c>
      <c r="S98" s="603"/>
    </row>
    <row r="99" spans="2:19" ht="14.4">
      <c r="B99" s="708" t="s">
        <v>428</v>
      </c>
      <c r="C99" s="269" t="s">
        <v>49</v>
      </c>
      <c r="D99" s="709" t="s">
        <v>49</v>
      </c>
      <c r="E99" s="61"/>
      <c r="F99" s="61"/>
      <c r="G99" s="61"/>
      <c r="H99" s="61"/>
      <c r="I99" s="61"/>
      <c r="J99" s="61"/>
      <c r="K99" s="61"/>
      <c r="L99" s="61"/>
      <c r="M99" s="61"/>
      <c r="N99" s="61"/>
      <c r="O99" s="61"/>
      <c r="P99" s="356" t="str">
        <f t="shared" si="5"/>
        <v>3.2T total_All_All</v>
      </c>
      <c r="S99" s="603"/>
    </row>
    <row r="101" spans="2:19">
      <c r="Q101" s="621"/>
    </row>
    <row r="102" spans="2:19">
      <c r="Q102" s="621"/>
    </row>
    <row r="103" spans="2:19" ht="21">
      <c r="B103" s="506" t="s">
        <v>19</v>
      </c>
      <c r="C103" s="506"/>
      <c r="D103" s="506"/>
      <c r="E103" s="440"/>
      <c r="F103" s="440"/>
      <c r="G103" s="440"/>
      <c r="H103" s="440"/>
      <c r="I103" s="440"/>
      <c r="J103" s="440"/>
      <c r="K103" s="440"/>
      <c r="L103" s="440"/>
      <c r="M103" s="440"/>
      <c r="N103" s="440"/>
      <c r="O103" s="440"/>
      <c r="Q103" s="621"/>
    </row>
    <row r="104" spans="2:19">
      <c r="B104" s="85" t="str">
        <f>B6</f>
        <v>Data Rate</v>
      </c>
      <c r="C104" s="85" t="str">
        <f>C6</f>
        <v>Reach</v>
      </c>
      <c r="D104" s="85" t="str">
        <f>D6</f>
        <v>Form Factor</v>
      </c>
      <c r="E104" s="86">
        <v>2016</v>
      </c>
      <c r="F104" s="86">
        <v>2017</v>
      </c>
      <c r="G104" s="86">
        <v>2018</v>
      </c>
      <c r="H104" s="86">
        <v>2019</v>
      </c>
      <c r="I104" s="86">
        <v>2020</v>
      </c>
      <c r="J104" s="86">
        <v>2021</v>
      </c>
      <c r="K104" s="86">
        <v>2022</v>
      </c>
      <c r="L104" s="86">
        <v>2023</v>
      </c>
      <c r="M104" s="86">
        <v>2024</v>
      </c>
      <c r="N104" s="86">
        <v>2025</v>
      </c>
      <c r="O104" s="86">
        <v>2026</v>
      </c>
      <c r="Q104" s="621"/>
    </row>
    <row r="105" spans="2:19">
      <c r="B105" s="234" t="str">
        <f t="shared" ref="B105:D134" si="14">B9</f>
        <v>1G</v>
      </c>
      <c r="C105" s="235" t="str">
        <f t="shared" si="14"/>
        <v>500 m</v>
      </c>
      <c r="D105" s="236" t="str">
        <f t="shared" si="14"/>
        <v>SFP</v>
      </c>
      <c r="E105" s="108">
        <f t="shared" ref="E105:O105" si="15">IF(E9=0,"",E201*10^6/E9)</f>
        <v>10.178233731377588</v>
      </c>
      <c r="F105" s="108">
        <f t="shared" si="15"/>
        <v>8.9746992158904888</v>
      </c>
      <c r="G105" s="108" t="str">
        <f t="shared" si="15"/>
        <v/>
      </c>
      <c r="H105" s="108" t="str">
        <f t="shared" si="15"/>
        <v/>
      </c>
      <c r="I105" s="108" t="str">
        <f t="shared" si="15"/>
        <v/>
      </c>
      <c r="J105" s="108" t="str">
        <f t="shared" si="15"/>
        <v/>
      </c>
      <c r="K105" s="108" t="str">
        <f t="shared" si="15"/>
        <v/>
      </c>
      <c r="L105" s="108" t="str">
        <f t="shared" si="15"/>
        <v/>
      </c>
      <c r="M105" s="108" t="str">
        <f t="shared" si="15"/>
        <v/>
      </c>
      <c r="N105" s="108" t="str">
        <f t="shared" si="15"/>
        <v/>
      </c>
      <c r="O105" s="108" t="str">
        <f t="shared" si="15"/>
        <v/>
      </c>
      <c r="Q105" s="621"/>
    </row>
    <row r="106" spans="2:19">
      <c r="B106" s="237" t="str">
        <f t="shared" si="14"/>
        <v>1G</v>
      </c>
      <c r="C106" s="238" t="str">
        <f t="shared" si="14"/>
        <v>10 km</v>
      </c>
      <c r="D106" s="239" t="str">
        <f t="shared" si="14"/>
        <v>SFP</v>
      </c>
      <c r="E106" s="108">
        <f t="shared" ref="E106:O106" si="16">IF(E10=0,"",E202*10^6/E10)</f>
        <v>11.313150064475876</v>
      </c>
      <c r="F106" s="108">
        <f t="shared" si="16"/>
        <v>9.7279618337487541</v>
      </c>
      <c r="G106" s="108" t="str">
        <f t="shared" si="16"/>
        <v/>
      </c>
      <c r="H106" s="108" t="str">
        <f t="shared" si="16"/>
        <v/>
      </c>
      <c r="I106" s="108" t="str">
        <f t="shared" si="16"/>
        <v/>
      </c>
      <c r="J106" s="108" t="str">
        <f t="shared" si="16"/>
        <v/>
      </c>
      <c r="K106" s="108" t="str">
        <f t="shared" si="16"/>
        <v/>
      </c>
      <c r="L106" s="108" t="str">
        <f t="shared" si="16"/>
        <v/>
      </c>
      <c r="M106" s="108" t="str">
        <f t="shared" si="16"/>
        <v/>
      </c>
      <c r="N106" s="108" t="str">
        <f t="shared" si="16"/>
        <v/>
      </c>
      <c r="O106" s="108" t="str">
        <f t="shared" si="16"/>
        <v/>
      </c>
      <c r="Q106" s="621"/>
    </row>
    <row r="107" spans="2:19">
      <c r="B107" s="237" t="str">
        <f t="shared" si="14"/>
        <v>1G</v>
      </c>
      <c r="C107" s="238" t="str">
        <f t="shared" si="14"/>
        <v>40 km</v>
      </c>
      <c r="D107" s="239" t="str">
        <f t="shared" si="14"/>
        <v>SFP</v>
      </c>
      <c r="E107" s="108">
        <f t="shared" ref="E107:O107" si="17">IF(E11=0,"",E203*10^6/E11)</f>
        <v>14.223250006112197</v>
      </c>
      <c r="F107" s="108">
        <f t="shared" si="17"/>
        <v>11.270556706605298</v>
      </c>
      <c r="G107" s="108" t="str">
        <f t="shared" si="17"/>
        <v/>
      </c>
      <c r="H107" s="108" t="str">
        <f t="shared" si="17"/>
        <v/>
      </c>
      <c r="I107" s="108" t="str">
        <f t="shared" si="17"/>
        <v/>
      </c>
      <c r="J107" s="108" t="str">
        <f t="shared" si="17"/>
        <v/>
      </c>
      <c r="K107" s="108" t="str">
        <f t="shared" si="17"/>
        <v/>
      </c>
      <c r="L107" s="108" t="str">
        <f t="shared" si="17"/>
        <v/>
      </c>
      <c r="M107" s="108" t="str">
        <f t="shared" si="17"/>
        <v/>
      </c>
      <c r="N107" s="108" t="str">
        <f t="shared" si="17"/>
        <v/>
      </c>
      <c r="O107" s="108" t="str">
        <f t="shared" si="17"/>
        <v/>
      </c>
      <c r="Q107" s="621"/>
    </row>
    <row r="108" spans="2:19">
      <c r="B108" s="237" t="str">
        <f t="shared" si="14"/>
        <v>1G</v>
      </c>
      <c r="C108" s="238" t="str">
        <f t="shared" si="14"/>
        <v>80 km</v>
      </c>
      <c r="D108" s="239" t="str">
        <f t="shared" si="14"/>
        <v>SFP</v>
      </c>
      <c r="E108" s="108">
        <f t="shared" ref="E108:O108" si="18">IF(E12=0,"",E204*10^6/E12)</f>
        <v>47.263945249069465</v>
      </c>
      <c r="F108" s="108">
        <f t="shared" si="18"/>
        <v>42.349942382451964</v>
      </c>
      <c r="G108" s="108" t="str">
        <f t="shared" si="18"/>
        <v/>
      </c>
      <c r="H108" s="108" t="str">
        <f t="shared" si="18"/>
        <v/>
      </c>
      <c r="I108" s="108" t="str">
        <f t="shared" si="18"/>
        <v/>
      </c>
      <c r="J108" s="108" t="str">
        <f t="shared" si="18"/>
        <v/>
      </c>
      <c r="K108" s="108" t="str">
        <f t="shared" si="18"/>
        <v/>
      </c>
      <c r="L108" s="108" t="str">
        <f t="shared" si="18"/>
        <v/>
      </c>
      <c r="M108" s="108" t="str">
        <f t="shared" si="18"/>
        <v/>
      </c>
      <c r="N108" s="108" t="str">
        <f t="shared" si="18"/>
        <v/>
      </c>
      <c r="O108" s="108" t="str">
        <f t="shared" si="18"/>
        <v/>
      </c>
      <c r="Q108" s="621"/>
    </row>
    <row r="109" spans="2:19">
      <c r="B109" s="240" t="str">
        <f t="shared" si="14"/>
        <v>G &amp; Fast Ethernet</v>
      </c>
      <c r="C109" s="241" t="str">
        <f t="shared" si="14"/>
        <v>Various</v>
      </c>
      <c r="D109" s="242" t="str">
        <f t="shared" si="14"/>
        <v>Legacy/discontinued</v>
      </c>
      <c r="E109" s="442">
        <f t="shared" ref="E109:G134" si="19">IF(E13=0,"",E205*10^6/E13)</f>
        <v>18</v>
      </c>
      <c r="F109" s="442" t="str">
        <f t="shared" si="19"/>
        <v/>
      </c>
      <c r="G109" s="442" t="str">
        <f t="shared" si="19"/>
        <v/>
      </c>
      <c r="H109" s="442"/>
      <c r="I109" s="442"/>
      <c r="J109" s="442"/>
      <c r="K109" s="442"/>
      <c r="L109" s="442"/>
      <c r="M109" s="442"/>
      <c r="N109" s="442"/>
      <c r="O109" s="442"/>
      <c r="Q109" s="621"/>
    </row>
    <row r="110" spans="2:19">
      <c r="B110" s="237" t="str">
        <f t="shared" si="14"/>
        <v>10G</v>
      </c>
      <c r="C110" s="238" t="str">
        <f t="shared" si="14"/>
        <v>300 m</v>
      </c>
      <c r="D110" s="239" t="str">
        <f t="shared" si="14"/>
        <v>XFP</v>
      </c>
      <c r="E110" s="108">
        <f t="shared" si="19"/>
        <v>65.084287545305614</v>
      </c>
      <c r="F110" s="108">
        <f t="shared" si="19"/>
        <v>58.749084731162213</v>
      </c>
      <c r="G110" s="108" t="str">
        <f t="shared" si="19"/>
        <v/>
      </c>
      <c r="H110" s="108" t="str">
        <f t="shared" ref="H110:O110" si="20">IF(H14=0,"",H206*10^6/H14)</f>
        <v/>
      </c>
      <c r="I110" s="108" t="str">
        <f t="shared" si="20"/>
        <v/>
      </c>
      <c r="J110" s="108" t="str">
        <f t="shared" si="20"/>
        <v/>
      </c>
      <c r="K110" s="108" t="str">
        <f t="shared" si="20"/>
        <v/>
      </c>
      <c r="L110" s="108" t="str">
        <f t="shared" si="20"/>
        <v/>
      </c>
      <c r="M110" s="108" t="str">
        <f t="shared" si="20"/>
        <v/>
      </c>
      <c r="N110" s="108" t="str">
        <f t="shared" si="20"/>
        <v/>
      </c>
      <c r="O110" s="108" t="str">
        <f t="shared" si="20"/>
        <v/>
      </c>
      <c r="Q110" s="621"/>
    </row>
    <row r="111" spans="2:19">
      <c r="B111" s="237" t="str">
        <f t="shared" si="14"/>
        <v>10G</v>
      </c>
      <c r="C111" s="238" t="str">
        <f t="shared" si="14"/>
        <v>300 m</v>
      </c>
      <c r="D111" s="239" t="str">
        <f t="shared" si="14"/>
        <v>SFP+</v>
      </c>
      <c r="E111" s="108">
        <f t="shared" si="19"/>
        <v>18.016278339273537</v>
      </c>
      <c r="F111" s="108">
        <f t="shared" si="19"/>
        <v>15.097691372748406</v>
      </c>
      <c r="G111" s="108" t="str">
        <f t="shared" si="19"/>
        <v/>
      </c>
      <c r="H111" s="108" t="str">
        <f t="shared" ref="H111:O111" si="21">IF(H15=0,"",H207*10^6/H15)</f>
        <v/>
      </c>
      <c r="I111" s="108" t="str">
        <f t="shared" si="21"/>
        <v/>
      </c>
      <c r="J111" s="108" t="str">
        <f t="shared" si="21"/>
        <v/>
      </c>
      <c r="K111" s="108" t="str">
        <f t="shared" si="21"/>
        <v/>
      </c>
      <c r="L111" s="108" t="str">
        <f t="shared" si="21"/>
        <v/>
      </c>
      <c r="M111" s="108" t="str">
        <f t="shared" si="21"/>
        <v/>
      </c>
      <c r="N111" s="108" t="str">
        <f t="shared" si="21"/>
        <v/>
      </c>
      <c r="O111" s="108" t="str">
        <f t="shared" si="21"/>
        <v/>
      </c>
      <c r="Q111" s="621"/>
    </row>
    <row r="112" spans="2:19">
      <c r="B112" s="237" t="str">
        <f t="shared" si="14"/>
        <v>10G LRM</v>
      </c>
      <c r="C112" s="238" t="str">
        <f t="shared" si="14"/>
        <v>220 m</v>
      </c>
      <c r="D112" s="239" t="str">
        <f t="shared" si="14"/>
        <v>SFP+</v>
      </c>
      <c r="E112" s="108">
        <f t="shared" si="19"/>
        <v>78.390761412913719</v>
      </c>
      <c r="F112" s="108">
        <f t="shared" si="19"/>
        <v>66.716018564745482</v>
      </c>
      <c r="G112" s="108" t="str">
        <f t="shared" si="19"/>
        <v/>
      </c>
      <c r="H112" s="108" t="str">
        <f t="shared" ref="H112:O112" si="22">IF(H16=0,"",H208*10^6/H16)</f>
        <v/>
      </c>
      <c r="I112" s="108" t="str">
        <f t="shared" si="22"/>
        <v/>
      </c>
      <c r="J112" s="108" t="str">
        <f t="shared" si="22"/>
        <v/>
      </c>
      <c r="K112" s="108" t="str">
        <f t="shared" si="22"/>
        <v/>
      </c>
      <c r="L112" s="108" t="str">
        <f t="shared" si="22"/>
        <v/>
      </c>
      <c r="M112" s="108" t="str">
        <f t="shared" si="22"/>
        <v/>
      </c>
      <c r="N112" s="108" t="str">
        <f t="shared" si="22"/>
        <v/>
      </c>
      <c r="O112" s="108" t="str">
        <f t="shared" si="22"/>
        <v/>
      </c>
      <c r="Q112" s="621"/>
    </row>
    <row r="113" spans="2:17">
      <c r="B113" s="237" t="str">
        <f t="shared" si="14"/>
        <v>10G</v>
      </c>
      <c r="C113" s="238" t="str">
        <f t="shared" si="14"/>
        <v>10 km</v>
      </c>
      <c r="D113" s="239" t="str">
        <f t="shared" si="14"/>
        <v>XFP</v>
      </c>
      <c r="E113" s="108">
        <f t="shared" si="19"/>
        <v>67.576972221049004</v>
      </c>
      <c r="F113" s="108">
        <f t="shared" si="19"/>
        <v>51.799368807617711</v>
      </c>
      <c r="G113" s="108" t="str">
        <f t="shared" si="19"/>
        <v/>
      </c>
      <c r="H113" s="108" t="str">
        <f t="shared" ref="H113:O113" si="23">IF(H17=0,"",H209*10^6/H17)</f>
        <v/>
      </c>
      <c r="I113" s="108" t="str">
        <f t="shared" si="23"/>
        <v/>
      </c>
      <c r="J113" s="108" t="str">
        <f t="shared" si="23"/>
        <v/>
      </c>
      <c r="K113" s="108" t="str">
        <f t="shared" si="23"/>
        <v/>
      </c>
      <c r="L113" s="108" t="str">
        <f t="shared" si="23"/>
        <v/>
      </c>
      <c r="M113" s="108" t="str">
        <f t="shared" si="23"/>
        <v/>
      </c>
      <c r="N113" s="108" t="str">
        <f t="shared" si="23"/>
        <v/>
      </c>
      <c r="O113" s="108" t="str">
        <f t="shared" si="23"/>
        <v/>
      </c>
      <c r="Q113" s="621"/>
    </row>
    <row r="114" spans="2:17">
      <c r="B114" s="237" t="str">
        <f t="shared" si="14"/>
        <v>10G</v>
      </c>
      <c r="C114" s="238" t="str">
        <f t="shared" si="14"/>
        <v>10 km</v>
      </c>
      <c r="D114" s="239" t="str">
        <f t="shared" si="14"/>
        <v>SFP+</v>
      </c>
      <c r="E114" s="108">
        <f t="shared" si="19"/>
        <v>38.465958311427336</v>
      </c>
      <c r="F114" s="108">
        <f t="shared" si="19"/>
        <v>30.5</v>
      </c>
      <c r="G114" s="108" t="str">
        <f t="shared" si="19"/>
        <v/>
      </c>
      <c r="H114" s="108" t="str">
        <f t="shared" ref="H114:O114" si="24">IF(H18=0,"",H210*10^6/H18)</f>
        <v/>
      </c>
      <c r="I114" s="108" t="str">
        <f t="shared" si="24"/>
        <v/>
      </c>
      <c r="J114" s="108" t="str">
        <f t="shared" si="24"/>
        <v/>
      </c>
      <c r="K114" s="108" t="str">
        <f t="shared" si="24"/>
        <v/>
      </c>
      <c r="L114" s="108" t="str">
        <f t="shared" si="24"/>
        <v/>
      </c>
      <c r="M114" s="108" t="str">
        <f t="shared" si="24"/>
        <v/>
      </c>
      <c r="N114" s="108" t="str">
        <f t="shared" si="24"/>
        <v/>
      </c>
      <c r="O114" s="108" t="str">
        <f t="shared" si="24"/>
        <v/>
      </c>
      <c r="Q114" s="621"/>
    </row>
    <row r="115" spans="2:17">
      <c r="B115" s="237" t="str">
        <f t="shared" si="14"/>
        <v>10G</v>
      </c>
      <c r="C115" s="238" t="str">
        <f t="shared" si="14"/>
        <v>40 km</v>
      </c>
      <c r="D115" s="239" t="str">
        <f t="shared" si="14"/>
        <v>XFP</v>
      </c>
      <c r="E115" s="108">
        <f t="shared" si="19"/>
        <v>202.96860771881492</v>
      </c>
      <c r="F115" s="108">
        <f t="shared" si="19"/>
        <v>139.47449702400385</v>
      </c>
      <c r="G115" s="108" t="str">
        <f t="shared" si="19"/>
        <v/>
      </c>
      <c r="H115" s="108" t="str">
        <f t="shared" ref="H115:O115" si="25">IF(H19=0,"",H211*10^6/H19)</f>
        <v/>
      </c>
      <c r="I115" s="108" t="str">
        <f t="shared" si="25"/>
        <v/>
      </c>
      <c r="J115" s="108" t="str">
        <f t="shared" si="25"/>
        <v/>
      </c>
      <c r="K115" s="108" t="str">
        <f t="shared" si="25"/>
        <v/>
      </c>
      <c r="L115" s="108" t="str">
        <f t="shared" si="25"/>
        <v/>
      </c>
      <c r="M115" s="108" t="str">
        <f t="shared" si="25"/>
        <v/>
      </c>
      <c r="N115" s="108" t="str">
        <f t="shared" si="25"/>
        <v/>
      </c>
      <c r="O115" s="108" t="str">
        <f t="shared" si="25"/>
        <v/>
      </c>
      <c r="Q115" s="621"/>
    </row>
    <row r="116" spans="2:17">
      <c r="B116" s="237" t="str">
        <f t="shared" si="14"/>
        <v>10G</v>
      </c>
      <c r="C116" s="238" t="str">
        <f t="shared" si="14"/>
        <v>40 km</v>
      </c>
      <c r="D116" s="239" t="str">
        <f t="shared" si="14"/>
        <v>SFP+</v>
      </c>
      <c r="E116" s="108">
        <f t="shared" si="19"/>
        <v>191.20778168956542</v>
      </c>
      <c r="F116" s="108">
        <f t="shared" si="19"/>
        <v>155.78241680453388</v>
      </c>
      <c r="G116" s="108" t="str">
        <f t="shared" si="19"/>
        <v/>
      </c>
      <c r="H116" s="108" t="str">
        <f t="shared" ref="H116:O116" si="26">IF(H20=0,"",H212*10^6/H20)</f>
        <v/>
      </c>
      <c r="I116" s="108" t="str">
        <f t="shared" si="26"/>
        <v/>
      </c>
      <c r="J116" s="108" t="str">
        <f t="shared" si="26"/>
        <v/>
      </c>
      <c r="K116" s="108" t="str">
        <f t="shared" si="26"/>
        <v/>
      </c>
      <c r="L116" s="108" t="str">
        <f t="shared" si="26"/>
        <v/>
      </c>
      <c r="M116" s="108" t="str">
        <f t="shared" si="26"/>
        <v/>
      </c>
      <c r="N116" s="108" t="str">
        <f t="shared" si="26"/>
        <v/>
      </c>
      <c r="O116" s="108" t="str">
        <f t="shared" si="26"/>
        <v/>
      </c>
      <c r="Q116" s="621"/>
    </row>
    <row r="117" spans="2:17">
      <c r="B117" s="237" t="str">
        <f t="shared" si="14"/>
        <v>10G</v>
      </c>
      <c r="C117" s="238" t="str">
        <f t="shared" si="14"/>
        <v>80 km</v>
      </c>
      <c r="D117" s="239" t="str">
        <f t="shared" si="14"/>
        <v>XFP</v>
      </c>
      <c r="E117" s="108">
        <f t="shared" si="19"/>
        <v>272.0748723385496</v>
      </c>
      <c r="F117" s="108">
        <f t="shared" si="19"/>
        <v>279.05568350167476</v>
      </c>
      <c r="G117" s="108" t="str">
        <f t="shared" si="19"/>
        <v/>
      </c>
      <c r="H117" s="108" t="str">
        <f t="shared" ref="H117:O117" si="27">IF(H21=0,"",H213*10^6/H21)</f>
        <v/>
      </c>
      <c r="I117" s="108" t="str">
        <f t="shared" si="27"/>
        <v/>
      </c>
      <c r="J117" s="108" t="str">
        <f t="shared" si="27"/>
        <v/>
      </c>
      <c r="K117" s="108" t="str">
        <f t="shared" si="27"/>
        <v/>
      </c>
      <c r="L117" s="108" t="str">
        <f t="shared" si="27"/>
        <v/>
      </c>
      <c r="M117" s="108" t="str">
        <f t="shared" si="27"/>
        <v/>
      </c>
      <c r="N117" s="108" t="str">
        <f t="shared" si="27"/>
        <v/>
      </c>
      <c r="O117" s="108" t="str">
        <f t="shared" si="27"/>
        <v/>
      </c>
      <c r="Q117" s="621"/>
    </row>
    <row r="118" spans="2:17">
      <c r="B118" s="237" t="str">
        <f t="shared" si="14"/>
        <v>10G</v>
      </c>
      <c r="C118" s="238" t="str">
        <f t="shared" si="14"/>
        <v>80 km</v>
      </c>
      <c r="D118" s="239" t="str">
        <f t="shared" si="14"/>
        <v>SFP+</v>
      </c>
      <c r="E118" s="108">
        <f t="shared" si="19"/>
        <v>362.31733736347383</v>
      </c>
      <c r="F118" s="108">
        <f t="shared" si="19"/>
        <v>296.14130230693672</v>
      </c>
      <c r="G118" s="108" t="str">
        <f t="shared" si="19"/>
        <v/>
      </c>
      <c r="H118" s="108" t="str">
        <f t="shared" ref="H118:O118" si="28">IF(H22=0,"",H214*10^6/H22)</f>
        <v/>
      </c>
      <c r="I118" s="108" t="str">
        <f t="shared" si="28"/>
        <v/>
      </c>
      <c r="J118" s="108" t="str">
        <f t="shared" si="28"/>
        <v/>
      </c>
      <c r="K118" s="108" t="str">
        <f t="shared" si="28"/>
        <v/>
      </c>
      <c r="L118" s="108" t="str">
        <f t="shared" si="28"/>
        <v/>
      </c>
      <c r="M118" s="108" t="str">
        <f t="shared" si="28"/>
        <v/>
      </c>
      <c r="N118" s="108" t="str">
        <f t="shared" si="28"/>
        <v/>
      </c>
      <c r="O118" s="108" t="str">
        <f t="shared" si="28"/>
        <v/>
      </c>
      <c r="Q118" s="621"/>
    </row>
    <row r="119" spans="2:17">
      <c r="B119" s="237" t="str">
        <f t="shared" si="14"/>
        <v>10G</v>
      </c>
      <c r="C119" s="238" t="str">
        <f t="shared" si="14"/>
        <v>Various</v>
      </c>
      <c r="D119" s="239" t="str">
        <f t="shared" si="14"/>
        <v>Legacy/discontinued</v>
      </c>
      <c r="E119" s="442">
        <f t="shared" si="19"/>
        <v>99.093186017554928</v>
      </c>
      <c r="F119" s="442">
        <f t="shared" si="19"/>
        <v>94.281145957499305</v>
      </c>
      <c r="G119" s="442" t="str">
        <f t="shared" si="19"/>
        <v/>
      </c>
      <c r="H119" s="442" t="str">
        <f t="shared" ref="H119:O119" si="29">IF(H23=0,"",H215*10^6/H23)</f>
        <v/>
      </c>
      <c r="I119" s="442" t="str">
        <f t="shared" si="29"/>
        <v/>
      </c>
      <c r="J119" s="442" t="str">
        <f t="shared" si="29"/>
        <v/>
      </c>
      <c r="K119" s="442" t="str">
        <f t="shared" si="29"/>
        <v/>
      </c>
      <c r="L119" s="442" t="str">
        <f t="shared" si="29"/>
        <v/>
      </c>
      <c r="M119" s="442" t="str">
        <f t="shared" si="29"/>
        <v/>
      </c>
      <c r="N119" s="442" t="str">
        <f t="shared" si="29"/>
        <v/>
      </c>
      <c r="O119" s="442" t="str">
        <f t="shared" si="29"/>
        <v/>
      </c>
      <c r="Q119" s="621"/>
    </row>
    <row r="120" spans="2:17">
      <c r="B120" s="234" t="str">
        <f t="shared" si="14"/>
        <v>25G SR, eSR</v>
      </c>
      <c r="C120" s="235" t="str">
        <f t="shared" si="14"/>
        <v>100 - 300 m</v>
      </c>
      <c r="D120" s="236" t="str">
        <f t="shared" si="14"/>
        <v>SFP28</v>
      </c>
      <c r="E120" s="357">
        <f t="shared" si="19"/>
        <v>187.14315701091519</v>
      </c>
      <c r="F120" s="357">
        <f t="shared" si="19"/>
        <v>141.11071819746516</v>
      </c>
      <c r="G120" s="357" t="str">
        <f t="shared" si="19"/>
        <v/>
      </c>
      <c r="H120" s="357" t="str">
        <f t="shared" ref="H120:O120" si="30">IF(H24=0,"",H216*10^6/H24)</f>
        <v/>
      </c>
      <c r="I120" s="357" t="str">
        <f t="shared" si="30"/>
        <v/>
      </c>
      <c r="J120" s="357" t="str">
        <f t="shared" si="30"/>
        <v/>
      </c>
      <c r="K120" s="357" t="str">
        <f t="shared" si="30"/>
        <v/>
      </c>
      <c r="L120" s="357" t="str">
        <f t="shared" si="30"/>
        <v/>
      </c>
      <c r="M120" s="357" t="str">
        <f t="shared" si="30"/>
        <v/>
      </c>
      <c r="N120" s="357" t="str">
        <f t="shared" si="30"/>
        <v/>
      </c>
      <c r="O120" s="357" t="str">
        <f t="shared" si="30"/>
        <v/>
      </c>
      <c r="Q120" s="621"/>
    </row>
    <row r="121" spans="2:17">
      <c r="B121" s="237" t="str">
        <f t="shared" si="14"/>
        <v>25G LR</v>
      </c>
      <c r="C121" s="238" t="str">
        <f t="shared" si="14"/>
        <v>10 km</v>
      </c>
      <c r="D121" s="239" t="str">
        <f t="shared" si="14"/>
        <v>SFP28</v>
      </c>
      <c r="E121" s="108">
        <f t="shared" si="19"/>
        <v>456.24032541776609</v>
      </c>
      <c r="F121" s="108">
        <f t="shared" si="19"/>
        <v>324.10355668962507</v>
      </c>
      <c r="G121" s="108" t="str">
        <f t="shared" si="19"/>
        <v/>
      </c>
      <c r="H121" s="108" t="str">
        <f t="shared" ref="H121:O121" si="31">IF(H25=0,"",H217*10^6/H25)</f>
        <v/>
      </c>
      <c r="I121" s="108" t="str">
        <f t="shared" si="31"/>
        <v/>
      </c>
      <c r="J121" s="108" t="str">
        <f t="shared" si="31"/>
        <v/>
      </c>
      <c r="K121" s="108" t="str">
        <f t="shared" si="31"/>
        <v/>
      </c>
      <c r="L121" s="108" t="str">
        <f t="shared" si="31"/>
        <v/>
      </c>
      <c r="M121" s="108" t="str">
        <f t="shared" si="31"/>
        <v/>
      </c>
      <c r="N121" s="108" t="str">
        <f t="shared" si="31"/>
        <v/>
      </c>
      <c r="O121" s="108" t="str">
        <f t="shared" si="31"/>
        <v/>
      </c>
      <c r="Q121" s="621"/>
    </row>
    <row r="122" spans="2:17">
      <c r="B122" s="240" t="str">
        <f t="shared" si="14"/>
        <v>25G ER</v>
      </c>
      <c r="C122" s="241" t="str">
        <f t="shared" si="14"/>
        <v>40 km</v>
      </c>
      <c r="D122" s="242" t="str">
        <f t="shared" si="14"/>
        <v>SFP28</v>
      </c>
      <c r="E122" s="108" t="str">
        <f t="shared" si="19"/>
        <v/>
      </c>
      <c r="F122" s="108" t="str">
        <f t="shared" si="19"/>
        <v/>
      </c>
      <c r="G122" s="108" t="str">
        <f t="shared" si="19"/>
        <v/>
      </c>
      <c r="H122" s="108" t="str">
        <f t="shared" ref="H122:O122" si="32">IF(H26=0,"",H218*10^6/H26)</f>
        <v/>
      </c>
      <c r="I122" s="108" t="str">
        <f t="shared" si="32"/>
        <v/>
      </c>
      <c r="J122" s="108" t="str">
        <f t="shared" si="32"/>
        <v/>
      </c>
      <c r="K122" s="108" t="str">
        <f t="shared" si="32"/>
        <v/>
      </c>
      <c r="L122" s="108" t="str">
        <f t="shared" si="32"/>
        <v/>
      </c>
      <c r="M122" s="108" t="str">
        <f t="shared" si="32"/>
        <v/>
      </c>
      <c r="N122" s="108" t="str">
        <f t="shared" si="32"/>
        <v/>
      </c>
      <c r="O122" s="108" t="str">
        <f t="shared" si="32"/>
        <v/>
      </c>
      <c r="Q122" s="621"/>
    </row>
    <row r="123" spans="2:17">
      <c r="B123" s="237" t="str">
        <f t="shared" si="14"/>
        <v>40G SR4</v>
      </c>
      <c r="C123" s="238" t="str">
        <f t="shared" si="14"/>
        <v>100 m</v>
      </c>
      <c r="D123" s="239" t="str">
        <f t="shared" si="14"/>
        <v>QSFP+</v>
      </c>
      <c r="E123" s="357">
        <f t="shared" si="19"/>
        <v>96.595063887564976</v>
      </c>
      <c r="F123" s="357">
        <f t="shared" si="19"/>
        <v>80.379797575925679</v>
      </c>
      <c r="G123" s="357" t="str">
        <f t="shared" si="19"/>
        <v/>
      </c>
      <c r="H123" s="357" t="str">
        <f t="shared" ref="H123:O123" si="33">IF(H27=0,"",H219*10^6/H27)</f>
        <v/>
      </c>
      <c r="I123" s="357" t="str">
        <f t="shared" si="33"/>
        <v/>
      </c>
      <c r="J123" s="357" t="str">
        <f t="shared" si="33"/>
        <v/>
      </c>
      <c r="K123" s="357" t="str">
        <f t="shared" si="33"/>
        <v/>
      </c>
      <c r="L123" s="357" t="str">
        <f t="shared" si="33"/>
        <v/>
      </c>
      <c r="M123" s="357" t="str">
        <f t="shared" si="33"/>
        <v/>
      </c>
      <c r="N123" s="357" t="str">
        <f t="shared" si="33"/>
        <v/>
      </c>
      <c r="O123" s="357" t="str">
        <f t="shared" si="33"/>
        <v/>
      </c>
      <c r="Q123" s="621"/>
    </row>
    <row r="124" spans="2:17">
      <c r="B124" s="237" t="str">
        <f t="shared" si="14"/>
        <v>40G MM duplex</v>
      </c>
      <c r="C124" s="238" t="str">
        <f t="shared" si="14"/>
        <v>100 m</v>
      </c>
      <c r="D124" s="239" t="str">
        <f t="shared" si="14"/>
        <v>QSFP+</v>
      </c>
      <c r="E124" s="108">
        <f t="shared" si="19"/>
        <v>250</v>
      </c>
      <c r="F124" s="108">
        <f t="shared" si="19"/>
        <v>240</v>
      </c>
      <c r="G124" s="108" t="str">
        <f t="shared" si="19"/>
        <v/>
      </c>
      <c r="H124" s="108" t="str">
        <f t="shared" ref="H124:O124" si="34">IF(H28=0,"",H220*10^6/H28)</f>
        <v/>
      </c>
      <c r="I124" s="108" t="str">
        <f t="shared" si="34"/>
        <v/>
      </c>
      <c r="J124" s="108" t="str">
        <f t="shared" si="34"/>
        <v/>
      </c>
      <c r="K124" s="108" t="str">
        <f t="shared" si="34"/>
        <v/>
      </c>
      <c r="L124" s="108" t="str">
        <f t="shared" si="34"/>
        <v/>
      </c>
      <c r="M124" s="108" t="str">
        <f t="shared" si="34"/>
        <v/>
      </c>
      <c r="N124" s="108" t="str">
        <f t="shared" si="34"/>
        <v/>
      </c>
      <c r="O124" s="108" t="str">
        <f t="shared" si="34"/>
        <v/>
      </c>
      <c r="Q124" s="621"/>
    </row>
    <row r="125" spans="2:17">
      <c r="B125" s="237" t="str">
        <f t="shared" si="14"/>
        <v>40G eSR4</v>
      </c>
      <c r="C125" s="238" t="str">
        <f t="shared" si="14"/>
        <v>300 m</v>
      </c>
      <c r="D125" s="239" t="str">
        <f t="shared" si="14"/>
        <v>QSFP+</v>
      </c>
      <c r="E125" s="108">
        <f t="shared" si="19"/>
        <v>106.66614587912188</v>
      </c>
      <c r="F125" s="108">
        <f t="shared" si="19"/>
        <v>80.99928194026171</v>
      </c>
      <c r="G125" s="108" t="str">
        <f t="shared" si="19"/>
        <v/>
      </c>
      <c r="H125" s="108" t="str">
        <f t="shared" ref="H125:O125" si="35">IF(H29=0,"",H221*10^6/H29)</f>
        <v/>
      </c>
      <c r="I125" s="108" t="str">
        <f t="shared" si="35"/>
        <v/>
      </c>
      <c r="J125" s="108" t="str">
        <f t="shared" si="35"/>
        <v/>
      </c>
      <c r="K125" s="108" t="str">
        <f t="shared" si="35"/>
        <v/>
      </c>
      <c r="L125" s="108" t="str">
        <f t="shared" si="35"/>
        <v/>
      </c>
      <c r="M125" s="108" t="str">
        <f t="shared" si="35"/>
        <v/>
      </c>
      <c r="N125" s="108" t="str">
        <f t="shared" si="35"/>
        <v/>
      </c>
      <c r="O125" s="108" t="str">
        <f t="shared" si="35"/>
        <v/>
      </c>
      <c r="Q125" s="621"/>
    </row>
    <row r="126" spans="2:17">
      <c r="B126" s="237" t="str">
        <f t="shared" si="14"/>
        <v xml:space="preserve">40G PSM4 </v>
      </c>
      <c r="C126" s="238" t="str">
        <f t="shared" si="14"/>
        <v>500 m</v>
      </c>
      <c r="D126" s="239" t="str">
        <f t="shared" si="14"/>
        <v>QSFP+</v>
      </c>
      <c r="E126" s="108">
        <f t="shared" si="19"/>
        <v>253.19068527507093</v>
      </c>
      <c r="F126" s="108">
        <f t="shared" si="19"/>
        <v>262.79055146339874</v>
      </c>
      <c r="G126" s="108" t="str">
        <f t="shared" si="19"/>
        <v/>
      </c>
      <c r="H126" s="108" t="str">
        <f t="shared" ref="H126:O126" si="36">IF(H30=0,"",H222*10^6/H30)</f>
        <v/>
      </c>
      <c r="I126" s="108" t="str">
        <f t="shared" si="36"/>
        <v/>
      </c>
      <c r="J126" s="108" t="str">
        <f t="shared" si="36"/>
        <v/>
      </c>
      <c r="K126" s="108" t="str">
        <f t="shared" si="36"/>
        <v/>
      </c>
      <c r="L126" s="108" t="str">
        <f t="shared" si="36"/>
        <v/>
      </c>
      <c r="M126" s="108" t="str">
        <f t="shared" si="36"/>
        <v/>
      </c>
      <c r="N126" s="108" t="str">
        <f t="shared" si="36"/>
        <v/>
      </c>
      <c r="O126" s="108" t="str">
        <f t="shared" si="36"/>
        <v/>
      </c>
      <c r="Q126" s="621"/>
    </row>
    <row r="127" spans="2:17">
      <c r="B127" s="237" t="str">
        <f t="shared" si="14"/>
        <v>40G (FR)</v>
      </c>
      <c r="C127" s="238" t="str">
        <f t="shared" si="14"/>
        <v>2 km</v>
      </c>
      <c r="D127" s="239" t="str">
        <f t="shared" si="14"/>
        <v>CFP</v>
      </c>
      <c r="E127" s="108">
        <f t="shared" si="19"/>
        <v>4569.894941368153</v>
      </c>
      <c r="F127" s="108">
        <f t="shared" si="19"/>
        <v>5251.681208639473</v>
      </c>
      <c r="G127" s="108" t="str">
        <f t="shared" si="19"/>
        <v/>
      </c>
      <c r="H127" s="108" t="str">
        <f t="shared" ref="H127:O127" si="37">IF(H31=0,"",H223*10^6/H31)</f>
        <v/>
      </c>
      <c r="I127" s="108" t="str">
        <f t="shared" si="37"/>
        <v/>
      </c>
      <c r="J127" s="108" t="str">
        <f t="shared" si="37"/>
        <v/>
      </c>
      <c r="K127" s="108" t="str">
        <f t="shared" si="37"/>
        <v/>
      </c>
      <c r="L127" s="108" t="str">
        <f t="shared" si="37"/>
        <v/>
      </c>
      <c r="M127" s="108" t="str">
        <f t="shared" si="37"/>
        <v/>
      </c>
      <c r="N127" s="108" t="str">
        <f t="shared" si="37"/>
        <v/>
      </c>
      <c r="O127" s="108" t="str">
        <f t="shared" si="37"/>
        <v/>
      </c>
      <c r="Q127" s="621"/>
    </row>
    <row r="128" spans="2:17">
      <c r="B128" s="237" t="str">
        <f t="shared" si="14"/>
        <v>40G (LR4 subspec)</v>
      </c>
      <c r="C128" s="238" t="str">
        <f t="shared" si="14"/>
        <v>2 km</v>
      </c>
      <c r="D128" s="239" t="str">
        <f t="shared" si="14"/>
        <v>QSFP+</v>
      </c>
      <c r="E128" s="108">
        <f t="shared" si="19"/>
        <v>377.60055209491952</v>
      </c>
      <c r="F128" s="108">
        <f t="shared" si="19"/>
        <v>343.5254726908467</v>
      </c>
      <c r="G128" s="108" t="str">
        <f t="shared" si="19"/>
        <v/>
      </c>
      <c r="H128" s="108" t="str">
        <f t="shared" ref="H128:O128" si="38">IF(H32=0,"",H224*10^6/H32)</f>
        <v/>
      </c>
      <c r="I128" s="108" t="str">
        <f t="shared" si="38"/>
        <v/>
      </c>
      <c r="J128" s="108" t="str">
        <f t="shared" si="38"/>
        <v/>
      </c>
      <c r="K128" s="108" t="str">
        <f t="shared" si="38"/>
        <v/>
      </c>
      <c r="L128" s="108" t="str">
        <f t="shared" si="38"/>
        <v/>
      </c>
      <c r="M128" s="108" t="str">
        <f t="shared" si="38"/>
        <v/>
      </c>
      <c r="N128" s="108" t="str">
        <f t="shared" si="38"/>
        <v/>
      </c>
      <c r="O128" s="108" t="str">
        <f t="shared" si="38"/>
        <v/>
      </c>
      <c r="Q128" s="621"/>
    </row>
    <row r="129" spans="2:17">
      <c r="B129" s="237" t="str">
        <f t="shared" si="14"/>
        <v>40G</v>
      </c>
      <c r="C129" s="238" t="str">
        <f t="shared" si="14"/>
        <v>10 km</v>
      </c>
      <c r="D129" s="239" t="str">
        <f t="shared" si="14"/>
        <v>CFP</v>
      </c>
      <c r="E129" s="108">
        <f t="shared" si="19"/>
        <v>1174.9655306999969</v>
      </c>
      <c r="F129" s="108">
        <f t="shared" si="19"/>
        <v>1350.8997571323105</v>
      </c>
      <c r="G129" s="108" t="str">
        <f t="shared" si="19"/>
        <v/>
      </c>
      <c r="H129" s="108" t="str">
        <f t="shared" ref="H129:O129" si="39">IF(H33=0,"",H225*10^6/H33)</f>
        <v/>
      </c>
      <c r="I129" s="108" t="str">
        <f t="shared" si="39"/>
        <v/>
      </c>
      <c r="J129" s="108" t="str">
        <f t="shared" si="39"/>
        <v/>
      </c>
      <c r="K129" s="108" t="str">
        <f t="shared" si="39"/>
        <v/>
      </c>
      <c r="L129" s="108" t="str">
        <f t="shared" si="39"/>
        <v/>
      </c>
      <c r="M129" s="108" t="str">
        <f t="shared" si="39"/>
        <v/>
      </c>
      <c r="N129" s="108" t="str">
        <f t="shared" si="39"/>
        <v/>
      </c>
      <c r="O129" s="108" t="str">
        <f t="shared" si="39"/>
        <v/>
      </c>
      <c r="Q129" s="621"/>
    </row>
    <row r="130" spans="2:17">
      <c r="B130" s="237" t="str">
        <f t="shared" si="14"/>
        <v>40G</v>
      </c>
      <c r="C130" s="238" t="str">
        <f t="shared" si="14"/>
        <v>10 km</v>
      </c>
      <c r="D130" s="239" t="str">
        <f t="shared" si="14"/>
        <v>QSFP+</v>
      </c>
      <c r="E130" s="108">
        <f t="shared" si="19"/>
        <v>427.72742888770347</v>
      </c>
      <c r="F130" s="108">
        <f t="shared" si="19"/>
        <v>401.36672508917627</v>
      </c>
      <c r="G130" s="108" t="str">
        <f t="shared" si="19"/>
        <v/>
      </c>
      <c r="H130" s="108" t="str">
        <f t="shared" ref="H130:O130" si="40">IF(H34=0,"",H226*10^6/H34)</f>
        <v/>
      </c>
      <c r="I130" s="108" t="str">
        <f t="shared" si="40"/>
        <v/>
      </c>
      <c r="J130" s="108" t="str">
        <f t="shared" si="40"/>
        <v/>
      </c>
      <c r="K130" s="108" t="str">
        <f t="shared" si="40"/>
        <v/>
      </c>
      <c r="L130" s="108" t="str">
        <f t="shared" si="40"/>
        <v/>
      </c>
      <c r="M130" s="108" t="str">
        <f t="shared" si="40"/>
        <v/>
      </c>
      <c r="N130" s="108" t="str">
        <f t="shared" si="40"/>
        <v/>
      </c>
      <c r="O130" s="108" t="str">
        <f t="shared" si="40"/>
        <v/>
      </c>
      <c r="Q130" s="621"/>
    </row>
    <row r="131" spans="2:17">
      <c r="B131" s="240" t="str">
        <f t="shared" si="14"/>
        <v>40G</v>
      </c>
      <c r="C131" s="241" t="str">
        <f t="shared" si="14"/>
        <v>40 km</v>
      </c>
      <c r="D131" s="242" t="str">
        <f t="shared" si="14"/>
        <v>QSFP+</v>
      </c>
      <c r="E131" s="442">
        <f t="shared" si="19"/>
        <v>1673.0572324239708</v>
      </c>
      <c r="F131" s="442">
        <f t="shared" si="19"/>
        <v>1459.2330281290015</v>
      </c>
      <c r="G131" s="442" t="str">
        <f t="shared" si="19"/>
        <v/>
      </c>
      <c r="H131" s="442" t="str">
        <f t="shared" ref="H131:O131" si="41">IF(H35=0,"",H227*10^6/H35)</f>
        <v/>
      </c>
      <c r="I131" s="442" t="str">
        <f t="shared" si="41"/>
        <v/>
      </c>
      <c r="J131" s="442" t="str">
        <f t="shared" si="41"/>
        <v/>
      </c>
      <c r="K131" s="442" t="str">
        <f t="shared" si="41"/>
        <v/>
      </c>
      <c r="L131" s="442" t="str">
        <f t="shared" si="41"/>
        <v/>
      </c>
      <c r="M131" s="442" t="str">
        <f t="shared" si="41"/>
        <v/>
      </c>
      <c r="N131" s="442" t="str">
        <f t="shared" si="41"/>
        <v/>
      </c>
      <c r="O131" s="442" t="str">
        <f t="shared" si="41"/>
        <v/>
      </c>
      <c r="Q131" s="621"/>
    </row>
    <row r="132" spans="2:17">
      <c r="B132" s="234" t="str">
        <f t="shared" si="14"/>
        <v xml:space="preserve">50G </v>
      </c>
      <c r="C132" s="235" t="str">
        <f t="shared" si="14"/>
        <v>100 m</v>
      </c>
      <c r="D132" s="236" t="str">
        <f t="shared" si="14"/>
        <v>all</v>
      </c>
      <c r="E132" s="357" t="str">
        <f t="shared" si="19"/>
        <v/>
      </c>
      <c r="F132" s="357" t="str">
        <f t="shared" si="19"/>
        <v/>
      </c>
      <c r="G132" s="357" t="str">
        <f t="shared" si="19"/>
        <v/>
      </c>
      <c r="H132" s="357" t="str">
        <f t="shared" ref="H132:O132" si="42">IF(H36=0,"",H228*10^6/H36)</f>
        <v/>
      </c>
      <c r="I132" s="357" t="str">
        <f t="shared" si="42"/>
        <v/>
      </c>
      <c r="J132" s="357" t="str">
        <f t="shared" si="42"/>
        <v/>
      </c>
      <c r="K132" s="357" t="str">
        <f t="shared" si="42"/>
        <v/>
      </c>
      <c r="L132" s="357" t="str">
        <f t="shared" si="42"/>
        <v/>
      </c>
      <c r="M132" s="357" t="str">
        <f t="shared" si="42"/>
        <v/>
      </c>
      <c r="N132" s="357" t="str">
        <f t="shared" si="42"/>
        <v/>
      </c>
      <c r="O132" s="357" t="str">
        <f t="shared" si="42"/>
        <v/>
      </c>
      <c r="Q132" s="621"/>
    </row>
    <row r="133" spans="2:17">
      <c r="B133" s="237" t="str">
        <f t="shared" si="14"/>
        <v xml:space="preserve">50G </v>
      </c>
      <c r="C133" s="238" t="str">
        <f t="shared" si="14"/>
        <v>2 km</v>
      </c>
      <c r="D133" s="239" t="str">
        <f t="shared" si="14"/>
        <v>all</v>
      </c>
      <c r="E133" s="108" t="str">
        <f t="shared" si="19"/>
        <v/>
      </c>
      <c r="F133" s="108" t="str">
        <f t="shared" si="19"/>
        <v/>
      </c>
      <c r="G133" s="108" t="str">
        <f t="shared" si="19"/>
        <v/>
      </c>
      <c r="H133" s="108" t="str">
        <f t="shared" ref="H133:O133" si="43">IF(H37=0,"",H229*10^6/H37)</f>
        <v/>
      </c>
      <c r="I133" s="108" t="str">
        <f t="shared" si="43"/>
        <v/>
      </c>
      <c r="J133" s="108" t="str">
        <f t="shared" si="43"/>
        <v/>
      </c>
      <c r="K133" s="108" t="str">
        <f t="shared" si="43"/>
        <v/>
      </c>
      <c r="L133" s="108" t="str">
        <f t="shared" si="43"/>
        <v/>
      </c>
      <c r="M133" s="108" t="str">
        <f t="shared" si="43"/>
        <v/>
      </c>
      <c r="N133" s="108" t="str">
        <f t="shared" si="43"/>
        <v/>
      </c>
      <c r="O133" s="108" t="str">
        <f t="shared" si="43"/>
        <v/>
      </c>
      <c r="Q133" s="621"/>
    </row>
    <row r="134" spans="2:17">
      <c r="B134" s="237" t="str">
        <f t="shared" si="14"/>
        <v xml:space="preserve">50G </v>
      </c>
      <c r="C134" s="238" t="str">
        <f t="shared" si="14"/>
        <v>10 km</v>
      </c>
      <c r="D134" s="239" t="str">
        <f t="shared" si="14"/>
        <v>all</v>
      </c>
      <c r="E134" s="108" t="str">
        <f t="shared" si="19"/>
        <v/>
      </c>
      <c r="F134" s="108" t="str">
        <f t="shared" si="19"/>
        <v/>
      </c>
      <c r="G134" s="108" t="str">
        <f t="shared" si="19"/>
        <v/>
      </c>
      <c r="H134" s="108" t="str">
        <f t="shared" ref="H134:O134" si="44">IF(H38=0,"",H230*10^6/H38)</f>
        <v/>
      </c>
      <c r="I134" s="108" t="str">
        <f t="shared" si="44"/>
        <v/>
      </c>
      <c r="J134" s="108" t="str">
        <f t="shared" si="44"/>
        <v/>
      </c>
      <c r="K134" s="108" t="str">
        <f t="shared" si="44"/>
        <v/>
      </c>
      <c r="L134" s="108" t="str">
        <f t="shared" si="44"/>
        <v/>
      </c>
      <c r="M134" s="108" t="str">
        <f t="shared" si="44"/>
        <v/>
      </c>
      <c r="N134" s="108" t="str">
        <f t="shared" si="44"/>
        <v/>
      </c>
      <c r="O134" s="108" t="str">
        <f t="shared" si="44"/>
        <v/>
      </c>
      <c r="Q134" s="621"/>
    </row>
    <row r="135" spans="2:17">
      <c r="B135" s="237" t="str">
        <f t="shared" ref="B135:D135" si="45">B39</f>
        <v xml:space="preserve">50G </v>
      </c>
      <c r="C135" s="238" t="str">
        <f t="shared" si="45"/>
        <v>40 km</v>
      </c>
      <c r="D135" s="239" t="str">
        <f t="shared" si="45"/>
        <v>all</v>
      </c>
      <c r="E135" s="108"/>
      <c r="F135" s="108"/>
      <c r="G135" s="108"/>
      <c r="H135" s="108"/>
      <c r="I135" s="108"/>
      <c r="J135" s="108"/>
      <c r="K135" s="108"/>
      <c r="L135" s="108"/>
      <c r="M135" s="108"/>
      <c r="N135" s="108"/>
      <c r="O135" s="108"/>
      <c r="Q135" s="621"/>
    </row>
    <row r="136" spans="2:17">
      <c r="B136" s="237" t="str">
        <f t="shared" ref="B136:D136" si="46">B40</f>
        <v xml:space="preserve">50G </v>
      </c>
      <c r="C136" s="238" t="str">
        <f t="shared" si="46"/>
        <v>80 km</v>
      </c>
      <c r="D136" s="239" t="str">
        <f t="shared" si="46"/>
        <v>all</v>
      </c>
      <c r="E136" s="108"/>
      <c r="F136" s="108"/>
      <c r="G136" s="108"/>
      <c r="H136" s="108"/>
      <c r="I136" s="108"/>
      <c r="J136" s="108"/>
      <c r="K136" s="108"/>
      <c r="L136" s="108"/>
      <c r="M136" s="108"/>
      <c r="N136" s="108"/>
      <c r="O136" s="108"/>
      <c r="Q136" s="621"/>
    </row>
    <row r="137" spans="2:17">
      <c r="B137" s="234" t="str">
        <f t="shared" ref="B137:D156" si="47">B41</f>
        <v>100G SR4</v>
      </c>
      <c r="C137" s="235" t="str">
        <f t="shared" si="47"/>
        <v>100 m</v>
      </c>
      <c r="D137" s="236" t="str">
        <f t="shared" si="47"/>
        <v>CFP</v>
      </c>
      <c r="E137" s="357">
        <f t="shared" ref="E137:O137" si="48">IF(E41=0,"",E233*10^6/E41)</f>
        <v>1422.7039686825053</v>
      </c>
      <c r="F137" s="357">
        <f t="shared" si="48"/>
        <v>1273.3986691740201</v>
      </c>
      <c r="G137" s="357" t="str">
        <f t="shared" si="48"/>
        <v/>
      </c>
      <c r="H137" s="357" t="str">
        <f t="shared" si="48"/>
        <v/>
      </c>
      <c r="I137" s="357" t="str">
        <f t="shared" si="48"/>
        <v/>
      </c>
      <c r="J137" s="357" t="str">
        <f t="shared" si="48"/>
        <v/>
      </c>
      <c r="K137" s="357" t="str">
        <f t="shared" si="48"/>
        <v/>
      </c>
      <c r="L137" s="357" t="str">
        <f t="shared" si="48"/>
        <v/>
      </c>
      <c r="M137" s="357" t="str">
        <f t="shared" si="48"/>
        <v/>
      </c>
      <c r="N137" s="357" t="str">
        <f t="shared" si="48"/>
        <v/>
      </c>
      <c r="O137" s="357" t="str">
        <f t="shared" si="48"/>
        <v/>
      </c>
      <c r="Q137" s="621"/>
    </row>
    <row r="138" spans="2:17">
      <c r="B138" s="237" t="str">
        <f t="shared" si="47"/>
        <v>100G SR4</v>
      </c>
      <c r="C138" s="238" t="str">
        <f t="shared" si="47"/>
        <v>100 m</v>
      </c>
      <c r="D138" s="239" t="str">
        <f t="shared" si="47"/>
        <v>CFP2/4</v>
      </c>
      <c r="E138" s="108">
        <f t="shared" ref="E138:O138" si="49">IF(E42=0,"",E234*10^6/E42)</f>
        <v>1204.7629951912068</v>
      </c>
      <c r="F138" s="108">
        <f t="shared" si="49"/>
        <v>1092.608197443808</v>
      </c>
      <c r="G138" s="108" t="str">
        <f t="shared" si="49"/>
        <v/>
      </c>
      <c r="H138" s="108" t="str">
        <f t="shared" si="49"/>
        <v/>
      </c>
      <c r="I138" s="108" t="str">
        <f t="shared" si="49"/>
        <v/>
      </c>
      <c r="J138" s="108" t="str">
        <f t="shared" si="49"/>
        <v/>
      </c>
      <c r="K138" s="108" t="str">
        <f t="shared" si="49"/>
        <v/>
      </c>
      <c r="L138" s="108" t="str">
        <f t="shared" si="49"/>
        <v/>
      </c>
      <c r="M138" s="108" t="str">
        <f t="shared" si="49"/>
        <v/>
      </c>
      <c r="N138" s="108" t="str">
        <f t="shared" si="49"/>
        <v/>
      </c>
      <c r="O138" s="108" t="str">
        <f t="shared" si="49"/>
        <v/>
      </c>
      <c r="Q138" s="621"/>
    </row>
    <row r="139" spans="2:17">
      <c r="B139" s="237" t="str">
        <f t="shared" si="47"/>
        <v>100G SR4</v>
      </c>
      <c r="C139" s="238" t="str">
        <f t="shared" si="47"/>
        <v>100 m</v>
      </c>
      <c r="D139" s="239" t="str">
        <f t="shared" si="47"/>
        <v>QSFP28</v>
      </c>
      <c r="E139" s="108">
        <f t="shared" ref="E139:O139" si="50">IF(E43=0,"",E235*10^6/E43)</f>
        <v>258.09426618771823</v>
      </c>
      <c r="F139" s="108">
        <f t="shared" si="50"/>
        <v>182.02277386466108</v>
      </c>
      <c r="G139" s="108" t="str">
        <f t="shared" si="50"/>
        <v/>
      </c>
      <c r="H139" s="108" t="str">
        <f t="shared" si="50"/>
        <v/>
      </c>
      <c r="I139" s="108" t="str">
        <f>IF(I43=0,"",I235*10^6/I43)</f>
        <v/>
      </c>
      <c r="J139" s="108" t="str">
        <f t="shared" si="50"/>
        <v/>
      </c>
      <c r="K139" s="108" t="str">
        <f t="shared" si="50"/>
        <v/>
      </c>
      <c r="L139" s="108" t="str">
        <f t="shared" si="50"/>
        <v/>
      </c>
      <c r="M139" s="108" t="str">
        <f t="shared" si="50"/>
        <v/>
      </c>
      <c r="N139" s="108" t="str">
        <f t="shared" si="50"/>
        <v/>
      </c>
      <c r="O139" s="108" t="str">
        <f t="shared" si="50"/>
        <v/>
      </c>
      <c r="Q139" s="621"/>
    </row>
    <row r="140" spans="2:17">
      <c r="B140" s="237" t="str">
        <f t="shared" si="47"/>
        <v>100G SR2</v>
      </c>
      <c r="C140" s="238" t="str">
        <f t="shared" si="47"/>
        <v>100 m</v>
      </c>
      <c r="D140" s="239" t="str">
        <f t="shared" si="47"/>
        <v>All</v>
      </c>
      <c r="E140" s="108" t="str">
        <f t="shared" ref="E140:O140" si="51">IF(E44=0,"",E236*10^6/E44)</f>
        <v/>
      </c>
      <c r="F140" s="108" t="str">
        <f t="shared" si="51"/>
        <v/>
      </c>
      <c r="G140" s="108" t="str">
        <f t="shared" si="51"/>
        <v/>
      </c>
      <c r="H140" s="108" t="str">
        <f t="shared" si="51"/>
        <v/>
      </c>
      <c r="I140" s="108" t="str">
        <f t="shared" si="51"/>
        <v/>
      </c>
      <c r="J140" s="108" t="str">
        <f t="shared" si="51"/>
        <v/>
      </c>
      <c r="K140" s="108" t="str">
        <f t="shared" si="51"/>
        <v/>
      </c>
      <c r="L140" s="108" t="str">
        <f t="shared" si="51"/>
        <v/>
      </c>
      <c r="M140" s="108" t="str">
        <f t="shared" si="51"/>
        <v/>
      </c>
      <c r="N140" s="108" t="str">
        <f t="shared" si="51"/>
        <v/>
      </c>
      <c r="O140" s="108" t="str">
        <f t="shared" si="51"/>
        <v/>
      </c>
      <c r="Q140" s="621"/>
    </row>
    <row r="141" spans="2:17">
      <c r="B141" s="237" t="str">
        <f t="shared" si="47"/>
        <v>100G MM Duplex</v>
      </c>
      <c r="C141" s="238" t="str">
        <f t="shared" si="47"/>
        <v>100 - 300 m</v>
      </c>
      <c r="D141" s="239" t="str">
        <f t="shared" si="47"/>
        <v>QSFP28</v>
      </c>
      <c r="E141" s="108" t="str">
        <f t="shared" ref="E141:O141" si="52">IF(E45=0,"",E237*10^6/E45)</f>
        <v/>
      </c>
      <c r="F141" s="108" t="str">
        <f t="shared" si="52"/>
        <v/>
      </c>
      <c r="G141" s="108" t="str">
        <f t="shared" si="52"/>
        <v/>
      </c>
      <c r="H141" s="108" t="str">
        <f t="shared" si="52"/>
        <v/>
      </c>
      <c r="I141" s="108" t="str">
        <f t="shared" si="52"/>
        <v/>
      </c>
      <c r="J141" s="108" t="str">
        <f t="shared" si="52"/>
        <v/>
      </c>
      <c r="K141" s="108" t="str">
        <f t="shared" si="52"/>
        <v/>
      </c>
      <c r="L141" s="108" t="str">
        <f t="shared" si="52"/>
        <v/>
      </c>
      <c r="M141" s="108" t="str">
        <f t="shared" si="52"/>
        <v/>
      </c>
      <c r="N141" s="108" t="str">
        <f t="shared" si="52"/>
        <v/>
      </c>
      <c r="O141" s="108" t="str">
        <f t="shared" si="52"/>
        <v/>
      </c>
      <c r="Q141" s="621"/>
    </row>
    <row r="142" spans="2:17">
      <c r="B142" s="237" t="str">
        <f t="shared" si="47"/>
        <v>100G eSR4</v>
      </c>
      <c r="C142" s="238" t="str">
        <f t="shared" si="47"/>
        <v>300 m</v>
      </c>
      <c r="D142" s="239" t="str">
        <f t="shared" si="47"/>
        <v>QSFP28</v>
      </c>
      <c r="E142" s="108" t="str">
        <f t="shared" ref="E142:O142" si="53">IF(E46=0,"",E238*10^6/E46)</f>
        <v/>
      </c>
      <c r="F142" s="108" t="str">
        <f t="shared" si="53"/>
        <v/>
      </c>
      <c r="G142" s="108" t="str">
        <f t="shared" si="53"/>
        <v/>
      </c>
      <c r="H142" s="108" t="str">
        <f t="shared" si="53"/>
        <v/>
      </c>
      <c r="I142" s="108" t="str">
        <f t="shared" si="53"/>
        <v/>
      </c>
      <c r="J142" s="108" t="str">
        <f t="shared" si="53"/>
        <v/>
      </c>
      <c r="K142" s="108" t="str">
        <f t="shared" si="53"/>
        <v/>
      </c>
      <c r="L142" s="108" t="str">
        <f t="shared" si="53"/>
        <v/>
      </c>
      <c r="M142" s="108" t="str">
        <f t="shared" si="53"/>
        <v/>
      </c>
      <c r="N142" s="108" t="str">
        <f t="shared" si="53"/>
        <v/>
      </c>
      <c r="O142" s="108" t="str">
        <f t="shared" si="53"/>
        <v/>
      </c>
      <c r="Q142" s="621"/>
    </row>
    <row r="143" spans="2:17">
      <c r="B143" s="237" t="str">
        <f t="shared" si="47"/>
        <v>100G PSM4</v>
      </c>
      <c r="C143" s="238" t="str">
        <f t="shared" si="47"/>
        <v>500 m</v>
      </c>
      <c r="D143" s="239" t="str">
        <f t="shared" si="47"/>
        <v>QSFP28</v>
      </c>
      <c r="E143" s="108">
        <f t="shared" ref="E143:O143" si="54">IF(E47=0,"",E239*10^6/E47)</f>
        <v>337.41687156790022</v>
      </c>
      <c r="F143" s="108">
        <f t="shared" si="54"/>
        <v>222.65569307558187</v>
      </c>
      <c r="G143" s="108" t="str">
        <f t="shared" si="54"/>
        <v/>
      </c>
      <c r="H143" s="108" t="str">
        <f t="shared" si="54"/>
        <v/>
      </c>
      <c r="I143" s="108" t="str">
        <f t="shared" si="54"/>
        <v/>
      </c>
      <c r="J143" s="108" t="str">
        <f t="shared" si="54"/>
        <v/>
      </c>
      <c r="K143" s="108" t="str">
        <f t="shared" si="54"/>
        <v/>
      </c>
      <c r="L143" s="108" t="str">
        <f t="shared" si="54"/>
        <v/>
      </c>
      <c r="M143" s="108" t="str">
        <f t="shared" si="54"/>
        <v/>
      </c>
      <c r="N143" s="108" t="str">
        <f t="shared" si="54"/>
        <v/>
      </c>
      <c r="O143" s="108" t="str">
        <f t="shared" si="54"/>
        <v/>
      </c>
      <c r="Q143" s="621"/>
    </row>
    <row r="144" spans="2:17">
      <c r="B144" s="237" t="str">
        <f t="shared" si="47"/>
        <v>100G DR</v>
      </c>
      <c r="C144" s="238" t="str">
        <f t="shared" si="47"/>
        <v>500m</v>
      </c>
      <c r="D144" s="239" t="str">
        <f t="shared" si="47"/>
        <v>QSFP28</v>
      </c>
      <c r="E144" s="108" t="str">
        <f t="shared" ref="E144:O144" si="55">IF(E48=0,"",E240*10^6/E48)</f>
        <v/>
      </c>
      <c r="F144" s="108" t="str">
        <f t="shared" si="55"/>
        <v/>
      </c>
      <c r="G144" s="108" t="str">
        <f t="shared" si="55"/>
        <v/>
      </c>
      <c r="H144" s="108" t="str">
        <f t="shared" si="55"/>
        <v/>
      </c>
      <c r="I144" s="108" t="str">
        <f t="shared" si="55"/>
        <v/>
      </c>
      <c r="J144" s="108" t="str">
        <f t="shared" si="55"/>
        <v/>
      </c>
      <c r="K144" s="108" t="str">
        <f t="shared" si="55"/>
        <v/>
      </c>
      <c r="L144" s="108" t="str">
        <f t="shared" si="55"/>
        <v/>
      </c>
      <c r="M144" s="108" t="str">
        <f t="shared" si="55"/>
        <v/>
      </c>
      <c r="N144" s="108" t="str">
        <f t="shared" si="55"/>
        <v/>
      </c>
      <c r="O144" s="108" t="str">
        <f t="shared" si="55"/>
        <v/>
      </c>
      <c r="Q144" s="621"/>
    </row>
    <row r="145" spans="2:17">
      <c r="B145" s="237" t="str">
        <f t="shared" si="47"/>
        <v>100G CWDM4-subspec</v>
      </c>
      <c r="C145" s="238" t="str">
        <f t="shared" si="47"/>
        <v>500 m</v>
      </c>
      <c r="D145" s="239" t="str">
        <f t="shared" si="47"/>
        <v>QSFP28</v>
      </c>
      <c r="E145" s="108">
        <f t="shared" ref="E145:O145" si="56">IF(E49=0,"",E241*10^6/E49)</f>
        <v>625</v>
      </c>
      <c r="F145" s="108">
        <f t="shared" si="56"/>
        <v>450</v>
      </c>
      <c r="G145" s="108" t="str">
        <f t="shared" si="56"/>
        <v/>
      </c>
      <c r="H145" s="108" t="str">
        <f t="shared" si="56"/>
        <v/>
      </c>
      <c r="I145" s="108" t="str">
        <f t="shared" si="56"/>
        <v/>
      </c>
      <c r="J145" s="108" t="str">
        <f t="shared" si="56"/>
        <v/>
      </c>
      <c r="K145" s="108" t="str">
        <f t="shared" si="56"/>
        <v/>
      </c>
      <c r="L145" s="108" t="str">
        <f t="shared" si="56"/>
        <v/>
      </c>
      <c r="M145" s="108" t="str">
        <f t="shared" si="56"/>
        <v/>
      </c>
      <c r="N145" s="108" t="str">
        <f t="shared" si="56"/>
        <v/>
      </c>
      <c r="O145" s="108" t="str">
        <f t="shared" si="56"/>
        <v/>
      </c>
      <c r="Q145" s="621"/>
    </row>
    <row r="146" spans="2:17">
      <c r="B146" s="237" t="str">
        <f t="shared" si="47"/>
        <v>100G CWDM4</v>
      </c>
      <c r="C146" s="238" t="str">
        <f t="shared" si="47"/>
        <v>2 km</v>
      </c>
      <c r="D146" s="239" t="str">
        <f t="shared" si="47"/>
        <v>QSFP28</v>
      </c>
      <c r="E146" s="108">
        <f t="shared" ref="E146:O146" si="57">IF(E50=0,"",E242*10^6/E50)</f>
        <v>825</v>
      </c>
      <c r="F146" s="108">
        <f t="shared" si="57"/>
        <v>650</v>
      </c>
      <c r="G146" s="108" t="str">
        <f t="shared" si="57"/>
        <v/>
      </c>
      <c r="H146" s="108" t="str">
        <f t="shared" si="57"/>
        <v/>
      </c>
      <c r="I146" s="108" t="str">
        <f t="shared" si="57"/>
        <v/>
      </c>
      <c r="J146" s="108" t="str">
        <f t="shared" si="57"/>
        <v/>
      </c>
      <c r="K146" s="108" t="str">
        <f t="shared" si="57"/>
        <v/>
      </c>
      <c r="L146" s="108" t="str">
        <f t="shared" si="57"/>
        <v/>
      </c>
      <c r="M146" s="108" t="str">
        <f t="shared" si="57"/>
        <v/>
      </c>
      <c r="N146" s="108" t="str">
        <f t="shared" si="57"/>
        <v/>
      </c>
      <c r="O146" s="108" t="str">
        <f t="shared" si="57"/>
        <v/>
      </c>
      <c r="Q146" s="621"/>
    </row>
    <row r="147" spans="2:17">
      <c r="B147" s="237" t="str">
        <f t="shared" si="47"/>
        <v>100G FR, DR+</v>
      </c>
      <c r="C147" s="238" t="str">
        <f t="shared" si="47"/>
        <v>2 km</v>
      </c>
      <c r="D147" s="239" t="str">
        <f t="shared" si="47"/>
        <v>QSFP28</v>
      </c>
      <c r="E147" s="108" t="str">
        <f t="shared" ref="E147:O147" si="58">IF(E51=0,"",E243*10^6/E51)</f>
        <v/>
      </c>
      <c r="F147" s="108" t="str">
        <f t="shared" si="58"/>
        <v/>
      </c>
      <c r="G147" s="108" t="str">
        <f t="shared" si="58"/>
        <v/>
      </c>
      <c r="H147" s="108" t="str">
        <f t="shared" si="58"/>
        <v/>
      </c>
      <c r="I147" s="108" t="str">
        <f t="shared" si="58"/>
        <v/>
      </c>
      <c r="J147" s="108" t="str">
        <f t="shared" si="58"/>
        <v/>
      </c>
      <c r="K147" s="108" t="str">
        <f t="shared" si="58"/>
        <v/>
      </c>
      <c r="L147" s="108" t="str">
        <f t="shared" si="58"/>
        <v/>
      </c>
      <c r="M147" s="108" t="str">
        <f t="shared" si="58"/>
        <v/>
      </c>
      <c r="N147" s="108" t="str">
        <f t="shared" si="58"/>
        <v/>
      </c>
      <c r="O147" s="108" t="str">
        <f t="shared" si="58"/>
        <v/>
      </c>
      <c r="Q147" s="621"/>
    </row>
    <row r="148" spans="2:17">
      <c r="B148" s="237" t="str">
        <f t="shared" si="47"/>
        <v>100G LR4</v>
      </c>
      <c r="C148" s="238" t="str">
        <f t="shared" si="47"/>
        <v>10 km</v>
      </c>
      <c r="D148" s="239" t="str">
        <f t="shared" si="47"/>
        <v>CFP</v>
      </c>
      <c r="E148" s="108">
        <f t="shared" ref="E148:O148" si="59">IF(E52=0,"",E244*10^6/E52)</f>
        <v>3527.8709620331333</v>
      </c>
      <c r="F148" s="108">
        <f t="shared" si="59"/>
        <v>2768.0701132780364</v>
      </c>
      <c r="G148" s="108" t="str">
        <f t="shared" si="59"/>
        <v/>
      </c>
      <c r="H148" s="108" t="str">
        <f t="shared" si="59"/>
        <v/>
      </c>
      <c r="I148" s="108" t="str">
        <f t="shared" si="59"/>
        <v/>
      </c>
      <c r="J148" s="108" t="str">
        <f t="shared" si="59"/>
        <v/>
      </c>
      <c r="K148" s="108" t="str">
        <f t="shared" si="59"/>
        <v/>
      </c>
      <c r="L148" s="108" t="str">
        <f t="shared" si="59"/>
        <v/>
      </c>
      <c r="M148" s="108" t="str">
        <f t="shared" si="59"/>
        <v/>
      </c>
      <c r="N148" s="108" t="str">
        <f t="shared" si="59"/>
        <v/>
      </c>
      <c r="O148" s="108" t="str">
        <f t="shared" si="59"/>
        <v/>
      </c>
      <c r="Q148" s="621"/>
    </row>
    <row r="149" spans="2:17" ht="14.55" customHeight="1">
      <c r="B149" s="237" t="str">
        <f t="shared" si="47"/>
        <v>100G LR4</v>
      </c>
      <c r="C149" s="238" t="str">
        <f t="shared" si="47"/>
        <v>10 km</v>
      </c>
      <c r="D149" s="239" t="str">
        <f t="shared" si="47"/>
        <v>CFP2/4</v>
      </c>
      <c r="E149" s="108">
        <f t="shared" ref="E149:O149" si="60">IF(E53=0,"",E245*10^6/E53)</f>
        <v>2882.5268681316725</v>
      </c>
      <c r="F149" s="108">
        <f t="shared" si="60"/>
        <v>2140.3307221126156</v>
      </c>
      <c r="G149" s="108" t="str">
        <f t="shared" si="60"/>
        <v/>
      </c>
      <c r="H149" s="108" t="str">
        <f t="shared" si="60"/>
        <v/>
      </c>
      <c r="I149" s="108" t="str">
        <f t="shared" si="60"/>
        <v/>
      </c>
      <c r="J149" s="108" t="str">
        <f t="shared" si="60"/>
        <v/>
      </c>
      <c r="K149" s="108" t="str">
        <f t="shared" si="60"/>
        <v/>
      </c>
      <c r="L149" s="108" t="str">
        <f t="shared" si="60"/>
        <v/>
      </c>
      <c r="M149" s="108" t="str">
        <f t="shared" si="60"/>
        <v/>
      </c>
      <c r="N149" s="108" t="str">
        <f t="shared" si="60"/>
        <v/>
      </c>
      <c r="O149" s="108" t="str">
        <f t="shared" si="60"/>
        <v/>
      </c>
      <c r="Q149" s="621"/>
    </row>
    <row r="150" spans="2:17">
      <c r="B150" s="237" t="str">
        <f t="shared" si="47"/>
        <v>100G LR4 and LR1</v>
      </c>
      <c r="C150" s="238" t="str">
        <f t="shared" si="47"/>
        <v>10 km</v>
      </c>
      <c r="D150" s="239" t="str">
        <f t="shared" si="47"/>
        <v>QSFP28</v>
      </c>
      <c r="E150" s="108">
        <f t="shared" ref="E150:O150" si="61">IF(E54=0,"",E246*10^6/E54)</f>
        <v>1938.1501024552811</v>
      </c>
      <c r="F150" s="108">
        <f t="shared" si="61"/>
        <v>1200</v>
      </c>
      <c r="G150" s="108" t="str">
        <f t="shared" si="61"/>
        <v/>
      </c>
      <c r="H150" s="108" t="str">
        <f t="shared" si="61"/>
        <v/>
      </c>
      <c r="I150" s="108" t="str">
        <f t="shared" si="61"/>
        <v/>
      </c>
      <c r="J150" s="108" t="str">
        <f t="shared" si="61"/>
        <v/>
      </c>
      <c r="K150" s="108" t="str">
        <f t="shared" si="61"/>
        <v/>
      </c>
      <c r="L150" s="108" t="str">
        <f t="shared" si="61"/>
        <v/>
      </c>
      <c r="M150" s="108" t="str">
        <f t="shared" si="61"/>
        <v/>
      </c>
      <c r="N150" s="108" t="str">
        <f t="shared" si="61"/>
        <v/>
      </c>
      <c r="O150" s="108" t="str">
        <f t="shared" si="61"/>
        <v/>
      </c>
      <c r="Q150" s="621"/>
    </row>
    <row r="151" spans="2:17">
      <c r="B151" s="237" t="str">
        <f t="shared" si="47"/>
        <v>100G 4WDM10</v>
      </c>
      <c r="C151" s="238" t="str">
        <f t="shared" si="47"/>
        <v>10 km</v>
      </c>
      <c r="D151" s="239" t="str">
        <f t="shared" si="47"/>
        <v>QSFP28</v>
      </c>
      <c r="E151" s="108" t="str">
        <f t="shared" ref="E151:O151" si="62">IF(E55=0,"",E247*10^6/E55)</f>
        <v/>
      </c>
      <c r="F151" s="108">
        <f t="shared" si="62"/>
        <v>500</v>
      </c>
      <c r="G151" s="108" t="str">
        <f t="shared" si="62"/>
        <v/>
      </c>
      <c r="H151" s="108" t="str">
        <f t="shared" si="62"/>
        <v/>
      </c>
      <c r="I151" s="108" t="str">
        <f t="shared" si="62"/>
        <v/>
      </c>
      <c r="J151" s="108" t="str">
        <f t="shared" si="62"/>
        <v/>
      </c>
      <c r="K151" s="108" t="str">
        <f t="shared" si="62"/>
        <v/>
      </c>
      <c r="L151" s="108" t="str">
        <f t="shared" si="62"/>
        <v/>
      </c>
      <c r="M151" s="108" t="str">
        <f t="shared" si="62"/>
        <v/>
      </c>
      <c r="N151" s="108" t="str">
        <f t="shared" si="62"/>
        <v/>
      </c>
      <c r="O151" s="108" t="str">
        <f t="shared" si="62"/>
        <v/>
      </c>
      <c r="Q151" s="621"/>
    </row>
    <row r="152" spans="2:17">
      <c r="B152" s="237" t="str">
        <f t="shared" si="47"/>
        <v>100G 4WDM20</v>
      </c>
      <c r="C152" s="238" t="str">
        <f t="shared" si="47"/>
        <v>20 km</v>
      </c>
      <c r="D152" s="239" t="str">
        <f t="shared" si="47"/>
        <v>QSFP28</v>
      </c>
      <c r="E152" s="108" t="str">
        <f t="shared" ref="E152:O152" si="63">IF(E56=0,"",E248*10^6/E56)</f>
        <v/>
      </c>
      <c r="F152" s="108" t="str">
        <f t="shared" si="63"/>
        <v/>
      </c>
      <c r="G152" s="108" t="str">
        <f t="shared" si="63"/>
        <v/>
      </c>
      <c r="H152" s="108" t="str">
        <f t="shared" si="63"/>
        <v/>
      </c>
      <c r="I152" s="108" t="str">
        <f t="shared" si="63"/>
        <v/>
      </c>
      <c r="J152" s="108" t="str">
        <f t="shared" si="63"/>
        <v/>
      </c>
      <c r="K152" s="108" t="str">
        <f t="shared" si="63"/>
        <v/>
      </c>
      <c r="L152" s="108" t="str">
        <f t="shared" si="63"/>
        <v/>
      </c>
      <c r="M152" s="108" t="str">
        <f t="shared" si="63"/>
        <v/>
      </c>
      <c r="N152" s="108" t="str">
        <f t="shared" si="63"/>
        <v/>
      </c>
      <c r="O152" s="108" t="str">
        <f t="shared" si="63"/>
        <v/>
      </c>
      <c r="Q152" s="621"/>
    </row>
    <row r="153" spans="2:17">
      <c r="B153" s="237" t="str">
        <f t="shared" si="47"/>
        <v>100G ER4-Lite</v>
      </c>
      <c r="C153" s="238" t="str">
        <f t="shared" si="47"/>
        <v>30 km</v>
      </c>
      <c r="D153" s="239" t="str">
        <f t="shared" si="47"/>
        <v>QSFP28</v>
      </c>
      <c r="E153" s="108" t="str">
        <f t="shared" ref="E153:O153" si="64">IF(E57=0,"",E249*10^6/E57)</f>
        <v/>
      </c>
      <c r="F153" s="108">
        <f t="shared" si="64"/>
        <v>3487.2423945044161</v>
      </c>
      <c r="G153" s="108" t="str">
        <f t="shared" si="64"/>
        <v/>
      </c>
      <c r="H153" s="108" t="str">
        <f t="shared" si="64"/>
        <v/>
      </c>
      <c r="I153" s="108" t="str">
        <f t="shared" si="64"/>
        <v/>
      </c>
      <c r="J153" s="108" t="str">
        <f t="shared" si="64"/>
        <v/>
      </c>
      <c r="K153" s="108" t="str">
        <f t="shared" si="64"/>
        <v/>
      </c>
      <c r="L153" s="108" t="str">
        <f t="shared" si="64"/>
        <v/>
      </c>
      <c r="M153" s="108" t="str">
        <f t="shared" si="64"/>
        <v/>
      </c>
      <c r="N153" s="108" t="str">
        <f t="shared" si="64"/>
        <v/>
      </c>
      <c r="O153" s="108" t="str">
        <f t="shared" si="64"/>
        <v/>
      </c>
      <c r="Q153" s="621"/>
    </row>
    <row r="154" spans="2:17">
      <c r="B154" s="237" t="str">
        <f t="shared" si="47"/>
        <v>100G ER4</v>
      </c>
      <c r="C154" s="238" t="str">
        <f t="shared" si="47"/>
        <v>40 km</v>
      </c>
      <c r="D154" s="239" t="str">
        <f t="shared" si="47"/>
        <v>QSFP28</v>
      </c>
      <c r="E154" s="108">
        <f t="shared" ref="E154:O154" si="65">IF(E58=0,"",E250*10^6/E58)</f>
        <v>8992.3604525403425</v>
      </c>
      <c r="F154" s="108">
        <f t="shared" si="65"/>
        <v>6675.4855675304152</v>
      </c>
      <c r="G154" s="108" t="str">
        <f t="shared" si="65"/>
        <v/>
      </c>
      <c r="H154" s="108" t="str">
        <f t="shared" si="65"/>
        <v/>
      </c>
      <c r="I154" s="108" t="str">
        <f t="shared" si="65"/>
        <v/>
      </c>
      <c r="J154" s="108" t="str">
        <f t="shared" si="65"/>
        <v/>
      </c>
      <c r="K154" s="108" t="str">
        <f t="shared" si="65"/>
        <v/>
      </c>
      <c r="L154" s="108" t="str">
        <f t="shared" si="65"/>
        <v/>
      </c>
      <c r="M154" s="108" t="str">
        <f t="shared" si="65"/>
        <v/>
      </c>
      <c r="N154" s="108" t="str">
        <f t="shared" si="65"/>
        <v/>
      </c>
      <c r="O154" s="108" t="str">
        <f t="shared" si="65"/>
        <v/>
      </c>
      <c r="Q154" s="621"/>
    </row>
    <row r="155" spans="2:17">
      <c r="B155" s="240" t="str">
        <f t="shared" si="47"/>
        <v>100G ZR4</v>
      </c>
      <c r="C155" s="241" t="str">
        <f t="shared" si="47"/>
        <v>80 km</v>
      </c>
      <c r="D155" s="242" t="str">
        <f t="shared" si="47"/>
        <v>QSFP28</v>
      </c>
      <c r="E155" s="442" t="str">
        <f t="shared" ref="E155:O155" si="66">IF(E59=0,"",E251*10^6/E59)</f>
        <v/>
      </c>
      <c r="F155" s="442" t="str">
        <f t="shared" si="66"/>
        <v/>
      </c>
      <c r="G155" s="442" t="str">
        <f t="shared" si="66"/>
        <v/>
      </c>
      <c r="H155" s="442" t="str">
        <f t="shared" si="66"/>
        <v/>
      </c>
      <c r="I155" s="442" t="str">
        <f t="shared" si="66"/>
        <v/>
      </c>
      <c r="J155" s="442" t="str">
        <f t="shared" si="66"/>
        <v/>
      </c>
      <c r="K155" s="442" t="str">
        <f t="shared" si="66"/>
        <v/>
      </c>
      <c r="L155" s="442" t="str">
        <f t="shared" si="66"/>
        <v/>
      </c>
      <c r="M155" s="442" t="str">
        <f t="shared" si="66"/>
        <v/>
      </c>
      <c r="N155" s="442" t="str">
        <f t="shared" si="66"/>
        <v/>
      </c>
      <c r="O155" s="442" t="str">
        <f t="shared" si="66"/>
        <v/>
      </c>
      <c r="Q155" s="621"/>
    </row>
    <row r="156" spans="2:17">
      <c r="B156" s="231" t="str">
        <f t="shared" si="47"/>
        <v>200G SR4</v>
      </c>
      <c r="C156" s="230" t="str">
        <f t="shared" si="47"/>
        <v>100 m</v>
      </c>
      <c r="D156" s="229" t="str">
        <f t="shared" si="47"/>
        <v>QSFP56</v>
      </c>
      <c r="E156" s="357"/>
      <c r="F156" s="357"/>
      <c r="G156" s="357" t="str">
        <f t="shared" ref="G156:O156" si="67">IF(G60=0,"",G252*10^6/G60)</f>
        <v/>
      </c>
      <c r="H156" s="357" t="str">
        <f t="shared" si="67"/>
        <v/>
      </c>
      <c r="I156" s="357" t="str">
        <f t="shared" si="67"/>
        <v/>
      </c>
      <c r="J156" s="357" t="str">
        <f t="shared" si="67"/>
        <v/>
      </c>
      <c r="K156" s="357" t="str">
        <f t="shared" si="67"/>
        <v/>
      </c>
      <c r="L156" s="357" t="str">
        <f t="shared" si="67"/>
        <v/>
      </c>
      <c r="M156" s="357" t="str">
        <f t="shared" si="67"/>
        <v/>
      </c>
      <c r="N156" s="357" t="str">
        <f t="shared" si="67"/>
        <v/>
      </c>
      <c r="O156" s="357" t="str">
        <f t="shared" si="67"/>
        <v/>
      </c>
      <c r="Q156" s="621"/>
    </row>
    <row r="157" spans="2:17">
      <c r="B157" s="54" t="str">
        <f t="shared" ref="B157:D170" si="68">B61</f>
        <v>200G DR</v>
      </c>
      <c r="C157" s="55" t="str">
        <f t="shared" si="68"/>
        <v>500 m</v>
      </c>
      <c r="D157" s="56" t="str">
        <f t="shared" si="68"/>
        <v>TBD</v>
      </c>
      <c r="E157" s="108"/>
      <c r="F157" s="108"/>
      <c r="G157" s="108" t="str">
        <f t="shared" ref="G157:O160" si="69">IF(G61=0,"",G253*10^6/G61)</f>
        <v/>
      </c>
      <c r="H157" s="108" t="str">
        <f t="shared" si="69"/>
        <v/>
      </c>
      <c r="I157" s="108" t="str">
        <f t="shared" si="69"/>
        <v/>
      </c>
      <c r="J157" s="108" t="str">
        <f t="shared" si="69"/>
        <v/>
      </c>
      <c r="K157" s="108" t="str">
        <f t="shared" si="69"/>
        <v/>
      </c>
      <c r="L157" s="108" t="str">
        <f t="shared" si="69"/>
        <v/>
      </c>
      <c r="M157" s="108" t="str">
        <f t="shared" si="69"/>
        <v/>
      </c>
      <c r="N157" s="108" t="str">
        <f t="shared" si="69"/>
        <v/>
      </c>
      <c r="O157" s="108" t="str">
        <f t="shared" si="69"/>
        <v/>
      </c>
      <c r="Q157" s="621"/>
    </row>
    <row r="158" spans="2:17">
      <c r="B158" s="54" t="str">
        <f t="shared" si="68"/>
        <v>200G FR4</v>
      </c>
      <c r="C158" s="55" t="str">
        <f t="shared" si="68"/>
        <v>3 km</v>
      </c>
      <c r="D158" s="56" t="str">
        <f t="shared" si="68"/>
        <v>QSFP56</v>
      </c>
      <c r="E158" s="108"/>
      <c r="F158" s="108"/>
      <c r="G158" s="108" t="str">
        <f t="shared" si="69"/>
        <v/>
      </c>
      <c r="H158" s="108" t="str">
        <f t="shared" si="69"/>
        <v/>
      </c>
      <c r="I158" s="108" t="str">
        <f t="shared" si="69"/>
        <v/>
      </c>
      <c r="J158" s="108" t="str">
        <f t="shared" si="69"/>
        <v/>
      </c>
      <c r="K158" s="108" t="str">
        <f t="shared" si="69"/>
        <v/>
      </c>
      <c r="L158" s="108" t="str">
        <f t="shared" si="69"/>
        <v/>
      </c>
      <c r="M158" s="108" t="str">
        <f t="shared" si="69"/>
        <v/>
      </c>
      <c r="N158" s="108" t="str">
        <f t="shared" si="69"/>
        <v/>
      </c>
      <c r="O158" s="108" t="str">
        <f t="shared" si="69"/>
        <v/>
      </c>
      <c r="Q158" s="621"/>
    </row>
    <row r="159" spans="2:17">
      <c r="B159" s="54" t="str">
        <f t="shared" si="68"/>
        <v>200G LR</v>
      </c>
      <c r="C159" s="55" t="str">
        <f t="shared" si="68"/>
        <v>10 km</v>
      </c>
      <c r="D159" s="56" t="str">
        <f t="shared" si="68"/>
        <v>TBD</v>
      </c>
      <c r="E159" s="108"/>
      <c r="F159" s="108"/>
      <c r="G159" s="108" t="str">
        <f t="shared" si="69"/>
        <v/>
      </c>
      <c r="H159" s="108" t="str">
        <f t="shared" si="69"/>
        <v/>
      </c>
      <c r="I159" s="108" t="str">
        <f t="shared" si="69"/>
        <v/>
      </c>
      <c r="J159" s="108" t="str">
        <f t="shared" si="69"/>
        <v/>
      </c>
      <c r="K159" s="108" t="str">
        <f t="shared" si="69"/>
        <v/>
      </c>
      <c r="L159" s="108" t="str">
        <f t="shared" si="69"/>
        <v/>
      </c>
      <c r="M159" s="108" t="str">
        <f t="shared" si="69"/>
        <v/>
      </c>
      <c r="N159" s="108" t="str">
        <f t="shared" si="69"/>
        <v/>
      </c>
      <c r="O159" s="108" t="str">
        <f t="shared" si="69"/>
        <v/>
      </c>
      <c r="Q159" s="621"/>
    </row>
    <row r="160" spans="2:17">
      <c r="B160" s="54" t="str">
        <f t="shared" si="68"/>
        <v>200G ER4</v>
      </c>
      <c r="C160" s="55" t="str">
        <f t="shared" si="68"/>
        <v>40 km</v>
      </c>
      <c r="D160" s="56" t="str">
        <f t="shared" si="68"/>
        <v>TBD</v>
      </c>
      <c r="E160" s="108"/>
      <c r="F160" s="108"/>
      <c r="G160" s="108" t="str">
        <f t="shared" si="69"/>
        <v/>
      </c>
      <c r="H160" s="108" t="str">
        <f t="shared" si="69"/>
        <v/>
      </c>
      <c r="I160" s="108" t="str">
        <f t="shared" si="69"/>
        <v/>
      </c>
      <c r="J160" s="108" t="str">
        <f t="shared" si="69"/>
        <v/>
      </c>
      <c r="K160" s="108" t="str">
        <f t="shared" si="69"/>
        <v/>
      </c>
      <c r="L160" s="108" t="str">
        <f t="shared" si="69"/>
        <v/>
      </c>
      <c r="M160" s="108" t="str">
        <f t="shared" si="69"/>
        <v/>
      </c>
      <c r="N160" s="108" t="str">
        <f t="shared" si="69"/>
        <v/>
      </c>
      <c r="O160" s="108" t="str">
        <f t="shared" si="69"/>
        <v/>
      </c>
      <c r="Q160" s="621"/>
    </row>
    <row r="161" spans="2:17">
      <c r="B161" s="231" t="str">
        <f t="shared" si="68"/>
        <v>2x200 (400G-SR8)</v>
      </c>
      <c r="C161" s="230" t="str">
        <f t="shared" si="68"/>
        <v>100 m</v>
      </c>
      <c r="D161" s="229" t="str">
        <f t="shared" si="68"/>
        <v>OSFP, QSFP-DD</v>
      </c>
      <c r="E161" s="357"/>
      <c r="F161" s="357"/>
      <c r="G161" s="357" t="str">
        <f t="shared" ref="G161:O161" si="70">IF(G65=0,"",G257*10^6/G65)</f>
        <v/>
      </c>
      <c r="H161" s="357" t="str">
        <f t="shared" si="70"/>
        <v/>
      </c>
      <c r="I161" s="357" t="str">
        <f t="shared" si="70"/>
        <v/>
      </c>
      <c r="J161" s="357" t="str">
        <f t="shared" si="70"/>
        <v/>
      </c>
      <c r="K161" s="357" t="str">
        <f t="shared" si="70"/>
        <v/>
      </c>
      <c r="L161" s="357" t="str">
        <f t="shared" si="70"/>
        <v/>
      </c>
      <c r="M161" s="357" t="str">
        <f t="shared" si="70"/>
        <v/>
      </c>
      <c r="N161" s="357" t="str">
        <f t="shared" si="70"/>
        <v/>
      </c>
      <c r="O161" s="357" t="str">
        <f t="shared" si="70"/>
        <v/>
      </c>
      <c r="Q161" s="621"/>
    </row>
    <row r="162" spans="2:17">
      <c r="B162" s="54" t="str">
        <f t="shared" si="68"/>
        <v>400G SR4</v>
      </c>
      <c r="C162" s="55" t="str">
        <f t="shared" si="68"/>
        <v>100 m</v>
      </c>
      <c r="D162" s="56" t="str">
        <f t="shared" si="68"/>
        <v>OSFP112, QSFP112</v>
      </c>
      <c r="E162" s="108"/>
      <c r="F162" s="108"/>
      <c r="G162" s="108" t="str">
        <f t="shared" ref="G162:O162" si="71">IF(G66=0,"",G258*10^6/G66)</f>
        <v/>
      </c>
      <c r="H162" s="108" t="str">
        <f t="shared" si="71"/>
        <v/>
      </c>
      <c r="I162" s="108" t="str">
        <f t="shared" si="71"/>
        <v/>
      </c>
      <c r="J162" s="108" t="str">
        <f t="shared" si="71"/>
        <v/>
      </c>
      <c r="K162" s="108" t="str">
        <f t="shared" si="71"/>
        <v/>
      </c>
      <c r="L162" s="108" t="str">
        <f t="shared" si="71"/>
        <v/>
      </c>
      <c r="M162" s="108" t="str">
        <f t="shared" si="71"/>
        <v/>
      </c>
      <c r="N162" s="108" t="str">
        <f t="shared" si="71"/>
        <v/>
      </c>
      <c r="O162" s="108" t="str">
        <f t="shared" si="71"/>
        <v/>
      </c>
      <c r="Q162" s="621"/>
    </row>
    <row r="163" spans="2:17">
      <c r="B163" s="54" t="str">
        <f t="shared" si="68"/>
        <v>400G DR4</v>
      </c>
      <c r="C163" s="55" t="str">
        <f t="shared" si="68"/>
        <v>500 m</v>
      </c>
      <c r="D163" s="56" t="str">
        <f t="shared" si="68"/>
        <v>OSFP, QSFP-DD, QSFP112</v>
      </c>
      <c r="E163" s="108"/>
      <c r="F163" s="108"/>
      <c r="G163" s="108" t="str">
        <f t="shared" ref="G163:O163" si="72">IF(G67=0,"",G259*10^6/G67)</f>
        <v/>
      </c>
      <c r="H163" s="108" t="str">
        <f t="shared" si="72"/>
        <v/>
      </c>
      <c r="I163" s="108" t="str">
        <f t="shared" si="72"/>
        <v/>
      </c>
      <c r="J163" s="108" t="str">
        <f t="shared" si="72"/>
        <v/>
      </c>
      <c r="K163" s="108" t="str">
        <f t="shared" si="72"/>
        <v/>
      </c>
      <c r="L163" s="108" t="str">
        <f t="shared" si="72"/>
        <v/>
      </c>
      <c r="M163" s="108" t="str">
        <f t="shared" si="72"/>
        <v/>
      </c>
      <c r="N163" s="108" t="str">
        <f t="shared" si="72"/>
        <v/>
      </c>
      <c r="O163" s="108" t="str">
        <f t="shared" si="72"/>
        <v/>
      </c>
      <c r="Q163" s="621"/>
    </row>
    <row r="164" spans="2:17">
      <c r="B164" s="54" t="str">
        <f t="shared" si="68"/>
        <v>2x(200G FR4)</v>
      </c>
      <c r="C164" s="55" t="str">
        <f t="shared" si="68"/>
        <v>2 km</v>
      </c>
      <c r="D164" s="56" t="str">
        <f t="shared" si="68"/>
        <v>OSFP</v>
      </c>
      <c r="E164" s="108"/>
      <c r="F164" s="108"/>
      <c r="G164" s="108" t="str">
        <f t="shared" ref="G164:O164" si="73">IF(G68=0,"",G260*10^6/G68)</f>
        <v/>
      </c>
      <c r="H164" s="108" t="str">
        <f t="shared" si="73"/>
        <v/>
      </c>
      <c r="I164" s="108" t="str">
        <f t="shared" si="73"/>
        <v/>
      </c>
      <c r="J164" s="108" t="str">
        <f t="shared" si="73"/>
        <v/>
      </c>
      <c r="K164" s="108" t="str">
        <f t="shared" si="73"/>
        <v/>
      </c>
      <c r="L164" s="108" t="str">
        <f t="shared" si="73"/>
        <v/>
      </c>
      <c r="M164" s="108" t="str">
        <f t="shared" si="73"/>
        <v/>
      </c>
      <c r="N164" s="108" t="str">
        <f t="shared" si="73"/>
        <v/>
      </c>
      <c r="O164" s="108" t="str">
        <f t="shared" si="73"/>
        <v/>
      </c>
      <c r="Q164" s="621"/>
    </row>
    <row r="165" spans="2:17">
      <c r="B165" s="54" t="str">
        <f t="shared" si="68"/>
        <v>400G FR4</v>
      </c>
      <c r="C165" s="55" t="str">
        <f t="shared" si="68"/>
        <v>2 km</v>
      </c>
      <c r="D165" s="56" t="str">
        <f t="shared" si="68"/>
        <v>OSFP, QSFP-DD, QSFP112</v>
      </c>
      <c r="E165" s="108"/>
      <c r="F165" s="108">
        <f>IF(F69=0,"",F261*10^6/F69)</f>
        <v>11614.285714285714</v>
      </c>
      <c r="G165" s="108" t="str">
        <f t="shared" ref="G165:O165" si="74">IF(G69=0,"",G261*10^6/G69)</f>
        <v/>
      </c>
      <c r="H165" s="108" t="str">
        <f t="shared" si="74"/>
        <v/>
      </c>
      <c r="I165" s="108" t="str">
        <f t="shared" si="74"/>
        <v/>
      </c>
      <c r="J165" s="108" t="str">
        <f t="shared" si="74"/>
        <v/>
      </c>
      <c r="K165" s="108" t="str">
        <f t="shared" si="74"/>
        <v/>
      </c>
      <c r="L165" s="108" t="str">
        <f t="shared" si="74"/>
        <v/>
      </c>
      <c r="M165" s="108" t="str">
        <f t="shared" si="74"/>
        <v/>
      </c>
      <c r="N165" s="108" t="str">
        <f t="shared" si="74"/>
        <v/>
      </c>
      <c r="O165" s="108" t="str">
        <f t="shared" si="74"/>
        <v/>
      </c>
      <c r="Q165" s="621"/>
    </row>
    <row r="166" spans="2:17">
      <c r="B166" s="54" t="str">
        <f t="shared" si="68"/>
        <v>400G LR8, LR4</v>
      </c>
      <c r="C166" s="55" t="str">
        <f t="shared" si="68"/>
        <v>10 km</v>
      </c>
      <c r="D166" s="56" t="str">
        <f t="shared" si="68"/>
        <v>OSFP, QSFP-DD, QSFP112</v>
      </c>
      <c r="E166" s="108"/>
      <c r="F166" s="108">
        <f>IF(F70=0,"",F262*10^6/F70)</f>
        <v>15451.219512195123</v>
      </c>
      <c r="G166" s="108" t="str">
        <f t="shared" ref="G166:O167" si="75">IF(G70=0,"",G262*10^6/G70)</f>
        <v/>
      </c>
      <c r="H166" s="108" t="str">
        <f t="shared" si="75"/>
        <v/>
      </c>
      <c r="I166" s="108" t="str">
        <f t="shared" si="75"/>
        <v/>
      </c>
      <c r="J166" s="108" t="str">
        <f t="shared" si="75"/>
        <v/>
      </c>
      <c r="K166" s="108" t="str">
        <f t="shared" si="75"/>
        <v/>
      </c>
      <c r="L166" s="108" t="str">
        <f t="shared" si="75"/>
        <v/>
      </c>
      <c r="M166" s="108" t="str">
        <f t="shared" si="75"/>
        <v/>
      </c>
      <c r="N166" s="108" t="str">
        <f t="shared" si="75"/>
        <v/>
      </c>
      <c r="O166" s="108" t="str">
        <f t="shared" si="75"/>
        <v/>
      </c>
      <c r="Q166" s="621"/>
    </row>
    <row r="167" spans="2:17">
      <c r="B167" s="57" t="str">
        <f t="shared" si="68"/>
        <v>400G ER4</v>
      </c>
      <c r="C167" s="58" t="str">
        <f t="shared" si="68"/>
        <v>40 km</v>
      </c>
      <c r="D167" s="59" t="str">
        <f t="shared" si="68"/>
        <v>TBD</v>
      </c>
      <c r="E167" s="442"/>
      <c r="F167" s="442" t="str">
        <f>IF(F71=0,"",F263*10^6/F71)</f>
        <v/>
      </c>
      <c r="G167" s="442" t="str">
        <f t="shared" si="75"/>
        <v/>
      </c>
      <c r="H167" s="442" t="str">
        <f t="shared" si="75"/>
        <v/>
      </c>
      <c r="I167" s="442" t="str">
        <f t="shared" si="75"/>
        <v/>
      </c>
      <c r="J167" s="442" t="str">
        <f t="shared" si="75"/>
        <v/>
      </c>
      <c r="K167" s="442" t="str">
        <f t="shared" si="75"/>
        <v/>
      </c>
      <c r="L167" s="442" t="str">
        <f t="shared" si="75"/>
        <v/>
      </c>
      <c r="M167" s="442" t="str">
        <f t="shared" si="75"/>
        <v/>
      </c>
      <c r="N167" s="442" t="str">
        <f t="shared" si="75"/>
        <v/>
      </c>
      <c r="O167" s="442" t="str">
        <f t="shared" si="75"/>
        <v/>
      </c>
      <c r="Q167" s="621"/>
    </row>
    <row r="168" spans="2:17">
      <c r="B168" s="231" t="str">
        <f t="shared" si="68"/>
        <v>800G SR8</v>
      </c>
      <c r="C168" s="230" t="str">
        <f t="shared" si="68"/>
        <v>50 m</v>
      </c>
      <c r="D168" s="229" t="str">
        <f t="shared" si="68"/>
        <v>OSFP, QSFP-DD800</v>
      </c>
      <c r="E168" s="357"/>
      <c r="F168" s="357"/>
      <c r="G168" s="357" t="str">
        <f t="shared" ref="G168:O168" si="76">IF(G72=0,"",G264*10^6/G72)</f>
        <v/>
      </c>
      <c r="H168" s="357" t="str">
        <f t="shared" si="76"/>
        <v/>
      </c>
      <c r="I168" s="357" t="str">
        <f t="shared" si="76"/>
        <v/>
      </c>
      <c r="J168" s="357" t="str">
        <f t="shared" si="76"/>
        <v/>
      </c>
      <c r="K168" s="357" t="str">
        <f t="shared" si="76"/>
        <v/>
      </c>
      <c r="L168" s="357" t="str">
        <f t="shared" si="76"/>
        <v/>
      </c>
      <c r="M168" s="357" t="str">
        <f t="shared" si="76"/>
        <v/>
      </c>
      <c r="N168" s="357" t="str">
        <f t="shared" si="76"/>
        <v/>
      </c>
      <c r="O168" s="357" t="str">
        <f t="shared" si="76"/>
        <v/>
      </c>
      <c r="Q168" s="621"/>
    </row>
    <row r="169" spans="2:17">
      <c r="B169" s="54" t="str">
        <f t="shared" si="68"/>
        <v>800G DR8, DR4</v>
      </c>
      <c r="C169" s="55" t="str">
        <f t="shared" si="68"/>
        <v>500 m</v>
      </c>
      <c r="D169" s="56" t="str">
        <f t="shared" si="68"/>
        <v>OSFP, QSFP-DD800</v>
      </c>
      <c r="E169" s="108"/>
      <c r="F169" s="108"/>
      <c r="G169" s="108" t="str">
        <f t="shared" ref="G169:O169" si="77">IF(G73=0,"",G265*10^6/G73)</f>
        <v/>
      </c>
      <c r="H169" s="108" t="str">
        <f t="shared" si="77"/>
        <v/>
      </c>
      <c r="I169" s="108" t="str">
        <f t="shared" si="77"/>
        <v/>
      </c>
      <c r="J169" s="108" t="str">
        <f t="shared" si="77"/>
        <v/>
      </c>
      <c r="K169" s="108" t="str">
        <f t="shared" si="77"/>
        <v/>
      </c>
      <c r="L169" s="108" t="str">
        <f t="shared" si="77"/>
        <v/>
      </c>
      <c r="M169" s="108" t="str">
        <f t="shared" si="77"/>
        <v/>
      </c>
      <c r="N169" s="108" t="str">
        <f t="shared" si="77"/>
        <v/>
      </c>
      <c r="O169" s="108" t="str">
        <f t="shared" si="77"/>
        <v/>
      </c>
      <c r="Q169" s="621"/>
    </row>
    <row r="170" spans="2:17">
      <c r="B170" s="54" t="str">
        <f t="shared" si="68"/>
        <v>2x(400G FR4), 800G FR4</v>
      </c>
      <c r="C170" s="55" t="str">
        <f t="shared" si="68"/>
        <v>2 km</v>
      </c>
      <c r="D170" s="56" t="str">
        <f t="shared" si="68"/>
        <v>OSFP, QSFP-DD800</v>
      </c>
      <c r="E170" s="108"/>
      <c r="F170" s="108"/>
      <c r="G170" s="108" t="str">
        <f t="shared" ref="G170:O170" si="78">IF(G74=0,"",G266*10^6/G74)</f>
        <v/>
      </c>
      <c r="H170" s="108" t="str">
        <f t="shared" si="78"/>
        <v/>
      </c>
      <c r="I170" s="108" t="str">
        <f t="shared" si="78"/>
        <v/>
      </c>
      <c r="J170" s="108" t="str">
        <f t="shared" si="78"/>
        <v/>
      </c>
      <c r="K170" s="108" t="str">
        <f t="shared" si="78"/>
        <v/>
      </c>
      <c r="L170" s="108" t="str">
        <f t="shared" si="78"/>
        <v/>
      </c>
      <c r="M170" s="108" t="str">
        <f t="shared" si="78"/>
        <v/>
      </c>
      <c r="N170" s="108" t="str">
        <f t="shared" si="78"/>
        <v/>
      </c>
      <c r="O170" s="108" t="str">
        <f t="shared" si="78"/>
        <v/>
      </c>
      <c r="Q170" s="621"/>
    </row>
    <row r="171" spans="2:17">
      <c r="B171" s="54" t="str">
        <f t="shared" ref="B171:D183" si="79">B75</f>
        <v>800G LR8, LR4</v>
      </c>
      <c r="C171" s="55" t="str">
        <f t="shared" si="79"/>
        <v>6, 10 km</v>
      </c>
      <c r="D171" s="56" t="str">
        <f t="shared" si="79"/>
        <v>TBD</v>
      </c>
      <c r="E171" s="108"/>
      <c r="F171" s="108"/>
      <c r="G171" s="108" t="str">
        <f t="shared" ref="G171:O171" si="80">IF(G75=0,"",G267*10^6/G75)</f>
        <v/>
      </c>
      <c r="H171" s="108" t="str">
        <f t="shared" si="80"/>
        <v/>
      </c>
      <c r="I171" s="108" t="str">
        <f t="shared" si="80"/>
        <v/>
      </c>
      <c r="J171" s="108" t="str">
        <f t="shared" si="80"/>
        <v/>
      </c>
      <c r="K171" s="108" t="str">
        <f t="shared" si="80"/>
        <v/>
      </c>
      <c r="L171" s="108" t="str">
        <f t="shared" si="80"/>
        <v/>
      </c>
      <c r="M171" s="108" t="str">
        <f t="shared" si="80"/>
        <v/>
      </c>
      <c r="N171" s="108" t="str">
        <f t="shared" si="80"/>
        <v/>
      </c>
      <c r="O171" s="108" t="str">
        <f t="shared" si="80"/>
        <v/>
      </c>
      <c r="Q171" s="621"/>
    </row>
    <row r="172" spans="2:17">
      <c r="B172" s="54" t="str">
        <f t="shared" si="79"/>
        <v>800G ZRlite</v>
      </c>
      <c r="C172" s="55" t="str">
        <f t="shared" si="79"/>
        <v>10 km, 20 km</v>
      </c>
      <c r="D172" s="56" t="str">
        <f t="shared" si="79"/>
        <v>TBD</v>
      </c>
      <c r="E172" s="108"/>
      <c r="F172" s="108"/>
      <c r="G172" s="108" t="str">
        <f t="shared" ref="G172:O172" si="81">IF(G76=0,"",G268*10^6/G76)</f>
        <v/>
      </c>
      <c r="H172" s="108" t="str">
        <f t="shared" si="81"/>
        <v/>
      </c>
      <c r="I172" s="108" t="str">
        <f t="shared" si="81"/>
        <v/>
      </c>
      <c r="J172" s="108" t="str">
        <f t="shared" si="81"/>
        <v/>
      </c>
      <c r="K172" s="108" t="str">
        <f t="shared" si="81"/>
        <v/>
      </c>
      <c r="L172" s="108" t="str">
        <f t="shared" si="81"/>
        <v/>
      </c>
      <c r="M172" s="108" t="str">
        <f t="shared" si="81"/>
        <v/>
      </c>
      <c r="N172" s="108" t="str">
        <f t="shared" si="81"/>
        <v/>
      </c>
      <c r="O172" s="108" t="str">
        <f t="shared" si="81"/>
        <v/>
      </c>
      <c r="Q172" s="621"/>
    </row>
    <row r="173" spans="2:17">
      <c r="B173" s="57" t="str">
        <f t="shared" si="79"/>
        <v>800G ER4</v>
      </c>
      <c r="C173" s="58" t="str">
        <f t="shared" si="79"/>
        <v>40 km</v>
      </c>
      <c r="D173" s="59" t="str">
        <f t="shared" si="79"/>
        <v>TBD</v>
      </c>
      <c r="E173" s="442"/>
      <c r="F173" s="442"/>
      <c r="G173" s="442" t="str">
        <f t="shared" ref="G173:O173" si="82">IF(G77=0,"",G269*10^6/G77)</f>
        <v/>
      </c>
      <c r="H173" s="442" t="str">
        <f t="shared" si="82"/>
        <v/>
      </c>
      <c r="I173" s="442" t="str">
        <f t="shared" si="82"/>
        <v/>
      </c>
      <c r="J173" s="442" t="str">
        <f t="shared" si="82"/>
        <v/>
      </c>
      <c r="K173" s="442" t="str">
        <f t="shared" si="82"/>
        <v/>
      </c>
      <c r="L173" s="442" t="str">
        <f t="shared" si="82"/>
        <v/>
      </c>
      <c r="M173" s="442" t="str">
        <f t="shared" si="82"/>
        <v/>
      </c>
      <c r="N173" s="442" t="str">
        <f t="shared" si="82"/>
        <v/>
      </c>
      <c r="O173" s="442" t="str">
        <f t="shared" si="82"/>
        <v/>
      </c>
      <c r="Q173" s="621"/>
    </row>
    <row r="174" spans="2:17">
      <c r="B174" s="54" t="str">
        <f t="shared" si="79"/>
        <v>1.6T SR16</v>
      </c>
      <c r="C174" s="55" t="str">
        <f t="shared" si="79"/>
        <v>100 m</v>
      </c>
      <c r="D174" s="56" t="str">
        <f t="shared" si="79"/>
        <v>OSFP-XD and TBD</v>
      </c>
      <c r="E174" s="108"/>
      <c r="F174" s="108"/>
      <c r="G174" s="108" t="str">
        <f t="shared" ref="G174:O174" si="83">IF(G78=0,"",G270*10^6/G78)</f>
        <v/>
      </c>
      <c r="H174" s="108" t="str">
        <f t="shared" si="83"/>
        <v/>
      </c>
      <c r="I174" s="108" t="str">
        <f t="shared" si="83"/>
        <v/>
      </c>
      <c r="J174" s="108" t="str">
        <f t="shared" si="83"/>
        <v/>
      </c>
      <c r="K174" s="108" t="str">
        <f t="shared" si="83"/>
        <v/>
      </c>
      <c r="L174" s="108" t="str">
        <f t="shared" si="83"/>
        <v/>
      </c>
      <c r="M174" s="108" t="str">
        <f t="shared" si="83"/>
        <v/>
      </c>
      <c r="N174" s="108" t="str">
        <f t="shared" si="83"/>
        <v/>
      </c>
      <c r="O174" s="108" t="str">
        <f t="shared" si="83"/>
        <v/>
      </c>
      <c r="Q174" s="621"/>
    </row>
    <row r="175" spans="2:17">
      <c r="B175" s="54" t="str">
        <f t="shared" si="79"/>
        <v>1.6T DR8</v>
      </c>
      <c r="C175" s="55" t="str">
        <f t="shared" si="79"/>
        <v>500 m</v>
      </c>
      <c r="D175" s="56" t="str">
        <f t="shared" si="79"/>
        <v>OSFP-XD and TBD</v>
      </c>
      <c r="E175" s="108"/>
      <c r="F175" s="108"/>
      <c r="G175" s="108" t="str">
        <f t="shared" ref="G175:O175" si="84">IF(G79=0,"",G271*10^6/G79)</f>
        <v/>
      </c>
      <c r="H175" s="108" t="str">
        <f t="shared" si="84"/>
        <v/>
      </c>
      <c r="I175" s="108" t="str">
        <f t="shared" si="84"/>
        <v/>
      </c>
      <c r="J175" s="108" t="str">
        <f t="shared" si="84"/>
        <v/>
      </c>
      <c r="K175" s="108" t="str">
        <f t="shared" si="84"/>
        <v/>
      </c>
      <c r="L175" s="108" t="str">
        <f t="shared" si="84"/>
        <v/>
      </c>
      <c r="M175" s="108" t="str">
        <f t="shared" si="84"/>
        <v/>
      </c>
      <c r="N175" s="108" t="str">
        <f t="shared" si="84"/>
        <v/>
      </c>
      <c r="O175" s="108" t="str">
        <f t="shared" si="84"/>
        <v/>
      </c>
      <c r="Q175" s="621"/>
    </row>
    <row r="176" spans="2:17">
      <c r="B176" s="54" t="str">
        <f t="shared" si="79"/>
        <v>1.6T FR8</v>
      </c>
      <c r="C176" s="55" t="str">
        <f t="shared" si="79"/>
        <v>2 km</v>
      </c>
      <c r="D176" s="56" t="str">
        <f t="shared" si="79"/>
        <v>OSFP-XD and TBD</v>
      </c>
      <c r="E176" s="108"/>
      <c r="F176" s="108"/>
      <c r="G176" s="108" t="str">
        <f t="shared" ref="G176:O176" si="85">IF(G80=0,"",G272*10^6/G80)</f>
        <v/>
      </c>
      <c r="H176" s="108" t="str">
        <f t="shared" si="85"/>
        <v/>
      </c>
      <c r="I176" s="108" t="str">
        <f t="shared" si="85"/>
        <v/>
      </c>
      <c r="J176" s="108" t="str">
        <f t="shared" si="85"/>
        <v/>
      </c>
      <c r="K176" s="108" t="str">
        <f t="shared" si="85"/>
        <v/>
      </c>
      <c r="L176" s="108" t="str">
        <f t="shared" si="85"/>
        <v/>
      </c>
      <c r="M176" s="108" t="str">
        <f t="shared" si="85"/>
        <v/>
      </c>
      <c r="N176" s="108" t="str">
        <f t="shared" si="85"/>
        <v/>
      </c>
      <c r="O176" s="108" t="str">
        <f t="shared" si="85"/>
        <v/>
      </c>
      <c r="Q176" s="621"/>
    </row>
    <row r="177" spans="2:17">
      <c r="B177" s="54" t="str">
        <f t="shared" si="79"/>
        <v>1.6T LR8</v>
      </c>
      <c r="C177" s="55" t="str">
        <f t="shared" si="79"/>
        <v>10 km</v>
      </c>
      <c r="D177" s="56" t="str">
        <f t="shared" si="79"/>
        <v>OSFP-XD and TBD</v>
      </c>
      <c r="E177" s="108"/>
      <c r="F177" s="108"/>
      <c r="G177" s="108" t="str">
        <f t="shared" ref="G177:O177" si="86">IF(G81=0,"",G273*10^6/G81)</f>
        <v/>
      </c>
      <c r="H177" s="108" t="str">
        <f t="shared" si="86"/>
        <v/>
      </c>
      <c r="I177" s="108" t="str">
        <f t="shared" si="86"/>
        <v/>
      </c>
      <c r="J177" s="108" t="str">
        <f t="shared" si="86"/>
        <v/>
      </c>
      <c r="K177" s="108" t="str">
        <f t="shared" si="86"/>
        <v/>
      </c>
      <c r="L177" s="108" t="str">
        <f t="shared" si="86"/>
        <v/>
      </c>
      <c r="M177" s="108" t="str">
        <f t="shared" si="86"/>
        <v/>
      </c>
      <c r="N177" s="108" t="str">
        <f t="shared" si="86"/>
        <v/>
      </c>
      <c r="O177" s="108" t="str">
        <f t="shared" si="86"/>
        <v/>
      </c>
      <c r="Q177" s="621"/>
    </row>
    <row r="178" spans="2:17">
      <c r="B178" s="54" t="str">
        <f t="shared" si="79"/>
        <v>1.6T ER8</v>
      </c>
      <c r="C178" s="55" t="str">
        <f t="shared" si="79"/>
        <v>&gt;10 km</v>
      </c>
      <c r="D178" s="56" t="str">
        <f t="shared" si="79"/>
        <v>OSFP-XD and TBD</v>
      </c>
      <c r="E178" s="108"/>
      <c r="F178" s="108"/>
      <c r="G178" s="108" t="str">
        <f t="shared" ref="G178:O178" si="87">IF(G82=0,"",G274*10^6/G82)</f>
        <v/>
      </c>
      <c r="H178" s="108" t="str">
        <f t="shared" si="87"/>
        <v/>
      </c>
      <c r="I178" s="108" t="str">
        <f t="shared" si="87"/>
        <v/>
      </c>
      <c r="J178" s="108" t="str">
        <f t="shared" si="87"/>
        <v/>
      </c>
      <c r="K178" s="108" t="str">
        <f t="shared" si="87"/>
        <v/>
      </c>
      <c r="L178" s="108" t="str">
        <f t="shared" si="87"/>
        <v/>
      </c>
      <c r="M178" s="108" t="str">
        <f t="shared" si="87"/>
        <v/>
      </c>
      <c r="N178" s="108" t="str">
        <f t="shared" si="87"/>
        <v/>
      </c>
      <c r="O178" s="108" t="str">
        <f t="shared" si="87"/>
        <v/>
      </c>
      <c r="Q178" s="621"/>
    </row>
    <row r="179" spans="2:17">
      <c r="B179" s="54" t="str">
        <f t="shared" si="79"/>
        <v>3.2T SR</v>
      </c>
      <c r="C179" s="55" t="str">
        <f t="shared" si="79"/>
        <v>100 m</v>
      </c>
      <c r="D179" s="56" t="str">
        <f t="shared" si="79"/>
        <v>OSFP-XD and TBD</v>
      </c>
      <c r="E179" s="108"/>
      <c r="F179" s="108"/>
      <c r="G179" s="108" t="str">
        <f t="shared" ref="G179:O179" si="88">IF(G83=0,"",G275*10^6/G83)</f>
        <v/>
      </c>
      <c r="H179" s="108" t="str">
        <f t="shared" si="88"/>
        <v/>
      </c>
      <c r="I179" s="108" t="str">
        <f t="shared" si="88"/>
        <v/>
      </c>
      <c r="J179" s="108" t="str">
        <f t="shared" si="88"/>
        <v/>
      </c>
      <c r="K179" s="108" t="str">
        <f t="shared" si="88"/>
        <v/>
      </c>
      <c r="L179" s="108" t="str">
        <f t="shared" si="88"/>
        <v/>
      </c>
      <c r="M179" s="108" t="str">
        <f t="shared" si="88"/>
        <v/>
      </c>
      <c r="N179" s="108" t="str">
        <f t="shared" si="88"/>
        <v/>
      </c>
      <c r="O179" s="108" t="str">
        <f t="shared" si="88"/>
        <v/>
      </c>
      <c r="Q179" s="621"/>
    </row>
    <row r="180" spans="2:17">
      <c r="B180" s="54" t="str">
        <f t="shared" si="79"/>
        <v>3.2T DR</v>
      </c>
      <c r="C180" s="55" t="str">
        <f t="shared" si="79"/>
        <v>500 m</v>
      </c>
      <c r="D180" s="56" t="str">
        <f t="shared" si="79"/>
        <v>OSFP-XD and TBD</v>
      </c>
      <c r="E180" s="108"/>
      <c r="F180" s="108"/>
      <c r="G180" s="108" t="str">
        <f t="shared" ref="G180:O180" si="89">IF(G84=0,"",G276*10^6/G84)</f>
        <v/>
      </c>
      <c r="H180" s="108" t="str">
        <f t="shared" si="89"/>
        <v/>
      </c>
      <c r="I180" s="108" t="str">
        <f t="shared" si="89"/>
        <v/>
      </c>
      <c r="J180" s="108" t="str">
        <f t="shared" si="89"/>
        <v/>
      </c>
      <c r="K180" s="108" t="str">
        <f t="shared" si="89"/>
        <v/>
      </c>
      <c r="L180" s="108" t="str">
        <f t="shared" si="89"/>
        <v/>
      </c>
      <c r="M180" s="108" t="str">
        <f t="shared" si="89"/>
        <v/>
      </c>
      <c r="N180" s="108" t="str">
        <f t="shared" si="89"/>
        <v/>
      </c>
      <c r="O180" s="108" t="str">
        <f t="shared" si="89"/>
        <v/>
      </c>
      <c r="Q180" s="621"/>
    </row>
    <row r="181" spans="2:17">
      <c r="B181" s="54" t="str">
        <f t="shared" si="79"/>
        <v>3.2T FR</v>
      </c>
      <c r="C181" s="55" t="str">
        <f t="shared" si="79"/>
        <v>2 km</v>
      </c>
      <c r="D181" s="56" t="str">
        <f t="shared" si="79"/>
        <v>OSFP-XD and TBD</v>
      </c>
      <c r="E181" s="108"/>
      <c r="F181" s="108"/>
      <c r="G181" s="108" t="str">
        <f t="shared" ref="G181:O181" si="90">IF(G85=0,"",G277*10^6/G85)</f>
        <v/>
      </c>
      <c r="H181" s="108" t="str">
        <f t="shared" si="90"/>
        <v/>
      </c>
      <c r="I181" s="108" t="str">
        <f t="shared" si="90"/>
        <v/>
      </c>
      <c r="J181" s="108" t="str">
        <f t="shared" si="90"/>
        <v/>
      </c>
      <c r="K181" s="108" t="str">
        <f t="shared" si="90"/>
        <v/>
      </c>
      <c r="L181" s="108" t="str">
        <f t="shared" si="90"/>
        <v/>
      </c>
      <c r="M181" s="108" t="str">
        <f t="shared" si="90"/>
        <v/>
      </c>
      <c r="N181" s="108" t="str">
        <f t="shared" si="90"/>
        <v/>
      </c>
      <c r="O181" s="108" t="str">
        <f t="shared" si="90"/>
        <v/>
      </c>
      <c r="Q181" s="621"/>
    </row>
    <row r="182" spans="2:17">
      <c r="B182" s="54" t="str">
        <f t="shared" si="79"/>
        <v>3.2T LR</v>
      </c>
      <c r="C182" s="55" t="str">
        <f t="shared" si="79"/>
        <v>10 km</v>
      </c>
      <c r="D182" s="56" t="str">
        <f t="shared" si="79"/>
        <v>OSFP-XD and TBD</v>
      </c>
      <c r="E182" s="108"/>
      <c r="F182" s="108"/>
      <c r="G182" s="108" t="str">
        <f t="shared" ref="G182:O182" si="91">IF(G86=0,"",G278*10^6/G86)</f>
        <v/>
      </c>
      <c r="H182" s="108" t="str">
        <f t="shared" si="91"/>
        <v/>
      </c>
      <c r="I182" s="108" t="str">
        <f t="shared" si="91"/>
        <v/>
      </c>
      <c r="J182" s="108" t="str">
        <f t="shared" si="91"/>
        <v/>
      </c>
      <c r="K182" s="108" t="str">
        <f t="shared" si="91"/>
        <v/>
      </c>
      <c r="L182" s="108" t="str">
        <f t="shared" si="91"/>
        <v/>
      </c>
      <c r="M182" s="108" t="str">
        <f t="shared" si="91"/>
        <v/>
      </c>
      <c r="N182" s="108" t="str">
        <f t="shared" si="91"/>
        <v/>
      </c>
      <c r="O182" s="108" t="str">
        <f t="shared" si="91"/>
        <v/>
      </c>
      <c r="Q182" s="621"/>
    </row>
    <row r="183" spans="2:17">
      <c r="B183" s="54" t="str">
        <f t="shared" si="79"/>
        <v>3.2T ER</v>
      </c>
      <c r="C183" s="55" t="str">
        <f t="shared" si="79"/>
        <v>&gt;10 km</v>
      </c>
      <c r="D183" s="56" t="str">
        <f t="shared" si="79"/>
        <v>OSFP-XD and TBD</v>
      </c>
      <c r="E183" s="108"/>
      <c r="F183" s="108"/>
      <c r="G183" s="108" t="str">
        <f t="shared" ref="G183:O183" si="92">IF(G87=0,"",G279*10^6/G87)</f>
        <v/>
      </c>
      <c r="H183" s="108" t="str">
        <f t="shared" si="92"/>
        <v/>
      </c>
      <c r="I183" s="108" t="str">
        <f t="shared" si="92"/>
        <v/>
      </c>
      <c r="J183" s="108" t="str">
        <f t="shared" si="92"/>
        <v/>
      </c>
      <c r="K183" s="108" t="str">
        <f t="shared" si="92"/>
        <v/>
      </c>
      <c r="L183" s="108" t="str">
        <f t="shared" si="92"/>
        <v/>
      </c>
      <c r="M183" s="108" t="str">
        <f t="shared" si="92"/>
        <v/>
      </c>
      <c r="N183" s="108" t="str">
        <f t="shared" si="92"/>
        <v/>
      </c>
      <c r="O183" s="108" t="str">
        <f t="shared" si="92"/>
        <v/>
      </c>
      <c r="Q183" s="621"/>
    </row>
    <row r="184" spans="2:17">
      <c r="B184" s="57"/>
      <c r="C184" s="58"/>
      <c r="D184" s="59"/>
      <c r="E184" s="442"/>
      <c r="F184" s="442"/>
      <c r="G184" s="108" t="str">
        <f t="shared" ref="G184:G195" si="93">IF(G88=0,"",G280*10^6/G88)</f>
        <v/>
      </c>
      <c r="H184" s="442"/>
      <c r="I184" s="442"/>
      <c r="J184" s="442"/>
      <c r="K184" s="442"/>
      <c r="L184" s="442"/>
      <c r="M184" s="442"/>
      <c r="N184" s="442"/>
      <c r="O184" s="442"/>
      <c r="Q184" s="621"/>
    </row>
    <row r="185" spans="2:17">
      <c r="B185" s="511" t="s">
        <v>20</v>
      </c>
      <c r="C185" s="512"/>
      <c r="D185" s="590"/>
      <c r="E185" s="110">
        <f t="shared" ref="E185:F190" si="94">IF(E89=0,"",E281*10^6/E89)</f>
        <v>73.767871576990061</v>
      </c>
      <c r="F185" s="110">
        <f t="shared" si="94"/>
        <v>83.41567206501368</v>
      </c>
      <c r="G185" s="110" t="str">
        <f t="shared" si="93"/>
        <v/>
      </c>
      <c r="H185" s="110" t="str">
        <f t="shared" ref="H185:O185" si="95">IF(H89=0,"",H281*10^6/H89)</f>
        <v/>
      </c>
      <c r="I185" s="110" t="str">
        <f t="shared" si="95"/>
        <v/>
      </c>
      <c r="J185" s="110" t="str">
        <f t="shared" si="95"/>
        <v/>
      </c>
      <c r="K185" s="110" t="str">
        <f t="shared" si="95"/>
        <v/>
      </c>
      <c r="L185" s="110" t="str">
        <f t="shared" si="95"/>
        <v/>
      </c>
      <c r="M185" s="110" t="str">
        <f t="shared" si="95"/>
        <v/>
      </c>
      <c r="N185" s="110" t="str">
        <f t="shared" si="95"/>
        <v/>
      </c>
      <c r="O185" s="110" t="str">
        <f t="shared" si="95"/>
        <v/>
      </c>
      <c r="Q185" s="621"/>
    </row>
    <row r="186" spans="2:17">
      <c r="B186" s="54" t="str">
        <f t="shared" ref="B186:D191" si="96">B90</f>
        <v>10G total</v>
      </c>
      <c r="C186" s="55" t="str">
        <f t="shared" si="96"/>
        <v>All</v>
      </c>
      <c r="D186" s="56" t="str">
        <f t="shared" si="96"/>
        <v>All</v>
      </c>
      <c r="E186" s="283">
        <f t="shared" si="94"/>
        <v>32.039077608346737</v>
      </c>
      <c r="F186" s="283">
        <f t="shared" si="94"/>
        <v>24.482448081862429</v>
      </c>
      <c r="G186" s="283" t="str">
        <f t="shared" si="93"/>
        <v/>
      </c>
      <c r="H186" s="283" t="str">
        <f t="shared" ref="H186:O186" si="97">IF(H90=0,"",H282*10^6/H90)</f>
        <v/>
      </c>
      <c r="I186" s="283" t="str">
        <f t="shared" si="97"/>
        <v/>
      </c>
      <c r="J186" s="283" t="str">
        <f t="shared" si="97"/>
        <v/>
      </c>
      <c r="K186" s="283" t="str">
        <f t="shared" si="97"/>
        <v/>
      </c>
      <c r="L186" s="108" t="str">
        <f t="shared" si="97"/>
        <v/>
      </c>
      <c r="M186" s="108" t="str">
        <f t="shared" si="97"/>
        <v/>
      </c>
      <c r="N186" s="108" t="str">
        <f t="shared" si="97"/>
        <v/>
      </c>
      <c r="O186" s="108" t="str">
        <f t="shared" si="97"/>
        <v/>
      </c>
      <c r="Q186" s="621"/>
    </row>
    <row r="187" spans="2:17">
      <c r="B187" s="54" t="str">
        <f t="shared" si="96"/>
        <v>25G total</v>
      </c>
      <c r="C187" s="55" t="str">
        <f t="shared" si="96"/>
        <v>All</v>
      </c>
      <c r="D187" s="56" t="str">
        <f t="shared" si="96"/>
        <v>All</v>
      </c>
      <c r="E187" s="283">
        <f t="shared" si="94"/>
        <v>291.79972635539593</v>
      </c>
      <c r="F187" s="283">
        <f t="shared" si="94"/>
        <v>169.30718458014624</v>
      </c>
      <c r="G187" s="283" t="str">
        <f t="shared" si="93"/>
        <v/>
      </c>
      <c r="H187" s="283" t="str">
        <f t="shared" ref="H187:O187" si="98">IF(H91=0,"",H283*10^6/H91)</f>
        <v/>
      </c>
      <c r="I187" s="283" t="str">
        <f t="shared" si="98"/>
        <v/>
      </c>
      <c r="J187" s="283" t="str">
        <f t="shared" si="98"/>
        <v/>
      </c>
      <c r="K187" s="283" t="str">
        <f t="shared" si="98"/>
        <v/>
      </c>
      <c r="L187" s="108" t="str">
        <f t="shared" si="98"/>
        <v/>
      </c>
      <c r="M187" s="108" t="str">
        <f t="shared" si="98"/>
        <v/>
      </c>
      <c r="N187" s="108" t="str">
        <f t="shared" si="98"/>
        <v/>
      </c>
      <c r="O187" s="108" t="str">
        <f t="shared" si="98"/>
        <v/>
      </c>
      <c r="Q187" s="621"/>
    </row>
    <row r="188" spans="2:17">
      <c r="B188" s="54" t="str">
        <f t="shared" si="96"/>
        <v>40G total</v>
      </c>
      <c r="C188" s="55" t="str">
        <f t="shared" si="96"/>
        <v>All</v>
      </c>
      <c r="D188" s="56" t="str">
        <f t="shared" si="96"/>
        <v>All</v>
      </c>
      <c r="E188" s="283">
        <f t="shared" si="94"/>
        <v>249.89406196509381</v>
      </c>
      <c r="F188" s="283">
        <f t="shared" si="94"/>
        <v>234.01658203651027</v>
      </c>
      <c r="G188" s="283" t="str">
        <f t="shared" si="93"/>
        <v/>
      </c>
      <c r="H188" s="283" t="str">
        <f t="shared" ref="H188:O188" si="99">IF(H92=0,"",H284*10^6/H92)</f>
        <v/>
      </c>
      <c r="I188" s="283" t="str">
        <f t="shared" si="99"/>
        <v/>
      </c>
      <c r="J188" s="283" t="str">
        <f t="shared" si="99"/>
        <v/>
      </c>
      <c r="K188" s="283" t="str">
        <f t="shared" si="99"/>
        <v/>
      </c>
      <c r="L188" s="108" t="str">
        <f t="shared" si="99"/>
        <v/>
      </c>
      <c r="M188" s="108" t="str">
        <f t="shared" si="99"/>
        <v/>
      </c>
      <c r="N188" s="108" t="str">
        <f t="shared" si="99"/>
        <v/>
      </c>
      <c r="O188" s="108" t="str">
        <f t="shared" si="99"/>
        <v/>
      </c>
      <c r="Q188" s="621"/>
    </row>
    <row r="189" spans="2:17">
      <c r="B189" s="54" t="str">
        <f t="shared" si="96"/>
        <v>50G total</v>
      </c>
      <c r="C189" s="55" t="str">
        <f t="shared" si="96"/>
        <v>All</v>
      </c>
      <c r="D189" s="56" t="str">
        <f t="shared" si="96"/>
        <v>All</v>
      </c>
      <c r="E189" s="283" t="str">
        <f t="shared" si="94"/>
        <v/>
      </c>
      <c r="F189" s="283" t="str">
        <f t="shared" si="94"/>
        <v/>
      </c>
      <c r="G189" s="283" t="str">
        <f t="shared" si="93"/>
        <v/>
      </c>
      <c r="H189" s="283" t="str">
        <f t="shared" ref="H189:O189" si="100">IF(H93=0,"",H285*10^6/H93)</f>
        <v/>
      </c>
      <c r="I189" s="283" t="str">
        <f t="shared" si="100"/>
        <v/>
      </c>
      <c r="J189" s="283" t="str">
        <f t="shared" si="100"/>
        <v/>
      </c>
      <c r="K189" s="283" t="str">
        <f t="shared" si="100"/>
        <v/>
      </c>
      <c r="L189" s="108" t="str">
        <f t="shared" si="100"/>
        <v/>
      </c>
      <c r="M189" s="108" t="str">
        <f t="shared" si="100"/>
        <v/>
      </c>
      <c r="N189" s="108" t="str">
        <f t="shared" si="100"/>
        <v/>
      </c>
      <c r="O189" s="108" t="str">
        <f t="shared" si="100"/>
        <v/>
      </c>
      <c r="Q189" s="621"/>
    </row>
    <row r="190" spans="2:17">
      <c r="B190" s="54" t="str">
        <f t="shared" si="96"/>
        <v>100G total</v>
      </c>
      <c r="C190" s="55" t="str">
        <f t="shared" si="96"/>
        <v>All</v>
      </c>
      <c r="D190" s="56" t="str">
        <f t="shared" si="96"/>
        <v>All</v>
      </c>
      <c r="E190" s="283">
        <f t="shared" si="94"/>
        <v>1243.4155600788019</v>
      </c>
      <c r="F190" s="283">
        <f t="shared" si="94"/>
        <v>573.99969875798752</v>
      </c>
      <c r="G190" s="283" t="str">
        <f t="shared" si="93"/>
        <v/>
      </c>
      <c r="H190" s="283" t="str">
        <f t="shared" ref="H190:O190" si="101">IF(H94=0,"",H286*10^6/H94)</f>
        <v/>
      </c>
      <c r="I190" s="283" t="str">
        <f t="shared" si="101"/>
        <v/>
      </c>
      <c r="J190" s="283" t="str">
        <f t="shared" si="101"/>
        <v/>
      </c>
      <c r="K190" s="283" t="str">
        <f t="shared" si="101"/>
        <v/>
      </c>
      <c r="L190" s="108" t="str">
        <f t="shared" si="101"/>
        <v/>
      </c>
      <c r="M190" s="108" t="str">
        <f t="shared" si="101"/>
        <v/>
      </c>
      <c r="N190" s="108" t="str">
        <f t="shared" si="101"/>
        <v/>
      </c>
      <c r="O190" s="108" t="str">
        <f t="shared" si="101"/>
        <v/>
      </c>
      <c r="Q190" s="621"/>
    </row>
    <row r="191" spans="2:17">
      <c r="B191" s="54" t="str">
        <f t="shared" si="96"/>
        <v>200G total</v>
      </c>
      <c r="C191" s="55" t="str">
        <f t="shared" si="96"/>
        <v>All</v>
      </c>
      <c r="D191" s="56" t="str">
        <f t="shared" si="96"/>
        <v>All</v>
      </c>
      <c r="E191" s="283" t="str">
        <f t="shared" ref="E191:F191" si="102">IF(E95=0,"",E287*10^6/E95)</f>
        <v/>
      </c>
      <c r="F191" s="283" t="str">
        <f t="shared" si="102"/>
        <v/>
      </c>
      <c r="G191" s="283" t="str">
        <f t="shared" si="93"/>
        <v/>
      </c>
      <c r="H191" s="283" t="str">
        <f t="shared" ref="H191:O191" si="103">IF(H95=0,"",H287*10^6/H95)</f>
        <v/>
      </c>
      <c r="I191" s="283" t="str">
        <f t="shared" si="103"/>
        <v/>
      </c>
      <c r="J191" s="283" t="str">
        <f t="shared" si="103"/>
        <v/>
      </c>
      <c r="K191" s="283" t="str">
        <f t="shared" si="103"/>
        <v/>
      </c>
      <c r="L191" s="108" t="str">
        <f t="shared" si="103"/>
        <v/>
      </c>
      <c r="M191" s="108" t="str">
        <f t="shared" si="103"/>
        <v/>
      </c>
      <c r="N191" s="108" t="str">
        <f t="shared" si="103"/>
        <v/>
      </c>
      <c r="O191" s="108" t="str">
        <f t="shared" si="103"/>
        <v/>
      </c>
      <c r="Q191" s="621"/>
    </row>
    <row r="192" spans="2:17">
      <c r="B192" s="54" t="str">
        <f t="shared" ref="B192:D193" si="104">B288</f>
        <v>400G total</v>
      </c>
      <c r="C192" s="55" t="str">
        <f t="shared" si="104"/>
        <v>All</v>
      </c>
      <c r="D192" s="56" t="str">
        <f t="shared" si="104"/>
        <v>All</v>
      </c>
      <c r="E192" s="283" t="str">
        <f t="shared" ref="E192:F195" si="105">IF(E96=0,"",E288*10^6/E96)</f>
        <v/>
      </c>
      <c r="F192" s="283">
        <f t="shared" si="105"/>
        <v>15149.438202247189</v>
      </c>
      <c r="G192" s="283" t="str">
        <f t="shared" si="93"/>
        <v/>
      </c>
      <c r="H192" s="283" t="str">
        <f t="shared" ref="H192:O192" si="106">IF(H96=0,"",H288*10^6/H96)</f>
        <v/>
      </c>
      <c r="I192" s="283" t="str">
        <f t="shared" si="106"/>
        <v/>
      </c>
      <c r="J192" s="283" t="str">
        <f t="shared" si="106"/>
        <v/>
      </c>
      <c r="K192" s="283" t="str">
        <f t="shared" si="106"/>
        <v/>
      </c>
      <c r="L192" s="108" t="str">
        <f t="shared" si="106"/>
        <v/>
      </c>
      <c r="M192" s="108" t="str">
        <f t="shared" si="106"/>
        <v/>
      </c>
      <c r="N192" s="108" t="str">
        <f t="shared" si="106"/>
        <v/>
      </c>
      <c r="O192" s="108" t="str">
        <f t="shared" si="106"/>
        <v/>
      </c>
      <c r="Q192" s="621"/>
    </row>
    <row r="193" spans="2:17">
      <c r="B193" s="54" t="str">
        <f t="shared" si="104"/>
        <v>800G total</v>
      </c>
      <c r="C193" s="55" t="str">
        <f t="shared" si="104"/>
        <v>All</v>
      </c>
      <c r="D193" s="56" t="str">
        <f t="shared" si="104"/>
        <v>All</v>
      </c>
      <c r="E193" s="283" t="str">
        <f t="shared" si="105"/>
        <v/>
      </c>
      <c r="F193" s="283" t="str">
        <f t="shared" si="105"/>
        <v/>
      </c>
      <c r="G193" s="283" t="str">
        <f t="shared" si="93"/>
        <v/>
      </c>
      <c r="H193" s="283" t="str">
        <f t="shared" ref="H193:O193" si="107">IF(H97=0,"",H289*10^6/H97)</f>
        <v/>
      </c>
      <c r="I193" s="283" t="str">
        <f t="shared" si="107"/>
        <v/>
      </c>
      <c r="J193" s="283" t="str">
        <f t="shared" si="107"/>
        <v/>
      </c>
      <c r="K193" s="283" t="str">
        <f t="shared" si="107"/>
        <v/>
      </c>
      <c r="L193" s="108" t="str">
        <f t="shared" si="107"/>
        <v/>
      </c>
      <c r="M193" s="108" t="str">
        <f t="shared" si="107"/>
        <v/>
      </c>
      <c r="N193" s="108" t="str">
        <f t="shared" si="107"/>
        <v/>
      </c>
      <c r="O193" s="108" t="str">
        <f t="shared" si="107"/>
        <v/>
      </c>
      <c r="Q193" s="621"/>
    </row>
    <row r="194" spans="2:17">
      <c r="B194" s="54" t="str">
        <f t="shared" ref="B194:D194" si="108">B290</f>
        <v>1.6T total</v>
      </c>
      <c r="C194" s="55" t="str">
        <f t="shared" si="108"/>
        <v>All</v>
      </c>
      <c r="D194" s="56" t="str">
        <f t="shared" si="108"/>
        <v>All</v>
      </c>
      <c r="E194" s="283" t="str">
        <f t="shared" si="105"/>
        <v/>
      </c>
      <c r="F194" s="283" t="str">
        <f t="shared" si="105"/>
        <v/>
      </c>
      <c r="G194" s="283" t="str">
        <f t="shared" si="93"/>
        <v/>
      </c>
      <c r="H194" s="283" t="str">
        <f t="shared" ref="H194:O194" si="109">IF(H98=0,"",H290*10^6/H98)</f>
        <v/>
      </c>
      <c r="I194" s="283" t="str">
        <f t="shared" si="109"/>
        <v/>
      </c>
      <c r="J194" s="283" t="str">
        <f t="shared" si="109"/>
        <v/>
      </c>
      <c r="K194" s="283" t="str">
        <f t="shared" si="109"/>
        <v/>
      </c>
      <c r="L194" s="108" t="str">
        <f t="shared" si="109"/>
        <v/>
      </c>
      <c r="M194" s="108" t="str">
        <f t="shared" si="109"/>
        <v/>
      </c>
      <c r="N194" s="108" t="str">
        <f t="shared" si="109"/>
        <v/>
      </c>
      <c r="O194" s="108" t="str">
        <f t="shared" si="109"/>
        <v/>
      </c>
      <c r="Q194" s="621"/>
    </row>
    <row r="195" spans="2:17">
      <c r="B195" s="57" t="str">
        <f t="shared" ref="B195:D195" si="110">B291</f>
        <v>3.2T total</v>
      </c>
      <c r="C195" s="58" t="str">
        <f t="shared" si="110"/>
        <v>All</v>
      </c>
      <c r="D195" s="59" t="str">
        <f t="shared" si="110"/>
        <v>All</v>
      </c>
      <c r="E195" s="399" t="str">
        <f t="shared" si="105"/>
        <v/>
      </c>
      <c r="F195" s="399" t="str">
        <f t="shared" si="105"/>
        <v/>
      </c>
      <c r="G195" s="399" t="str">
        <f t="shared" si="93"/>
        <v/>
      </c>
      <c r="H195" s="399" t="str">
        <f t="shared" ref="H195:O195" si="111">IF(H99=0,"",H291*10^6/H99)</f>
        <v/>
      </c>
      <c r="I195" s="399" t="str">
        <f t="shared" si="111"/>
        <v/>
      </c>
      <c r="J195" s="399" t="str">
        <f t="shared" si="111"/>
        <v/>
      </c>
      <c r="K195" s="399" t="str">
        <f t="shared" si="111"/>
        <v/>
      </c>
      <c r="L195" s="442" t="str">
        <f t="shared" si="111"/>
        <v/>
      </c>
      <c r="M195" s="442" t="str">
        <f t="shared" si="111"/>
        <v/>
      </c>
      <c r="N195" s="442" t="str">
        <f t="shared" si="111"/>
        <v/>
      </c>
      <c r="O195" s="442" t="str">
        <f t="shared" si="111"/>
        <v/>
      </c>
      <c r="Q195" s="621"/>
    </row>
    <row r="196" spans="2:17">
      <c r="Q196" s="621"/>
    </row>
    <row r="197" spans="2:17">
      <c r="E197" s="443"/>
      <c r="F197" s="443"/>
      <c r="G197" s="443"/>
      <c r="H197" s="443"/>
      <c r="I197" s="443"/>
      <c r="J197" s="443"/>
      <c r="K197" s="443"/>
      <c r="L197" s="443"/>
      <c r="M197" s="443"/>
      <c r="N197" s="443"/>
      <c r="O197" s="443"/>
      <c r="Q197" s="621"/>
    </row>
    <row r="198" spans="2:17">
      <c r="Q198" s="621"/>
    </row>
    <row r="199" spans="2:17" ht="21">
      <c r="B199" s="513" t="s">
        <v>15</v>
      </c>
      <c r="C199" s="506"/>
      <c r="D199" s="506"/>
      <c r="Q199" s="621"/>
    </row>
    <row r="200" spans="2:17">
      <c r="B200" s="85" t="str">
        <f>B6</f>
        <v>Data Rate</v>
      </c>
      <c r="C200" s="85" t="str">
        <f>C6</f>
        <v>Reach</v>
      </c>
      <c r="D200" s="85" t="str">
        <f>D6</f>
        <v>Form Factor</v>
      </c>
      <c r="E200" s="86">
        <v>2016</v>
      </c>
      <c r="F200" s="86">
        <v>2017</v>
      </c>
      <c r="G200" s="86">
        <v>2018</v>
      </c>
      <c r="H200" s="86">
        <v>2019</v>
      </c>
      <c r="I200" s="86">
        <v>2020</v>
      </c>
      <c r="J200" s="86">
        <v>2021</v>
      </c>
      <c r="K200" s="86">
        <v>2022</v>
      </c>
      <c r="L200" s="86">
        <v>2023</v>
      </c>
      <c r="M200" s="86">
        <v>2024</v>
      </c>
      <c r="N200" s="86">
        <v>2025</v>
      </c>
      <c r="O200" s="86">
        <v>2026</v>
      </c>
      <c r="Q200" s="621"/>
    </row>
    <row r="201" spans="2:17">
      <c r="B201" s="234" t="str">
        <f t="shared" ref="B201:D230" si="112">B9</f>
        <v>1G</v>
      </c>
      <c r="C201" s="235" t="str">
        <f t="shared" si="112"/>
        <v>500 m</v>
      </c>
      <c r="D201" s="236" t="str">
        <f t="shared" si="112"/>
        <v>SFP</v>
      </c>
      <c r="E201" s="193">
        <v>45.763121065</v>
      </c>
      <c r="F201" s="193">
        <v>38.398107000000003</v>
      </c>
      <c r="G201" s="193"/>
      <c r="H201" s="193"/>
      <c r="I201" s="193"/>
      <c r="J201" s="193"/>
      <c r="K201" s="193"/>
      <c r="L201" s="193"/>
      <c r="M201" s="193"/>
      <c r="N201" s="193"/>
      <c r="O201" s="193"/>
      <c r="Q201" s="621"/>
    </row>
    <row r="202" spans="2:17">
      <c r="B202" s="237" t="str">
        <f t="shared" si="112"/>
        <v>1G</v>
      </c>
      <c r="C202" s="238" t="str">
        <f t="shared" si="112"/>
        <v>10 km</v>
      </c>
      <c r="D202" s="239" t="str">
        <f t="shared" si="112"/>
        <v>SFP</v>
      </c>
      <c r="E202" s="193">
        <v>94.956878455999998</v>
      </c>
      <c r="F202" s="193">
        <v>62.377160200233909</v>
      </c>
      <c r="G202" s="193"/>
      <c r="H202" s="193"/>
      <c r="I202" s="193"/>
      <c r="J202" s="193"/>
      <c r="K202" s="193"/>
      <c r="L202" s="193"/>
      <c r="M202" s="193"/>
      <c r="N202" s="193"/>
      <c r="O202" s="193"/>
      <c r="Q202" s="621"/>
    </row>
    <row r="203" spans="2:17">
      <c r="B203" s="237" t="str">
        <f t="shared" si="112"/>
        <v>1G</v>
      </c>
      <c r="C203" s="238" t="str">
        <f t="shared" si="112"/>
        <v>40 km</v>
      </c>
      <c r="D203" s="239" t="str">
        <f t="shared" si="112"/>
        <v>SFP</v>
      </c>
      <c r="E203" s="193">
        <v>8.0014830827197496</v>
      </c>
      <c r="F203" s="193">
        <v>5.3816953356267128</v>
      </c>
      <c r="G203" s="193"/>
      <c r="H203" s="193"/>
      <c r="I203" s="193"/>
      <c r="J203" s="193"/>
      <c r="K203" s="193"/>
      <c r="L203" s="193"/>
      <c r="M203" s="193"/>
      <c r="N203" s="193"/>
      <c r="O203" s="193"/>
      <c r="Q203" s="621"/>
    </row>
    <row r="204" spans="2:17">
      <c r="B204" s="237" t="str">
        <f t="shared" si="112"/>
        <v>1G</v>
      </c>
      <c r="C204" s="238" t="str">
        <f t="shared" si="112"/>
        <v>80 km</v>
      </c>
      <c r="D204" s="239" t="str">
        <f t="shared" si="112"/>
        <v>SFP</v>
      </c>
      <c r="E204" s="193">
        <v>5.4436485260342007</v>
      </c>
      <c r="F204" s="193">
        <v>4.4704450954117947</v>
      </c>
      <c r="G204" s="193"/>
      <c r="H204" s="193"/>
      <c r="I204" s="193"/>
      <c r="J204" s="193"/>
      <c r="K204" s="193"/>
      <c r="L204" s="193"/>
      <c r="M204" s="193"/>
      <c r="N204" s="193"/>
      <c r="O204" s="193"/>
      <c r="Q204" s="621"/>
    </row>
    <row r="205" spans="2:17">
      <c r="B205" s="240" t="str">
        <f t="shared" si="112"/>
        <v>G &amp; Fast Ethernet</v>
      </c>
      <c r="C205" s="241" t="str">
        <f t="shared" si="112"/>
        <v>Various</v>
      </c>
      <c r="D205" s="242" t="str">
        <f t="shared" si="112"/>
        <v>Legacy/discontinued</v>
      </c>
      <c r="E205" s="444">
        <v>3.6</v>
      </c>
      <c r="F205" s="444"/>
      <c r="G205" s="444"/>
      <c r="H205" s="444"/>
      <c r="I205" s="444"/>
      <c r="J205" s="444"/>
      <c r="K205" s="444"/>
      <c r="L205" s="444"/>
      <c r="M205" s="444"/>
      <c r="N205" s="444"/>
      <c r="O205" s="444"/>
      <c r="Q205" s="621"/>
    </row>
    <row r="206" spans="2:17">
      <c r="B206" s="237" t="str">
        <f t="shared" si="112"/>
        <v>10G</v>
      </c>
      <c r="C206" s="238" t="str">
        <f t="shared" si="112"/>
        <v>300 m</v>
      </c>
      <c r="D206" s="239" t="str">
        <f t="shared" si="112"/>
        <v>XFP</v>
      </c>
      <c r="E206" s="193">
        <v>7.6676450000000003</v>
      </c>
      <c r="F206" s="193">
        <v>4.9103659999999998</v>
      </c>
      <c r="G206" s="193"/>
      <c r="H206" s="193"/>
      <c r="I206" s="193"/>
      <c r="J206" s="193"/>
      <c r="K206" s="193"/>
      <c r="L206" s="193"/>
      <c r="M206" s="193"/>
      <c r="N206" s="193"/>
      <c r="O206" s="193"/>
      <c r="Q206" s="621"/>
    </row>
    <row r="207" spans="2:17">
      <c r="B207" s="237" t="str">
        <f t="shared" si="112"/>
        <v>10G</v>
      </c>
      <c r="C207" s="238" t="str">
        <f t="shared" si="112"/>
        <v>300 m</v>
      </c>
      <c r="D207" s="239" t="str">
        <f t="shared" si="112"/>
        <v>SFP+</v>
      </c>
      <c r="E207" s="193">
        <v>202.35770202004551</v>
      </c>
      <c r="F207" s="193">
        <v>188.72114215935508</v>
      </c>
      <c r="G207" s="193"/>
      <c r="H207" s="193"/>
      <c r="I207" s="193"/>
      <c r="J207" s="193"/>
      <c r="K207" s="193"/>
      <c r="L207" s="193"/>
      <c r="M207" s="193"/>
      <c r="N207" s="193"/>
      <c r="O207" s="193"/>
      <c r="Q207" s="621"/>
    </row>
    <row r="208" spans="2:17">
      <c r="B208" s="237" t="str">
        <f t="shared" si="112"/>
        <v>10G LRM</v>
      </c>
      <c r="C208" s="238" t="str">
        <f t="shared" si="112"/>
        <v>220 m</v>
      </c>
      <c r="D208" s="239" t="str">
        <f t="shared" si="112"/>
        <v>SFP+</v>
      </c>
      <c r="E208" s="193">
        <v>9.5352954367439988</v>
      </c>
      <c r="F208" s="193">
        <v>7.2161380000000008</v>
      </c>
      <c r="G208" s="193"/>
      <c r="H208" s="193"/>
      <c r="I208" s="193"/>
      <c r="J208" s="193"/>
      <c r="K208" s="193"/>
      <c r="L208" s="193"/>
      <c r="M208" s="193"/>
      <c r="N208" s="193"/>
      <c r="O208" s="193"/>
      <c r="Q208" s="621"/>
    </row>
    <row r="209" spans="2:17">
      <c r="B209" s="237" t="str">
        <f t="shared" si="112"/>
        <v>10G</v>
      </c>
      <c r="C209" s="238" t="str">
        <f t="shared" si="112"/>
        <v>10 km</v>
      </c>
      <c r="D209" s="239" t="str">
        <f t="shared" si="112"/>
        <v>XFP</v>
      </c>
      <c r="E209" s="193">
        <v>8.2627039704398832</v>
      </c>
      <c r="F209" s="193">
        <v>3.3792872222713641</v>
      </c>
      <c r="G209" s="193"/>
      <c r="H209" s="193"/>
      <c r="I209" s="193"/>
      <c r="J209" s="193"/>
      <c r="K209" s="193"/>
      <c r="L209" s="193"/>
      <c r="M209" s="193"/>
      <c r="N209" s="193"/>
      <c r="O209" s="193"/>
      <c r="Q209" s="621"/>
    </row>
    <row r="210" spans="2:17">
      <c r="B210" s="237" t="str">
        <f t="shared" si="112"/>
        <v>10G</v>
      </c>
      <c r="C210" s="238" t="str">
        <f t="shared" si="112"/>
        <v>10 km</v>
      </c>
      <c r="D210" s="239" t="str">
        <f t="shared" si="112"/>
        <v>SFP+</v>
      </c>
      <c r="E210" s="193">
        <v>246.18213319313497</v>
      </c>
      <c r="F210" s="193">
        <v>205.875</v>
      </c>
      <c r="G210" s="193"/>
      <c r="H210" s="193"/>
      <c r="I210" s="193"/>
      <c r="J210" s="193"/>
      <c r="K210" s="193"/>
      <c r="L210" s="193"/>
      <c r="M210" s="193"/>
      <c r="N210" s="193"/>
      <c r="O210" s="193"/>
      <c r="Q210" s="621"/>
    </row>
    <row r="211" spans="2:17">
      <c r="B211" s="237" t="str">
        <f t="shared" si="112"/>
        <v>10G</v>
      </c>
      <c r="C211" s="238" t="str">
        <f t="shared" si="112"/>
        <v>40 km</v>
      </c>
      <c r="D211" s="239" t="str">
        <f t="shared" si="112"/>
        <v>XFP</v>
      </c>
      <c r="E211" s="193">
        <v>30.978895627515001</v>
      </c>
      <c r="F211" s="193">
        <v>14.956408213872029</v>
      </c>
      <c r="G211" s="193"/>
      <c r="H211" s="193"/>
      <c r="I211" s="193"/>
      <c r="J211" s="193"/>
      <c r="K211" s="193"/>
      <c r="L211" s="193"/>
      <c r="M211" s="193"/>
      <c r="N211" s="193"/>
      <c r="O211" s="193"/>
      <c r="Q211" s="621"/>
    </row>
    <row r="212" spans="2:17">
      <c r="B212" s="237" t="str">
        <f t="shared" si="112"/>
        <v>10G</v>
      </c>
      <c r="C212" s="238" t="str">
        <f t="shared" si="112"/>
        <v>40 km</v>
      </c>
      <c r="D212" s="239" t="str">
        <f t="shared" si="112"/>
        <v>SFP+</v>
      </c>
      <c r="E212" s="193">
        <v>49.314255569719556</v>
      </c>
      <c r="F212" s="193">
        <v>40.24149581356366</v>
      </c>
      <c r="G212" s="193"/>
      <c r="H212" s="193"/>
      <c r="I212" s="193"/>
      <c r="J212" s="193"/>
      <c r="K212" s="193"/>
      <c r="L212" s="193"/>
      <c r="M212" s="193"/>
      <c r="N212" s="193"/>
      <c r="O212" s="193"/>
      <c r="Q212" s="621"/>
    </row>
    <row r="213" spans="2:17">
      <c r="B213" s="237" t="str">
        <f t="shared" si="112"/>
        <v>10G</v>
      </c>
      <c r="C213" s="238" t="str">
        <f t="shared" si="112"/>
        <v>80 km</v>
      </c>
      <c r="D213" s="239" t="str">
        <f t="shared" si="112"/>
        <v>XFP</v>
      </c>
      <c r="E213" s="193">
        <v>18.705963697892301</v>
      </c>
      <c r="F213" s="193">
        <v>2.6384714875083346</v>
      </c>
      <c r="G213" s="193"/>
      <c r="H213" s="193"/>
      <c r="I213" s="193"/>
      <c r="J213" s="193"/>
      <c r="K213" s="193"/>
      <c r="L213" s="193"/>
      <c r="M213" s="193"/>
      <c r="N213" s="193"/>
      <c r="O213" s="193"/>
      <c r="Q213" s="621"/>
    </row>
    <row r="214" spans="2:17">
      <c r="B214" s="237" t="str">
        <f t="shared" si="112"/>
        <v>10G</v>
      </c>
      <c r="C214" s="238" t="str">
        <f t="shared" si="112"/>
        <v>80 km</v>
      </c>
      <c r="D214" s="239" t="str">
        <f t="shared" si="112"/>
        <v>SFP+</v>
      </c>
      <c r="E214" s="193">
        <v>15.89513332813862</v>
      </c>
      <c r="F214" s="193">
        <v>18.666526637661988</v>
      </c>
      <c r="G214" s="193"/>
      <c r="H214" s="193"/>
      <c r="I214" s="193"/>
      <c r="J214" s="193"/>
      <c r="K214" s="193"/>
      <c r="L214" s="193"/>
      <c r="M214" s="193"/>
      <c r="N214" s="193"/>
      <c r="O214" s="193"/>
      <c r="Q214" s="621"/>
    </row>
    <row r="215" spans="2:17">
      <c r="B215" s="240" t="str">
        <f t="shared" si="112"/>
        <v>10G</v>
      </c>
      <c r="C215" s="241" t="str">
        <f t="shared" si="112"/>
        <v>Various</v>
      </c>
      <c r="D215" s="242" t="str">
        <f t="shared" si="112"/>
        <v>Legacy/discontinued</v>
      </c>
      <c r="E215" s="444">
        <v>6.4463090300000001</v>
      </c>
      <c r="F215" s="444">
        <v>2.2937660000000006</v>
      </c>
      <c r="G215" s="444"/>
      <c r="H215" s="444"/>
      <c r="I215" s="444"/>
      <c r="J215" s="444"/>
      <c r="K215" s="444"/>
      <c r="L215" s="444"/>
      <c r="M215" s="444"/>
      <c r="N215" s="444"/>
      <c r="O215" s="444"/>
      <c r="Q215" s="621"/>
    </row>
    <row r="216" spans="2:17">
      <c r="B216" s="234" t="str">
        <f t="shared" si="112"/>
        <v>25G SR, eSR</v>
      </c>
      <c r="C216" s="235" t="str">
        <f t="shared" si="112"/>
        <v>100 - 300 m</v>
      </c>
      <c r="D216" s="236" t="str">
        <f t="shared" si="112"/>
        <v>SFP28</v>
      </c>
      <c r="E216" s="445">
        <v>1.3373250000000001</v>
      </c>
      <c r="F216" s="445">
        <v>13.527578999999998</v>
      </c>
      <c r="G216" s="445"/>
      <c r="H216" s="445"/>
      <c r="I216" s="445"/>
      <c r="J216" s="445"/>
      <c r="K216" s="445"/>
      <c r="L216" s="445"/>
      <c r="M216" s="445"/>
      <c r="N216" s="445"/>
      <c r="O216" s="445"/>
      <c r="Q216" s="621"/>
    </row>
    <row r="217" spans="2:17">
      <c r="B217" s="237" t="str">
        <f t="shared" si="112"/>
        <v>25G LR</v>
      </c>
      <c r="C217" s="238" t="str">
        <f t="shared" si="112"/>
        <v>10 km</v>
      </c>
      <c r="D217" s="239" t="str">
        <f t="shared" si="112"/>
        <v>SFP28</v>
      </c>
      <c r="E217" s="193">
        <v>2.0749810000000002</v>
      </c>
      <c r="F217" s="193">
        <v>5.6594963069142326</v>
      </c>
      <c r="G217" s="193"/>
      <c r="H217" s="193"/>
      <c r="I217" s="193"/>
      <c r="J217" s="193"/>
      <c r="K217" s="193"/>
      <c r="L217" s="193"/>
      <c r="M217" s="193"/>
      <c r="N217" s="193"/>
      <c r="O217" s="193"/>
      <c r="Q217" s="621"/>
    </row>
    <row r="218" spans="2:17">
      <c r="B218" s="237" t="str">
        <f t="shared" si="112"/>
        <v>25G ER</v>
      </c>
      <c r="C218" s="238" t="str">
        <f t="shared" si="112"/>
        <v>40 km</v>
      </c>
      <c r="D218" s="239" t="str">
        <f t="shared" si="112"/>
        <v>SFP28</v>
      </c>
      <c r="E218" s="193">
        <v>0</v>
      </c>
      <c r="F218" s="193">
        <v>0</v>
      </c>
      <c r="G218" s="710"/>
      <c r="H218" s="193"/>
      <c r="I218" s="193"/>
      <c r="J218" s="193"/>
      <c r="K218" s="193"/>
      <c r="L218" s="193"/>
      <c r="M218" s="193"/>
      <c r="N218" s="193"/>
      <c r="O218" s="193"/>
      <c r="Q218" s="621"/>
    </row>
    <row r="219" spans="2:17">
      <c r="B219" s="234" t="str">
        <f t="shared" si="112"/>
        <v>40G SR4</v>
      </c>
      <c r="C219" s="235" t="str">
        <f t="shared" si="112"/>
        <v>100 m</v>
      </c>
      <c r="D219" s="236" t="str">
        <f t="shared" si="112"/>
        <v>QSFP+</v>
      </c>
      <c r="E219" s="445">
        <v>61.814562208888887</v>
      </c>
      <c r="F219" s="445">
        <v>63.806447873340716</v>
      </c>
      <c r="G219" s="445"/>
      <c r="H219" s="445"/>
      <c r="I219" s="445"/>
      <c r="J219" s="445"/>
      <c r="K219" s="445"/>
      <c r="L219" s="445"/>
      <c r="M219" s="445"/>
      <c r="N219" s="445"/>
      <c r="O219" s="445"/>
      <c r="Q219" s="621"/>
    </row>
    <row r="220" spans="2:17">
      <c r="B220" s="237" t="str">
        <f t="shared" si="112"/>
        <v>40G MM duplex</v>
      </c>
      <c r="C220" s="238" t="str">
        <f t="shared" si="112"/>
        <v>100 m</v>
      </c>
      <c r="D220" s="239" t="str">
        <f t="shared" si="112"/>
        <v>QSFP+</v>
      </c>
      <c r="E220" s="193">
        <v>153.5735</v>
      </c>
      <c r="F220" s="193">
        <v>180.12456</v>
      </c>
      <c r="G220" s="193"/>
      <c r="H220" s="193"/>
      <c r="I220" s="193"/>
      <c r="J220" s="193"/>
      <c r="K220" s="193"/>
      <c r="L220" s="193"/>
      <c r="M220" s="193"/>
      <c r="N220" s="193"/>
      <c r="O220" s="193"/>
      <c r="Q220" s="621"/>
    </row>
    <row r="221" spans="2:17">
      <c r="B221" s="237" t="str">
        <f t="shared" si="112"/>
        <v>40G eSR4</v>
      </c>
      <c r="C221" s="238" t="str">
        <f t="shared" si="112"/>
        <v>300 m</v>
      </c>
      <c r="D221" s="239" t="str">
        <f t="shared" si="112"/>
        <v>QSFP+</v>
      </c>
      <c r="E221" s="193">
        <v>29.361883310000003</v>
      </c>
      <c r="F221" s="193">
        <v>37.789000000000001</v>
      </c>
      <c r="G221" s="193"/>
      <c r="H221" s="193"/>
      <c r="I221" s="193"/>
      <c r="J221" s="193"/>
      <c r="K221" s="193"/>
      <c r="L221" s="193"/>
      <c r="M221" s="193"/>
      <c r="N221" s="193"/>
      <c r="O221" s="193"/>
      <c r="Q221" s="621"/>
    </row>
    <row r="222" spans="2:17">
      <c r="B222" s="237" t="str">
        <f t="shared" si="112"/>
        <v xml:space="preserve">40G PSM4 </v>
      </c>
      <c r="C222" s="238" t="str">
        <f t="shared" si="112"/>
        <v>500 m</v>
      </c>
      <c r="D222" s="239" t="str">
        <f t="shared" si="112"/>
        <v>QSFP+</v>
      </c>
      <c r="E222" s="193">
        <v>206.04404776999999</v>
      </c>
      <c r="F222" s="193">
        <v>161.25879399999999</v>
      </c>
      <c r="G222" s="193"/>
      <c r="H222" s="193"/>
      <c r="I222" s="193"/>
      <c r="J222" s="193"/>
      <c r="K222" s="193"/>
      <c r="L222" s="193"/>
      <c r="M222" s="193"/>
      <c r="N222" s="193"/>
      <c r="O222" s="193"/>
      <c r="Q222" s="621"/>
    </row>
    <row r="223" spans="2:17">
      <c r="B223" s="237" t="str">
        <f t="shared" si="112"/>
        <v>40G (FR)</v>
      </c>
      <c r="C223" s="238" t="str">
        <f t="shared" si="112"/>
        <v>2 km</v>
      </c>
      <c r="D223" s="239" t="str">
        <f t="shared" si="112"/>
        <v>CFP</v>
      </c>
      <c r="E223" s="193">
        <v>3.6147868986222087</v>
      </c>
      <c r="F223" s="193">
        <v>2.1111758458730683</v>
      </c>
      <c r="G223" s="193"/>
      <c r="H223" s="193"/>
      <c r="I223" s="193"/>
      <c r="J223" s="193"/>
      <c r="K223" s="193"/>
      <c r="L223" s="193"/>
      <c r="M223" s="193"/>
      <c r="N223" s="193"/>
      <c r="O223" s="193"/>
      <c r="Q223" s="621"/>
    </row>
    <row r="224" spans="2:17">
      <c r="B224" s="237" t="str">
        <f t="shared" si="112"/>
        <v>40G (LR4 subspec)</v>
      </c>
      <c r="C224" s="238" t="str">
        <f t="shared" si="112"/>
        <v>2 km</v>
      </c>
      <c r="D224" s="239" t="str">
        <f t="shared" si="112"/>
        <v>QSFP+</v>
      </c>
      <c r="E224" s="193">
        <v>177.55117799999999</v>
      </c>
      <c r="F224" s="193">
        <v>277.09314268000003</v>
      </c>
      <c r="G224" s="193"/>
      <c r="H224" s="193"/>
      <c r="I224" s="193"/>
      <c r="J224" s="193"/>
      <c r="K224" s="193"/>
      <c r="L224" s="193"/>
      <c r="M224" s="193"/>
      <c r="N224" s="193"/>
      <c r="O224" s="193"/>
      <c r="Q224" s="621"/>
    </row>
    <row r="225" spans="2:17">
      <c r="B225" s="237" t="str">
        <f t="shared" si="112"/>
        <v>40G</v>
      </c>
      <c r="C225" s="238" t="str">
        <f t="shared" si="112"/>
        <v>10 km</v>
      </c>
      <c r="D225" s="239" t="str">
        <f t="shared" si="112"/>
        <v>CFP</v>
      </c>
      <c r="E225" s="193">
        <v>7.8193956068084791</v>
      </c>
      <c r="F225" s="193">
        <v>3.8446607087985556</v>
      </c>
      <c r="G225" s="193"/>
      <c r="H225" s="193"/>
      <c r="I225" s="193"/>
      <c r="J225" s="193"/>
      <c r="K225" s="193"/>
      <c r="L225" s="193"/>
      <c r="M225" s="193"/>
      <c r="N225" s="193"/>
      <c r="O225" s="193"/>
      <c r="Q225" s="621"/>
    </row>
    <row r="226" spans="2:17">
      <c r="B226" s="237" t="str">
        <f t="shared" si="112"/>
        <v>40G</v>
      </c>
      <c r="C226" s="238" t="str">
        <f t="shared" si="112"/>
        <v>10 km</v>
      </c>
      <c r="D226" s="239" t="str">
        <f t="shared" si="112"/>
        <v>QSFP+</v>
      </c>
      <c r="E226" s="193">
        <v>139.9656742823521</v>
      </c>
      <c r="F226" s="193">
        <v>170.32318072539266</v>
      </c>
      <c r="G226" s="193"/>
      <c r="H226" s="193"/>
      <c r="I226" s="193"/>
      <c r="J226" s="193"/>
      <c r="K226" s="193"/>
      <c r="L226" s="193"/>
      <c r="M226" s="193"/>
      <c r="N226" s="193"/>
      <c r="O226" s="193"/>
      <c r="Q226" s="621"/>
    </row>
    <row r="227" spans="2:17">
      <c r="B227" s="240" t="str">
        <f t="shared" si="112"/>
        <v>40G</v>
      </c>
      <c r="C227" s="241" t="str">
        <f t="shared" si="112"/>
        <v>40 km</v>
      </c>
      <c r="D227" s="242" t="str">
        <f t="shared" si="112"/>
        <v>QSFP+</v>
      </c>
      <c r="E227" s="444">
        <v>8.1879420954829136</v>
      </c>
      <c r="F227" s="444">
        <v>7.9265538087967364</v>
      </c>
      <c r="G227" s="444"/>
      <c r="H227" s="444"/>
      <c r="I227" s="444"/>
      <c r="J227" s="444"/>
      <c r="K227" s="444"/>
      <c r="L227" s="444"/>
      <c r="M227" s="444"/>
      <c r="N227" s="444"/>
      <c r="O227" s="444"/>
      <c r="Q227" s="621"/>
    </row>
    <row r="228" spans="2:17">
      <c r="B228" s="234" t="str">
        <f t="shared" si="112"/>
        <v xml:space="preserve">50G </v>
      </c>
      <c r="C228" s="235" t="str">
        <f t="shared" si="112"/>
        <v>100 m</v>
      </c>
      <c r="D228" s="236" t="str">
        <f t="shared" si="112"/>
        <v>all</v>
      </c>
      <c r="E228" s="445">
        <v>0</v>
      </c>
      <c r="F228" s="445">
        <v>0</v>
      </c>
      <c r="G228" s="445"/>
      <c r="H228" s="445"/>
      <c r="I228" s="445"/>
      <c r="J228" s="445"/>
      <c r="K228" s="445"/>
      <c r="L228" s="445"/>
      <c r="M228" s="445"/>
      <c r="N228" s="445"/>
      <c r="O228" s="445"/>
      <c r="Q228" s="621"/>
    </row>
    <row r="229" spans="2:17">
      <c r="B229" s="237" t="str">
        <f t="shared" si="112"/>
        <v xml:space="preserve">50G </v>
      </c>
      <c r="C229" s="238" t="str">
        <f t="shared" si="112"/>
        <v>2 km</v>
      </c>
      <c r="D229" s="239" t="str">
        <f t="shared" si="112"/>
        <v>all</v>
      </c>
      <c r="E229" s="193">
        <v>0</v>
      </c>
      <c r="F229" s="193">
        <v>0</v>
      </c>
      <c r="G229" s="193"/>
      <c r="H229" s="193"/>
      <c r="I229" s="193"/>
      <c r="J229" s="193"/>
      <c r="K229" s="193"/>
      <c r="L229" s="193"/>
      <c r="M229" s="193"/>
      <c r="N229" s="193"/>
      <c r="O229" s="193"/>
      <c r="Q229" s="621"/>
    </row>
    <row r="230" spans="2:17">
      <c r="B230" s="237" t="str">
        <f t="shared" si="112"/>
        <v xml:space="preserve">50G </v>
      </c>
      <c r="C230" s="238" t="str">
        <f t="shared" si="112"/>
        <v>10 km</v>
      </c>
      <c r="D230" s="239" t="str">
        <f t="shared" si="112"/>
        <v>all</v>
      </c>
      <c r="E230" s="193">
        <v>0</v>
      </c>
      <c r="F230" s="193">
        <v>0</v>
      </c>
      <c r="G230" s="193"/>
      <c r="H230" s="193"/>
      <c r="I230" s="193"/>
      <c r="J230" s="193"/>
      <c r="K230" s="193"/>
      <c r="L230" s="193"/>
      <c r="M230" s="193"/>
      <c r="N230" s="193"/>
      <c r="O230" s="193"/>
      <c r="Q230" s="621"/>
    </row>
    <row r="231" spans="2:17">
      <c r="B231" s="237" t="str">
        <f t="shared" ref="B231:D231" si="113">B39</f>
        <v xml:space="preserve">50G </v>
      </c>
      <c r="C231" s="238" t="str">
        <f t="shared" si="113"/>
        <v>40 km</v>
      </c>
      <c r="D231" s="239" t="str">
        <f t="shared" si="113"/>
        <v>all</v>
      </c>
      <c r="E231" s="193"/>
      <c r="F231" s="193"/>
      <c r="G231" s="193"/>
      <c r="H231" s="108"/>
      <c r="I231" s="108"/>
      <c r="J231" s="108"/>
      <c r="K231" s="108"/>
      <c r="L231" s="108"/>
      <c r="M231" s="108"/>
      <c r="N231" s="108"/>
      <c r="O231" s="108"/>
      <c r="Q231" s="621"/>
    </row>
    <row r="232" spans="2:17">
      <c r="B232" s="237" t="str">
        <f t="shared" ref="B232:D232" si="114">B40</f>
        <v xml:space="preserve">50G </v>
      </c>
      <c r="C232" s="238" t="str">
        <f t="shared" si="114"/>
        <v>80 km</v>
      </c>
      <c r="D232" s="239" t="str">
        <f t="shared" si="114"/>
        <v>all</v>
      </c>
      <c r="E232" s="193"/>
      <c r="F232" s="193"/>
      <c r="G232" s="193"/>
      <c r="H232" s="108"/>
      <c r="I232" s="108"/>
      <c r="J232" s="108"/>
      <c r="K232" s="108"/>
      <c r="L232" s="108"/>
      <c r="M232" s="108"/>
      <c r="N232" s="108"/>
      <c r="O232" s="108"/>
      <c r="Q232" s="621"/>
    </row>
    <row r="233" spans="2:17">
      <c r="B233" s="234" t="str">
        <f t="shared" ref="B233:D252" si="115">B41</f>
        <v>100G SR4</v>
      </c>
      <c r="C233" s="235" t="str">
        <f t="shared" si="115"/>
        <v>100 m</v>
      </c>
      <c r="D233" s="236" t="str">
        <f t="shared" si="115"/>
        <v>CFP</v>
      </c>
      <c r="E233" s="445">
        <v>21.078782</v>
      </c>
      <c r="F233" s="445">
        <v>8.8030050000000024</v>
      </c>
      <c r="G233" s="445"/>
      <c r="H233" s="445"/>
      <c r="I233" s="445"/>
      <c r="J233" s="445"/>
      <c r="K233" s="445"/>
      <c r="L233" s="445"/>
      <c r="M233" s="445"/>
      <c r="N233" s="445"/>
      <c r="O233" s="445"/>
      <c r="Q233" s="621"/>
    </row>
    <row r="234" spans="2:17">
      <c r="B234" s="237" t="str">
        <f t="shared" si="115"/>
        <v>100G SR4</v>
      </c>
      <c r="C234" s="238" t="str">
        <f t="shared" si="115"/>
        <v>100 m</v>
      </c>
      <c r="D234" s="239" t="str">
        <f t="shared" si="115"/>
        <v>CFP2/4</v>
      </c>
      <c r="E234" s="193">
        <v>5.2611999999999997</v>
      </c>
      <c r="F234" s="193">
        <v>2.4791280000000007</v>
      </c>
      <c r="G234" s="193"/>
      <c r="H234" s="193"/>
      <c r="I234" s="193"/>
      <c r="J234" s="193"/>
      <c r="K234" s="193"/>
      <c r="L234" s="193"/>
      <c r="M234" s="193"/>
      <c r="N234" s="193"/>
      <c r="O234" s="193"/>
      <c r="Q234" s="621"/>
    </row>
    <row r="235" spans="2:17">
      <c r="B235" s="237" t="str">
        <f t="shared" si="115"/>
        <v>100G SR4</v>
      </c>
      <c r="C235" s="238" t="str">
        <f t="shared" si="115"/>
        <v>100 m</v>
      </c>
      <c r="D235" s="239" t="str">
        <f t="shared" si="115"/>
        <v>QSFP28</v>
      </c>
      <c r="E235" s="193">
        <v>72.281363999999996</v>
      </c>
      <c r="F235" s="193">
        <v>113.36232738072</v>
      </c>
      <c r="G235" s="193"/>
      <c r="H235" s="193"/>
      <c r="I235" s="193"/>
      <c r="J235" s="193"/>
      <c r="K235" s="193"/>
      <c r="L235" s="193"/>
      <c r="M235" s="193"/>
      <c r="N235" s="193"/>
      <c r="O235" s="193"/>
      <c r="Q235" s="621"/>
    </row>
    <row r="236" spans="2:17">
      <c r="B236" s="237" t="str">
        <f t="shared" si="115"/>
        <v>100G SR2</v>
      </c>
      <c r="C236" s="238" t="str">
        <f t="shared" si="115"/>
        <v>100 m</v>
      </c>
      <c r="D236" s="239" t="str">
        <f t="shared" si="115"/>
        <v>All</v>
      </c>
      <c r="E236" s="193">
        <v>0</v>
      </c>
      <c r="F236" s="193">
        <v>0</v>
      </c>
      <c r="G236" s="193"/>
      <c r="H236" s="193"/>
      <c r="I236" s="193"/>
      <c r="J236" s="193"/>
      <c r="K236" s="193"/>
      <c r="L236" s="193"/>
      <c r="M236" s="193"/>
      <c r="N236" s="193"/>
      <c r="O236" s="193"/>
      <c r="Q236" s="621"/>
    </row>
    <row r="237" spans="2:17">
      <c r="B237" s="237" t="str">
        <f t="shared" si="115"/>
        <v>100G MM Duplex</v>
      </c>
      <c r="C237" s="238" t="str">
        <f t="shared" si="115"/>
        <v>100 - 300 m</v>
      </c>
      <c r="D237" s="239" t="str">
        <f t="shared" si="115"/>
        <v>QSFP28</v>
      </c>
      <c r="E237" s="193">
        <v>0</v>
      </c>
      <c r="F237" s="193">
        <v>0</v>
      </c>
      <c r="G237" s="193"/>
      <c r="H237" s="193"/>
      <c r="I237" s="193"/>
      <c r="J237" s="193"/>
      <c r="K237" s="193"/>
      <c r="L237" s="193"/>
      <c r="M237" s="193"/>
      <c r="N237" s="193"/>
      <c r="O237" s="193"/>
      <c r="Q237" s="621"/>
    </row>
    <row r="238" spans="2:17">
      <c r="B238" s="237" t="str">
        <f t="shared" si="115"/>
        <v>100G eSR4</v>
      </c>
      <c r="C238" s="238" t="str">
        <f t="shared" si="115"/>
        <v>300 m</v>
      </c>
      <c r="D238" s="239" t="str">
        <f t="shared" si="115"/>
        <v>QSFP28</v>
      </c>
      <c r="E238" s="193">
        <v>0</v>
      </c>
      <c r="F238" s="193">
        <v>0</v>
      </c>
      <c r="G238" s="193"/>
      <c r="H238" s="193"/>
      <c r="I238" s="193"/>
      <c r="J238" s="193"/>
      <c r="K238" s="193"/>
      <c r="L238" s="193"/>
      <c r="M238" s="193"/>
      <c r="N238" s="193"/>
      <c r="O238" s="193"/>
      <c r="Q238" s="621"/>
    </row>
    <row r="239" spans="2:17">
      <c r="B239" s="237" t="str">
        <f t="shared" si="115"/>
        <v>100G PSM4</v>
      </c>
      <c r="C239" s="238" t="str">
        <f t="shared" si="115"/>
        <v>500 m</v>
      </c>
      <c r="D239" s="239" t="str">
        <f t="shared" si="115"/>
        <v>QSFP28</v>
      </c>
      <c r="E239" s="193">
        <v>67.773890240000014</v>
      </c>
      <c r="F239" s="193">
        <v>158.09400299999999</v>
      </c>
      <c r="G239" s="193"/>
      <c r="H239" s="193"/>
      <c r="I239" s="193"/>
      <c r="J239" s="193"/>
      <c r="K239" s="193"/>
      <c r="L239" s="193"/>
      <c r="M239" s="193"/>
      <c r="N239" s="193"/>
      <c r="O239" s="193"/>
      <c r="Q239" s="621"/>
    </row>
    <row r="240" spans="2:17">
      <c r="B240" s="237" t="str">
        <f t="shared" si="115"/>
        <v>100G DR</v>
      </c>
      <c r="C240" s="238" t="str">
        <f t="shared" si="115"/>
        <v>500m</v>
      </c>
      <c r="D240" s="239" t="str">
        <f t="shared" si="115"/>
        <v>QSFP28</v>
      </c>
      <c r="E240" s="193">
        <v>0</v>
      </c>
      <c r="F240" s="193">
        <v>0</v>
      </c>
      <c r="G240" s="193"/>
      <c r="H240" s="193"/>
      <c r="I240" s="193"/>
      <c r="J240" s="193"/>
      <c r="K240" s="193"/>
      <c r="L240" s="193"/>
      <c r="M240" s="193"/>
      <c r="N240" s="193"/>
      <c r="O240" s="193"/>
      <c r="Q240" s="621"/>
    </row>
    <row r="241" spans="2:17">
      <c r="B241" s="237" t="str">
        <f t="shared" si="115"/>
        <v>100G CWDM4-subspec</v>
      </c>
      <c r="C241" s="238" t="str">
        <f t="shared" si="115"/>
        <v>500 m</v>
      </c>
      <c r="D241" s="239" t="str">
        <f t="shared" si="115"/>
        <v>QSFP28</v>
      </c>
      <c r="E241" s="193">
        <v>55.125374999999998</v>
      </c>
      <c r="F241" s="193">
        <v>307.53544499999998</v>
      </c>
      <c r="G241" s="193"/>
      <c r="H241" s="193"/>
      <c r="I241" s="193"/>
      <c r="J241" s="193"/>
      <c r="K241" s="193"/>
      <c r="L241" s="193"/>
      <c r="M241" s="193"/>
      <c r="N241" s="193"/>
      <c r="O241" s="193"/>
      <c r="Q241" s="621"/>
    </row>
    <row r="242" spans="2:17">
      <c r="B242" s="237" t="str">
        <f t="shared" si="115"/>
        <v>100G CWDM4</v>
      </c>
      <c r="C242" s="238" t="str">
        <f t="shared" si="115"/>
        <v>2 km</v>
      </c>
      <c r="D242" s="239" t="str">
        <f t="shared" si="115"/>
        <v>QSFP28</v>
      </c>
      <c r="E242" s="193">
        <v>25.566254999999995</v>
      </c>
      <c r="F242" s="193">
        <v>190.37908500000003</v>
      </c>
      <c r="G242" s="193"/>
      <c r="H242" s="193"/>
      <c r="I242" s="193"/>
      <c r="J242" s="193"/>
      <c r="K242" s="193"/>
      <c r="L242" s="193"/>
      <c r="M242" s="193"/>
      <c r="N242" s="193"/>
      <c r="O242" s="193"/>
      <c r="Q242" s="621"/>
    </row>
    <row r="243" spans="2:17">
      <c r="B243" s="237" t="str">
        <f t="shared" si="115"/>
        <v>100G FR, DR+</v>
      </c>
      <c r="C243" s="238" t="str">
        <f t="shared" si="115"/>
        <v>2 km</v>
      </c>
      <c r="D243" s="239" t="str">
        <f t="shared" si="115"/>
        <v>QSFP28</v>
      </c>
      <c r="E243" s="193">
        <v>0</v>
      </c>
      <c r="F243" s="193">
        <v>0</v>
      </c>
      <c r="G243" s="193"/>
      <c r="H243" s="193"/>
      <c r="I243" s="193"/>
      <c r="J243" s="193"/>
      <c r="K243" s="193"/>
      <c r="L243" s="193"/>
      <c r="M243" s="193"/>
      <c r="N243" s="193"/>
      <c r="O243" s="193"/>
      <c r="Q243" s="621"/>
    </row>
    <row r="244" spans="2:17">
      <c r="B244" s="237" t="str">
        <f t="shared" si="115"/>
        <v>100G LR4</v>
      </c>
      <c r="C244" s="238" t="str">
        <f t="shared" si="115"/>
        <v>10 km</v>
      </c>
      <c r="D244" s="239" t="str">
        <f t="shared" si="115"/>
        <v>CFP</v>
      </c>
      <c r="E244" s="193">
        <v>387.84002208207454</v>
      </c>
      <c r="F244" s="193">
        <v>186.42675405916248</v>
      </c>
      <c r="G244" s="193"/>
      <c r="H244" s="193"/>
      <c r="I244" s="193"/>
      <c r="J244" s="193"/>
      <c r="K244" s="193"/>
      <c r="L244" s="193"/>
      <c r="M244" s="193"/>
      <c r="N244" s="193"/>
      <c r="O244" s="193"/>
      <c r="Q244" s="621"/>
    </row>
    <row r="245" spans="2:17">
      <c r="B245" s="237" t="str">
        <f t="shared" si="115"/>
        <v>100G LR4</v>
      </c>
      <c r="C245" s="238" t="str">
        <f t="shared" si="115"/>
        <v>10 km</v>
      </c>
      <c r="D245" s="239" t="str">
        <f t="shared" si="115"/>
        <v>CFP2/4</v>
      </c>
      <c r="E245" s="193">
        <v>265.89292589706986</v>
      </c>
      <c r="F245" s="193">
        <v>167.37814313065076</v>
      </c>
      <c r="G245" s="193"/>
      <c r="H245" s="193"/>
      <c r="I245" s="193"/>
      <c r="J245" s="193"/>
      <c r="K245" s="193"/>
      <c r="L245" s="193"/>
      <c r="M245" s="193"/>
      <c r="N245" s="193"/>
      <c r="O245" s="193"/>
      <c r="Q245" s="621"/>
    </row>
    <row r="246" spans="2:17">
      <c r="B246" s="237" t="str">
        <f t="shared" si="115"/>
        <v>100G LR4 and LR1</v>
      </c>
      <c r="C246" s="238" t="str">
        <f t="shared" si="115"/>
        <v>10 km</v>
      </c>
      <c r="D246" s="239" t="str">
        <f t="shared" si="115"/>
        <v>QSFP28</v>
      </c>
      <c r="E246" s="193">
        <v>175.29210971636297</v>
      </c>
      <c r="F246" s="193">
        <v>434.82240000000002</v>
      </c>
      <c r="G246" s="193"/>
      <c r="H246" s="193"/>
      <c r="I246" s="193"/>
      <c r="J246" s="193"/>
      <c r="K246" s="193"/>
      <c r="L246" s="193"/>
      <c r="M246" s="193"/>
      <c r="N246" s="193"/>
      <c r="O246" s="193"/>
      <c r="Q246" s="621"/>
    </row>
    <row r="247" spans="2:17">
      <c r="B247" s="237" t="str">
        <f t="shared" si="115"/>
        <v>100G 4WDM10</v>
      </c>
      <c r="C247" s="238" t="str">
        <f t="shared" si="115"/>
        <v>10 km</v>
      </c>
      <c r="D247" s="239" t="str">
        <f t="shared" si="115"/>
        <v>QSFP28</v>
      </c>
      <c r="E247" s="193">
        <v>0</v>
      </c>
      <c r="F247" s="193">
        <v>22.5</v>
      </c>
      <c r="G247" s="193"/>
      <c r="H247" s="193"/>
      <c r="I247" s="193"/>
      <c r="J247" s="193"/>
      <c r="K247" s="193"/>
      <c r="L247" s="193"/>
      <c r="M247" s="193"/>
      <c r="N247" s="193"/>
      <c r="O247" s="193"/>
      <c r="Q247" s="621"/>
    </row>
    <row r="248" spans="2:17">
      <c r="B248" s="237" t="str">
        <f t="shared" si="115"/>
        <v>100G 4WDM20</v>
      </c>
      <c r="C248" s="238" t="str">
        <f t="shared" si="115"/>
        <v>20 km</v>
      </c>
      <c r="D248" s="239" t="str">
        <f t="shared" si="115"/>
        <v>QSFP28</v>
      </c>
      <c r="E248" s="193">
        <v>0</v>
      </c>
      <c r="F248" s="193">
        <v>0</v>
      </c>
      <c r="G248" s="193"/>
      <c r="H248" s="193"/>
      <c r="I248" s="193"/>
      <c r="J248" s="193"/>
      <c r="K248" s="193"/>
      <c r="L248" s="193"/>
      <c r="M248" s="193"/>
      <c r="N248" s="193"/>
      <c r="O248" s="193"/>
      <c r="Q248" s="621"/>
    </row>
    <row r="249" spans="2:17">
      <c r="B249" s="237" t="str">
        <f t="shared" si="115"/>
        <v>100G ER4-Lite</v>
      </c>
      <c r="C249" s="238" t="str">
        <f t="shared" si="115"/>
        <v>30 km</v>
      </c>
      <c r="D249" s="239" t="str">
        <f t="shared" si="115"/>
        <v>QSFP28</v>
      </c>
      <c r="E249" s="193" t="s">
        <v>90</v>
      </c>
      <c r="F249" s="193">
        <v>6.9744847890088328</v>
      </c>
      <c r="G249" s="193"/>
      <c r="H249" s="193"/>
      <c r="I249" s="193"/>
      <c r="J249" s="193"/>
      <c r="K249" s="193"/>
      <c r="L249" s="193"/>
      <c r="M249" s="193"/>
      <c r="N249" s="193"/>
      <c r="O249" s="193"/>
      <c r="Q249" s="621"/>
    </row>
    <row r="250" spans="2:17">
      <c r="B250" s="237" t="str">
        <f t="shared" si="115"/>
        <v>100G ER4</v>
      </c>
      <c r="C250" s="238" t="str">
        <f t="shared" si="115"/>
        <v>40 km</v>
      </c>
      <c r="D250" s="239" t="str">
        <f t="shared" si="115"/>
        <v>QSFP28</v>
      </c>
      <c r="E250" s="193">
        <v>67.047039534140794</v>
      </c>
      <c r="F250" s="193">
        <v>55.219616614611596</v>
      </c>
      <c r="G250" s="193"/>
      <c r="H250" s="193"/>
      <c r="I250" s="193"/>
      <c r="J250" s="193"/>
      <c r="K250" s="193"/>
      <c r="L250" s="193"/>
      <c r="M250" s="193"/>
      <c r="N250" s="193"/>
      <c r="O250" s="193"/>
      <c r="Q250" s="621"/>
    </row>
    <row r="251" spans="2:17">
      <c r="B251" s="237" t="str">
        <f t="shared" si="115"/>
        <v>100G ZR4</v>
      </c>
      <c r="C251" s="238" t="str">
        <f t="shared" si="115"/>
        <v>80 km</v>
      </c>
      <c r="D251" s="239" t="str">
        <f t="shared" si="115"/>
        <v>QSFP28</v>
      </c>
      <c r="E251" s="193" t="s">
        <v>90</v>
      </c>
      <c r="F251" s="193" t="s">
        <v>90</v>
      </c>
      <c r="G251" s="193"/>
      <c r="H251" s="193"/>
      <c r="I251" s="193"/>
      <c r="J251" s="193"/>
      <c r="K251" s="193"/>
      <c r="L251" s="193"/>
      <c r="M251" s="193"/>
      <c r="N251" s="193"/>
      <c r="O251" s="193"/>
      <c r="Q251" s="621"/>
    </row>
    <row r="252" spans="2:17">
      <c r="B252" s="231" t="str">
        <f t="shared" si="115"/>
        <v>200G SR4</v>
      </c>
      <c r="C252" s="230" t="str">
        <f t="shared" si="115"/>
        <v>100 m</v>
      </c>
      <c r="D252" s="229" t="str">
        <f t="shared" si="115"/>
        <v>QSFP56</v>
      </c>
      <c r="E252" s="445">
        <v>0</v>
      </c>
      <c r="F252" s="445">
        <v>0</v>
      </c>
      <c r="G252" s="445"/>
      <c r="H252" s="445"/>
      <c r="I252" s="445"/>
      <c r="J252" s="445"/>
      <c r="K252" s="445"/>
      <c r="L252" s="445"/>
      <c r="M252" s="445"/>
      <c r="N252" s="445"/>
      <c r="O252" s="445"/>
      <c r="Q252" s="621"/>
    </row>
    <row r="253" spans="2:17">
      <c r="B253" s="54" t="str">
        <f t="shared" ref="B253:D261" si="116">B61</f>
        <v>200G DR</v>
      </c>
      <c r="C253" s="55" t="str">
        <f t="shared" si="116"/>
        <v>500 m</v>
      </c>
      <c r="D253" s="56" t="str">
        <f t="shared" si="116"/>
        <v>TBD</v>
      </c>
      <c r="E253" s="193">
        <v>0</v>
      </c>
      <c r="F253" s="193">
        <v>0</v>
      </c>
      <c r="G253" s="193"/>
      <c r="H253" s="193"/>
      <c r="I253" s="193"/>
      <c r="J253" s="193"/>
      <c r="K253" s="193"/>
      <c r="L253" s="193"/>
      <c r="M253" s="193"/>
      <c r="N253" s="193"/>
      <c r="O253" s="193"/>
      <c r="Q253" s="621"/>
    </row>
    <row r="254" spans="2:17">
      <c r="B254" s="54" t="str">
        <f t="shared" si="116"/>
        <v>200G FR4</v>
      </c>
      <c r="C254" s="55" t="str">
        <f t="shared" si="116"/>
        <v>3 km</v>
      </c>
      <c r="D254" s="56" t="str">
        <f t="shared" si="116"/>
        <v>QSFP56</v>
      </c>
      <c r="E254" s="193">
        <v>0</v>
      </c>
      <c r="F254" s="193">
        <v>0</v>
      </c>
      <c r="G254" s="193"/>
      <c r="H254" s="193"/>
      <c r="I254" s="193"/>
      <c r="J254" s="193"/>
      <c r="K254" s="193"/>
      <c r="L254" s="193"/>
      <c r="M254" s="193"/>
      <c r="N254" s="193"/>
      <c r="O254" s="193"/>
      <c r="Q254" s="621"/>
    </row>
    <row r="255" spans="2:17">
      <c r="B255" s="54" t="str">
        <f t="shared" si="116"/>
        <v>200G LR</v>
      </c>
      <c r="C255" s="55" t="str">
        <f t="shared" si="116"/>
        <v>10 km</v>
      </c>
      <c r="D255" s="56" t="str">
        <f t="shared" si="116"/>
        <v>TBD</v>
      </c>
      <c r="E255" s="193">
        <v>0</v>
      </c>
      <c r="F255" s="193">
        <v>0</v>
      </c>
      <c r="G255" s="193"/>
      <c r="H255" s="193"/>
      <c r="I255" s="193"/>
      <c r="J255" s="193"/>
      <c r="K255" s="193"/>
      <c r="L255" s="193"/>
      <c r="M255" s="193"/>
      <c r="N255" s="193"/>
      <c r="O255" s="193"/>
      <c r="Q255" s="621"/>
    </row>
    <row r="256" spans="2:17">
      <c r="B256" s="54" t="str">
        <f t="shared" si="116"/>
        <v>200G ER4</v>
      </c>
      <c r="C256" s="55" t="str">
        <f t="shared" si="116"/>
        <v>40 km</v>
      </c>
      <c r="D256" s="56" t="str">
        <f t="shared" si="116"/>
        <v>TBD</v>
      </c>
      <c r="E256" s="193">
        <v>0</v>
      </c>
      <c r="F256" s="193">
        <v>0</v>
      </c>
      <c r="G256" s="193"/>
      <c r="H256" s="193"/>
      <c r="I256" s="193"/>
      <c r="J256" s="193"/>
      <c r="K256" s="193"/>
      <c r="L256" s="193"/>
      <c r="M256" s="193"/>
      <c r="N256" s="193"/>
      <c r="O256" s="193"/>
      <c r="Q256" s="621"/>
    </row>
    <row r="257" spans="2:17">
      <c r="B257" s="231" t="str">
        <f t="shared" si="116"/>
        <v>2x200 (400G-SR8)</v>
      </c>
      <c r="C257" s="230" t="str">
        <f t="shared" si="116"/>
        <v>100 m</v>
      </c>
      <c r="D257" s="229" t="str">
        <f t="shared" si="116"/>
        <v>OSFP, QSFP-DD</v>
      </c>
      <c r="E257" s="445">
        <v>0</v>
      </c>
      <c r="F257" s="445">
        <v>0</v>
      </c>
      <c r="G257" s="445"/>
      <c r="H257" s="445"/>
      <c r="I257" s="445"/>
      <c r="J257" s="445"/>
      <c r="K257" s="445"/>
      <c r="L257" s="445"/>
      <c r="M257" s="445"/>
      <c r="N257" s="445"/>
      <c r="O257" s="445"/>
      <c r="Q257" s="621"/>
    </row>
    <row r="258" spans="2:17">
      <c r="B258" s="54" t="str">
        <f t="shared" si="116"/>
        <v>400G SR4</v>
      </c>
      <c r="C258" s="55" t="str">
        <f t="shared" si="116"/>
        <v>100 m</v>
      </c>
      <c r="D258" s="56" t="str">
        <f t="shared" si="116"/>
        <v>OSFP112, QSFP112</v>
      </c>
      <c r="E258" s="193">
        <v>0</v>
      </c>
      <c r="F258" s="193">
        <v>0</v>
      </c>
      <c r="G258" s="193"/>
      <c r="H258" s="193"/>
      <c r="I258" s="193"/>
      <c r="J258" s="193"/>
      <c r="K258" s="193"/>
      <c r="L258" s="193"/>
      <c r="M258" s="193"/>
      <c r="N258" s="193"/>
      <c r="O258" s="193"/>
      <c r="Q258" s="621"/>
    </row>
    <row r="259" spans="2:17">
      <c r="B259" s="54" t="str">
        <f t="shared" si="116"/>
        <v>400G DR4</v>
      </c>
      <c r="C259" s="55" t="str">
        <f t="shared" si="116"/>
        <v>500 m</v>
      </c>
      <c r="D259" s="56" t="str">
        <f t="shared" si="116"/>
        <v>OSFP, QSFP-DD, QSFP112</v>
      </c>
      <c r="E259" s="193">
        <v>0</v>
      </c>
      <c r="F259" s="193">
        <v>0</v>
      </c>
      <c r="G259" s="193"/>
      <c r="H259" s="193"/>
      <c r="I259" s="193"/>
      <c r="J259" s="193"/>
      <c r="K259" s="193"/>
      <c r="L259" s="193"/>
      <c r="M259" s="193"/>
      <c r="N259" s="193"/>
      <c r="O259" s="193"/>
      <c r="Q259" s="621"/>
    </row>
    <row r="260" spans="2:17">
      <c r="B260" s="54" t="str">
        <f t="shared" si="116"/>
        <v>2x(200G FR4)</v>
      </c>
      <c r="C260" s="55" t="str">
        <f t="shared" si="116"/>
        <v>2 km</v>
      </c>
      <c r="D260" s="56" t="str">
        <f t="shared" si="116"/>
        <v>OSFP</v>
      </c>
      <c r="E260" s="193">
        <v>0</v>
      </c>
      <c r="F260" s="193">
        <v>0</v>
      </c>
      <c r="G260" s="193"/>
      <c r="H260" s="193"/>
      <c r="I260" s="193"/>
      <c r="J260" s="193"/>
      <c r="K260" s="193"/>
      <c r="L260" s="193"/>
      <c r="M260" s="193"/>
      <c r="N260" s="193"/>
      <c r="O260" s="193"/>
      <c r="Q260" s="621"/>
    </row>
    <row r="261" spans="2:17">
      <c r="B261" s="54" t="str">
        <f t="shared" si="116"/>
        <v>400G FR4</v>
      </c>
      <c r="C261" s="55" t="str">
        <f t="shared" si="116"/>
        <v>2 km</v>
      </c>
      <c r="D261" s="56" t="str">
        <f t="shared" si="116"/>
        <v>OSFP, QSFP-DD, QSFP112</v>
      </c>
      <c r="E261" s="193">
        <v>0</v>
      </c>
      <c r="F261" s="193">
        <v>8.1299999999999997E-2</v>
      </c>
      <c r="G261" s="193"/>
      <c r="H261" s="193"/>
      <c r="I261" s="193"/>
      <c r="J261" s="193"/>
      <c r="K261" s="193"/>
      <c r="L261" s="193"/>
      <c r="M261" s="193"/>
      <c r="N261" s="193"/>
      <c r="O261" s="193"/>
      <c r="Q261" s="621"/>
    </row>
    <row r="262" spans="2:17">
      <c r="B262" s="54" t="str">
        <f t="shared" ref="B262:D262" si="117">B70</f>
        <v>400G LR8, LR4</v>
      </c>
      <c r="C262" s="55" t="str">
        <f t="shared" si="117"/>
        <v>10 km</v>
      </c>
      <c r="D262" s="56" t="str">
        <f t="shared" si="117"/>
        <v>OSFP, QSFP-DD, QSFP112</v>
      </c>
      <c r="E262" s="193">
        <v>0</v>
      </c>
      <c r="F262" s="193">
        <v>1.2669999999999999</v>
      </c>
      <c r="G262" s="193"/>
      <c r="H262" s="193"/>
      <c r="I262" s="193"/>
      <c r="J262" s="193"/>
      <c r="K262" s="193"/>
      <c r="L262" s="193"/>
      <c r="M262" s="193"/>
      <c r="N262" s="193"/>
      <c r="O262" s="193"/>
      <c r="Q262" s="621"/>
    </row>
    <row r="263" spans="2:17">
      <c r="B263" s="54" t="str">
        <f t="shared" ref="B263:D263" si="118">B71</f>
        <v>400G ER4</v>
      </c>
      <c r="C263" s="55" t="str">
        <f t="shared" si="118"/>
        <v>40 km</v>
      </c>
      <c r="D263" s="56" t="str">
        <f t="shared" si="118"/>
        <v>TBD</v>
      </c>
      <c r="E263" s="193">
        <v>0</v>
      </c>
      <c r="F263" s="193">
        <v>0</v>
      </c>
      <c r="G263" s="193"/>
      <c r="H263" s="193"/>
      <c r="I263" s="193"/>
      <c r="J263" s="193"/>
      <c r="K263" s="193"/>
      <c r="L263" s="193"/>
      <c r="M263" s="193"/>
      <c r="N263" s="193"/>
      <c r="O263" s="193"/>
      <c r="Q263" s="621"/>
    </row>
    <row r="264" spans="2:17">
      <c r="B264" s="231" t="str">
        <f t="shared" ref="B264:D279" si="119">B72</f>
        <v>800G SR8</v>
      </c>
      <c r="C264" s="230" t="str">
        <f t="shared" si="119"/>
        <v>50 m</v>
      </c>
      <c r="D264" s="229" t="str">
        <f t="shared" si="119"/>
        <v>OSFP, QSFP-DD800</v>
      </c>
      <c r="E264" s="445"/>
      <c r="F264" s="445"/>
      <c r="G264" s="445"/>
      <c r="H264" s="445"/>
      <c r="I264" s="445"/>
      <c r="J264" s="445"/>
      <c r="K264" s="445"/>
      <c r="L264" s="445"/>
      <c r="M264" s="445"/>
      <c r="N264" s="445"/>
      <c r="O264" s="445"/>
      <c r="Q264" s="621"/>
    </row>
    <row r="265" spans="2:17">
      <c r="B265" s="54" t="str">
        <f t="shared" si="119"/>
        <v>800G DR8, DR4</v>
      </c>
      <c r="C265" s="55" t="str">
        <f t="shared" si="119"/>
        <v>500 m</v>
      </c>
      <c r="D265" s="56" t="str">
        <f t="shared" si="119"/>
        <v>OSFP, QSFP-DD800</v>
      </c>
      <c r="E265" s="193"/>
      <c r="F265" s="193"/>
      <c r="G265" s="193"/>
      <c r="H265" s="193"/>
      <c r="I265" s="193"/>
      <c r="J265" s="193"/>
      <c r="K265" s="193"/>
      <c r="L265" s="193"/>
      <c r="M265" s="193"/>
      <c r="N265" s="193"/>
      <c r="O265" s="193"/>
      <c r="Q265" s="621"/>
    </row>
    <row r="266" spans="2:17">
      <c r="B266" s="54" t="str">
        <f t="shared" si="119"/>
        <v>2x(400G FR4), 800G FR4</v>
      </c>
      <c r="C266" s="55" t="str">
        <f t="shared" si="119"/>
        <v>2 km</v>
      </c>
      <c r="D266" s="56" t="str">
        <f t="shared" si="119"/>
        <v>OSFP, QSFP-DD800</v>
      </c>
      <c r="E266" s="193"/>
      <c r="F266" s="193"/>
      <c r="G266" s="193"/>
      <c r="H266" s="193"/>
      <c r="I266" s="193"/>
      <c r="J266" s="193"/>
      <c r="K266" s="193"/>
      <c r="L266" s="193"/>
      <c r="M266" s="193"/>
      <c r="N266" s="193"/>
      <c r="O266" s="193"/>
      <c r="Q266" s="621"/>
    </row>
    <row r="267" spans="2:17">
      <c r="B267" s="54" t="str">
        <f t="shared" si="119"/>
        <v>800G LR8, LR4</v>
      </c>
      <c r="C267" s="55" t="str">
        <f t="shared" si="119"/>
        <v>6, 10 km</v>
      </c>
      <c r="D267" s="56" t="str">
        <f t="shared" si="119"/>
        <v>TBD</v>
      </c>
      <c r="E267" s="193"/>
      <c r="F267" s="193"/>
      <c r="G267" s="193"/>
      <c r="H267" s="193"/>
      <c r="I267" s="193"/>
      <c r="J267" s="193"/>
      <c r="K267" s="193"/>
      <c r="L267" s="193"/>
      <c r="M267" s="193"/>
      <c r="N267" s="193"/>
      <c r="O267" s="193"/>
      <c r="Q267" s="621"/>
    </row>
    <row r="268" spans="2:17">
      <c r="B268" s="54" t="str">
        <f t="shared" si="119"/>
        <v>800G ZRlite</v>
      </c>
      <c r="C268" s="55" t="str">
        <f t="shared" si="119"/>
        <v>10 km, 20 km</v>
      </c>
      <c r="D268" s="56" t="str">
        <f t="shared" si="119"/>
        <v>TBD</v>
      </c>
      <c r="E268" s="193"/>
      <c r="F268" s="193"/>
      <c r="G268" s="193"/>
      <c r="H268" s="193"/>
      <c r="I268" s="193"/>
      <c r="J268" s="193"/>
      <c r="K268" s="193"/>
      <c r="L268" s="193"/>
      <c r="M268" s="193"/>
      <c r="N268" s="193"/>
      <c r="O268" s="193"/>
      <c r="Q268" s="621"/>
    </row>
    <row r="269" spans="2:17">
      <c r="B269" s="57" t="str">
        <f t="shared" si="119"/>
        <v>800G ER4</v>
      </c>
      <c r="C269" s="58" t="str">
        <f t="shared" si="119"/>
        <v>40 km</v>
      </c>
      <c r="D269" s="59" t="str">
        <f t="shared" si="119"/>
        <v>TBD</v>
      </c>
      <c r="E269" s="444"/>
      <c r="F269" s="444"/>
      <c r="G269" s="444"/>
      <c r="H269" s="444"/>
      <c r="I269" s="444"/>
      <c r="J269" s="444"/>
      <c r="K269" s="444"/>
      <c r="L269" s="444"/>
      <c r="M269" s="444"/>
      <c r="N269" s="444"/>
      <c r="O269" s="444"/>
      <c r="Q269" s="621"/>
    </row>
    <row r="270" spans="2:17">
      <c r="B270" s="54" t="str">
        <f t="shared" si="119"/>
        <v>1.6T SR16</v>
      </c>
      <c r="C270" s="55" t="str">
        <f t="shared" si="119"/>
        <v>100 m</v>
      </c>
      <c r="D270" s="56" t="str">
        <f t="shared" si="119"/>
        <v>OSFP-XD and TBD</v>
      </c>
      <c r="E270" s="193"/>
      <c r="F270" s="193"/>
      <c r="G270" s="193"/>
      <c r="H270" s="193"/>
      <c r="I270" s="193"/>
      <c r="J270" s="193"/>
      <c r="K270" s="193"/>
      <c r="L270" s="193"/>
      <c r="M270" s="193"/>
      <c r="N270" s="193"/>
      <c r="O270" s="193"/>
      <c r="Q270" s="621"/>
    </row>
    <row r="271" spans="2:17">
      <c r="B271" s="54" t="str">
        <f t="shared" si="119"/>
        <v>1.6T DR8</v>
      </c>
      <c r="C271" s="55" t="str">
        <f t="shared" si="119"/>
        <v>500 m</v>
      </c>
      <c r="D271" s="56" t="str">
        <f t="shared" si="119"/>
        <v>OSFP-XD and TBD</v>
      </c>
      <c r="E271" s="193"/>
      <c r="F271" s="193"/>
      <c r="G271" s="193"/>
      <c r="H271" s="193"/>
      <c r="I271" s="193"/>
      <c r="J271" s="193"/>
      <c r="K271" s="193"/>
      <c r="L271" s="193"/>
      <c r="M271" s="193"/>
      <c r="N271" s="193"/>
      <c r="O271" s="193"/>
      <c r="Q271" s="621"/>
    </row>
    <row r="272" spans="2:17">
      <c r="B272" s="54" t="str">
        <f t="shared" si="119"/>
        <v>1.6T FR8</v>
      </c>
      <c r="C272" s="55" t="str">
        <f t="shared" si="119"/>
        <v>2 km</v>
      </c>
      <c r="D272" s="56" t="str">
        <f t="shared" si="119"/>
        <v>OSFP-XD and TBD</v>
      </c>
      <c r="E272" s="193"/>
      <c r="F272" s="193"/>
      <c r="G272" s="193"/>
      <c r="H272" s="193"/>
      <c r="I272" s="193"/>
      <c r="J272" s="193"/>
      <c r="K272" s="193"/>
      <c r="L272" s="193"/>
      <c r="M272" s="193"/>
      <c r="N272" s="193"/>
      <c r="O272" s="193"/>
      <c r="Q272" s="621"/>
    </row>
    <row r="273" spans="2:17">
      <c r="B273" s="54" t="str">
        <f t="shared" si="119"/>
        <v>1.6T LR8</v>
      </c>
      <c r="C273" s="55" t="str">
        <f t="shared" si="119"/>
        <v>10 km</v>
      </c>
      <c r="D273" s="56" t="str">
        <f t="shared" si="119"/>
        <v>OSFP-XD and TBD</v>
      </c>
      <c r="E273" s="193"/>
      <c r="F273" s="193"/>
      <c r="G273" s="193"/>
      <c r="H273" s="193"/>
      <c r="I273" s="193"/>
      <c r="J273" s="193"/>
      <c r="K273" s="193"/>
      <c r="L273" s="193"/>
      <c r="M273" s="193"/>
      <c r="N273" s="193"/>
      <c r="O273" s="193"/>
      <c r="Q273" s="621"/>
    </row>
    <row r="274" spans="2:17">
      <c r="B274" s="57" t="str">
        <f t="shared" si="119"/>
        <v>1.6T ER8</v>
      </c>
      <c r="C274" s="58" t="str">
        <f t="shared" si="119"/>
        <v>&gt;10 km</v>
      </c>
      <c r="D274" s="59" t="str">
        <f t="shared" si="119"/>
        <v>OSFP-XD and TBD</v>
      </c>
      <c r="E274" s="444"/>
      <c r="F274" s="444"/>
      <c r="G274" s="444"/>
      <c r="H274" s="444"/>
      <c r="I274" s="444"/>
      <c r="J274" s="444"/>
      <c r="K274" s="444"/>
      <c r="L274" s="444"/>
      <c r="M274" s="444"/>
      <c r="N274" s="444"/>
      <c r="O274" s="444"/>
      <c r="Q274" s="621"/>
    </row>
    <row r="275" spans="2:17">
      <c r="B275" s="54" t="str">
        <f t="shared" si="119"/>
        <v>3.2T SR</v>
      </c>
      <c r="C275" s="55" t="str">
        <f t="shared" si="119"/>
        <v>100 m</v>
      </c>
      <c r="D275" s="56" t="str">
        <f t="shared" si="119"/>
        <v>OSFP-XD and TBD</v>
      </c>
      <c r="E275" s="193"/>
      <c r="F275" s="193"/>
      <c r="G275" s="193"/>
      <c r="H275" s="193"/>
      <c r="I275" s="193"/>
      <c r="J275" s="193"/>
      <c r="K275" s="193"/>
      <c r="L275" s="193"/>
      <c r="M275" s="193"/>
      <c r="N275" s="193"/>
      <c r="O275" s="193"/>
      <c r="Q275" s="621"/>
    </row>
    <row r="276" spans="2:17">
      <c r="B276" s="54" t="str">
        <f t="shared" si="119"/>
        <v>3.2T DR</v>
      </c>
      <c r="C276" s="55" t="str">
        <f t="shared" si="119"/>
        <v>500 m</v>
      </c>
      <c r="D276" s="56" t="str">
        <f t="shared" si="119"/>
        <v>OSFP-XD and TBD</v>
      </c>
      <c r="E276" s="193"/>
      <c r="F276" s="193"/>
      <c r="G276" s="193"/>
      <c r="H276" s="193"/>
      <c r="I276" s="193"/>
      <c r="J276" s="193"/>
      <c r="K276" s="193"/>
      <c r="L276" s="193"/>
      <c r="M276" s="193"/>
      <c r="N276" s="193"/>
      <c r="O276" s="193"/>
      <c r="Q276" s="621"/>
    </row>
    <row r="277" spans="2:17">
      <c r="B277" s="54" t="str">
        <f t="shared" si="119"/>
        <v>3.2T FR</v>
      </c>
      <c r="C277" s="55" t="str">
        <f t="shared" si="119"/>
        <v>2 km</v>
      </c>
      <c r="D277" s="56" t="str">
        <f t="shared" si="119"/>
        <v>OSFP-XD and TBD</v>
      </c>
      <c r="E277" s="193"/>
      <c r="F277" s="193"/>
      <c r="G277" s="193"/>
      <c r="H277" s="193"/>
      <c r="I277" s="193"/>
      <c r="J277" s="193"/>
      <c r="K277" s="193"/>
      <c r="L277" s="193"/>
      <c r="M277" s="193"/>
      <c r="N277" s="193"/>
      <c r="O277" s="193"/>
      <c r="Q277" s="621"/>
    </row>
    <row r="278" spans="2:17">
      <c r="B278" s="54" t="str">
        <f t="shared" si="119"/>
        <v>3.2T LR</v>
      </c>
      <c r="C278" s="55" t="str">
        <f t="shared" si="119"/>
        <v>10 km</v>
      </c>
      <c r="D278" s="56" t="str">
        <f t="shared" si="119"/>
        <v>OSFP-XD and TBD</v>
      </c>
      <c r="E278" s="193"/>
      <c r="F278" s="193"/>
      <c r="G278" s="193"/>
      <c r="H278" s="193"/>
      <c r="I278" s="193"/>
      <c r="J278" s="193"/>
      <c r="K278" s="193"/>
      <c r="L278" s="193"/>
      <c r="M278" s="193"/>
      <c r="N278" s="193"/>
      <c r="O278" s="193"/>
      <c r="Q278" s="621"/>
    </row>
    <row r="279" spans="2:17">
      <c r="B279" s="54" t="str">
        <f t="shared" si="119"/>
        <v>3.2T ER</v>
      </c>
      <c r="C279" s="55" t="str">
        <f t="shared" si="119"/>
        <v>&gt;10 km</v>
      </c>
      <c r="D279" s="56" t="str">
        <f t="shared" si="119"/>
        <v>OSFP-XD and TBD</v>
      </c>
      <c r="E279" s="193"/>
      <c r="F279" s="193"/>
      <c r="G279" s="193"/>
      <c r="H279" s="193"/>
      <c r="I279" s="193"/>
      <c r="J279" s="193"/>
      <c r="K279" s="193"/>
      <c r="L279" s="193"/>
      <c r="M279" s="193"/>
      <c r="N279" s="193"/>
      <c r="O279" s="193"/>
      <c r="Q279" s="621"/>
    </row>
    <row r="280" spans="2:17">
      <c r="B280" s="57"/>
      <c r="C280" s="58"/>
      <c r="D280" s="59"/>
      <c r="E280" s="444"/>
      <c r="F280" s="444"/>
      <c r="G280" s="444"/>
      <c r="H280" s="444"/>
      <c r="I280" s="444"/>
      <c r="J280" s="444"/>
      <c r="K280" s="444"/>
      <c r="L280" s="444"/>
      <c r="M280" s="444"/>
      <c r="N280" s="444"/>
      <c r="O280" s="444"/>
      <c r="Q280" s="621"/>
    </row>
    <row r="281" spans="2:17">
      <c r="B281" s="508" t="s">
        <v>20</v>
      </c>
      <c r="C281" s="509"/>
      <c r="D281" s="510"/>
      <c r="E281" s="442">
        <f t="shared" ref="E281:F281" si="120">SUM(E201:E280)</f>
        <v>2687.6154076451867</v>
      </c>
      <c r="F281" s="442">
        <f t="shared" si="120"/>
        <v>3178.3132920887738</v>
      </c>
      <c r="G281" s="442"/>
      <c r="H281" s="442"/>
      <c r="I281" s="442"/>
      <c r="J281" s="442"/>
      <c r="K281" s="442"/>
      <c r="L281" s="442"/>
      <c r="M281" s="442"/>
      <c r="N281" s="442"/>
      <c r="O281" s="442"/>
      <c r="Q281" s="621"/>
    </row>
    <row r="282" spans="2:17">
      <c r="B282" s="231" t="s">
        <v>316</v>
      </c>
      <c r="C282" s="515" t="s">
        <v>49</v>
      </c>
      <c r="D282" s="548" t="s">
        <v>49</v>
      </c>
      <c r="E282" s="396">
        <f>SUM(E206:E215)</f>
        <v>595.34603687362983</v>
      </c>
      <c r="F282" s="396">
        <f t="shared" ref="F282" si="121">SUM(F206:F215)</f>
        <v>488.89860153423245</v>
      </c>
      <c r="G282" s="396"/>
      <c r="H282" s="396"/>
      <c r="I282" s="396"/>
      <c r="J282" s="396"/>
      <c r="K282" s="396"/>
      <c r="L282" s="396"/>
      <c r="M282" s="396"/>
      <c r="N282" s="396"/>
      <c r="O282" s="396"/>
      <c r="Q282" s="621"/>
    </row>
    <row r="283" spans="2:17">
      <c r="B283" s="54" t="str">
        <f t="shared" ref="B283:D289" si="122">B91</f>
        <v>25G total</v>
      </c>
      <c r="C283" s="271" t="str">
        <f t="shared" si="122"/>
        <v>All</v>
      </c>
      <c r="D283" s="507" t="str">
        <f t="shared" si="122"/>
        <v>All</v>
      </c>
      <c r="E283" s="283">
        <f t="shared" ref="E283:F283" si="123">SUM(E216:E218)</f>
        <v>3.4123060000000001</v>
      </c>
      <c r="F283" s="283">
        <f t="shared" si="123"/>
        <v>19.187075306914231</v>
      </c>
      <c r="G283" s="283"/>
      <c r="H283" s="711"/>
      <c r="I283" s="711"/>
      <c r="J283" s="711"/>
      <c r="K283" s="711"/>
      <c r="L283" s="108"/>
      <c r="M283" s="108"/>
      <c r="N283" s="108"/>
      <c r="O283" s="108"/>
      <c r="Q283" s="621"/>
    </row>
    <row r="284" spans="2:17">
      <c r="B284" s="54" t="str">
        <f t="shared" si="122"/>
        <v>40G total</v>
      </c>
      <c r="C284" s="271" t="str">
        <f t="shared" si="122"/>
        <v>All</v>
      </c>
      <c r="D284" s="507" t="str">
        <f t="shared" si="122"/>
        <v>All</v>
      </c>
      <c r="E284" s="175">
        <f t="shared" ref="E284:F284" si="124">SUM(E219:E227)</f>
        <v>787.93297017215446</v>
      </c>
      <c r="F284" s="175">
        <f t="shared" si="124"/>
        <v>904.27751564220159</v>
      </c>
      <c r="G284" s="175"/>
      <c r="H284" s="175"/>
      <c r="I284" s="175"/>
      <c r="J284" s="175"/>
      <c r="K284" s="175"/>
      <c r="L284" s="108"/>
      <c r="M284" s="108"/>
      <c r="N284" s="108"/>
      <c r="O284" s="108"/>
      <c r="Q284" s="621"/>
    </row>
    <row r="285" spans="2:17">
      <c r="B285" s="54" t="str">
        <f t="shared" si="122"/>
        <v>50G total</v>
      </c>
      <c r="C285" s="271" t="str">
        <f t="shared" si="122"/>
        <v>All</v>
      </c>
      <c r="D285" s="507" t="str">
        <f t="shared" si="122"/>
        <v>All</v>
      </c>
      <c r="E285" s="108">
        <f t="shared" ref="E285:F285" si="125">SUM(E228:E232)</f>
        <v>0</v>
      </c>
      <c r="F285" s="108">
        <f t="shared" si="125"/>
        <v>0</v>
      </c>
      <c r="G285" s="108"/>
      <c r="H285" s="108"/>
      <c r="I285" s="108"/>
      <c r="J285" s="108"/>
      <c r="K285" s="108"/>
      <c r="L285" s="108"/>
      <c r="M285" s="108"/>
      <c r="N285" s="108"/>
      <c r="O285" s="108"/>
      <c r="Q285" s="621"/>
    </row>
    <row r="286" spans="2:17">
      <c r="B286" s="54" t="str">
        <f t="shared" si="122"/>
        <v>100G total</v>
      </c>
      <c r="C286" s="271" t="str">
        <f t="shared" si="122"/>
        <v>All</v>
      </c>
      <c r="D286" s="507" t="str">
        <f t="shared" si="122"/>
        <v>All</v>
      </c>
      <c r="E286" s="175">
        <f>SUM(E233:E251)</f>
        <v>1143.1589634696481</v>
      </c>
      <c r="F286" s="175">
        <f t="shared" ref="F286" si="126">SUM(F233:F251)</f>
        <v>1653.9743919741536</v>
      </c>
      <c r="G286" s="175"/>
      <c r="H286" s="175"/>
      <c r="I286" s="175"/>
      <c r="J286" s="175"/>
      <c r="K286" s="175"/>
      <c r="L286" s="175"/>
      <c r="M286" s="175"/>
      <c r="N286" s="175"/>
      <c r="O286" s="175"/>
      <c r="Q286" s="621"/>
    </row>
    <row r="287" spans="2:17">
      <c r="B287" s="54" t="str">
        <f t="shared" si="122"/>
        <v>200G total</v>
      </c>
      <c r="C287" s="271" t="str">
        <f t="shared" si="122"/>
        <v>All</v>
      </c>
      <c r="D287" s="507" t="str">
        <f t="shared" si="122"/>
        <v>All</v>
      </c>
      <c r="E287" s="637">
        <f>SUM(E252:E256)</f>
        <v>0</v>
      </c>
      <c r="F287" s="637">
        <f t="shared" ref="F287" si="127">SUM(F252:F256)</f>
        <v>0</v>
      </c>
      <c r="G287" s="637"/>
      <c r="H287" s="637"/>
      <c r="I287" s="637"/>
      <c r="J287" s="637"/>
      <c r="K287" s="637"/>
      <c r="L287" s="637"/>
      <c r="M287" s="637"/>
      <c r="N287" s="637"/>
      <c r="O287" s="637"/>
      <c r="Q287" s="621"/>
    </row>
    <row r="288" spans="2:17">
      <c r="B288" s="54" t="str">
        <f t="shared" si="122"/>
        <v>400G total</v>
      </c>
      <c r="C288" s="271" t="str">
        <f t="shared" si="122"/>
        <v>All</v>
      </c>
      <c r="D288" s="507" t="str">
        <f t="shared" si="122"/>
        <v>All</v>
      </c>
      <c r="E288" s="637">
        <f>SUM(E257:E263)</f>
        <v>0</v>
      </c>
      <c r="F288" s="637">
        <f t="shared" ref="F288" si="128">SUM(F257:F263)</f>
        <v>1.3482999999999998</v>
      </c>
      <c r="G288" s="637"/>
      <c r="H288" s="637"/>
      <c r="I288" s="637"/>
      <c r="J288" s="637"/>
      <c r="K288" s="637"/>
      <c r="L288" s="637"/>
      <c r="M288" s="637"/>
      <c r="N288" s="637"/>
      <c r="O288" s="637"/>
      <c r="Q288" s="621"/>
    </row>
    <row r="289" spans="2:17">
      <c r="B289" s="54" t="str">
        <f t="shared" si="122"/>
        <v>800G total</v>
      </c>
      <c r="C289" s="271" t="str">
        <f t="shared" si="122"/>
        <v>All</v>
      </c>
      <c r="D289" s="507" t="str">
        <f t="shared" si="122"/>
        <v>All</v>
      </c>
      <c r="E289" s="272"/>
      <c r="F289" s="272"/>
      <c r="G289" s="272"/>
      <c r="H289" s="272"/>
      <c r="I289" s="272"/>
      <c r="J289" s="272"/>
      <c r="K289" s="272"/>
      <c r="L289" s="272"/>
      <c r="M289" s="272"/>
      <c r="N289" s="272"/>
      <c r="O289" s="272"/>
      <c r="Q289" s="621"/>
    </row>
    <row r="290" spans="2:17">
      <c r="B290" s="54" t="s">
        <v>427</v>
      </c>
      <c r="C290" s="271" t="s">
        <v>49</v>
      </c>
      <c r="D290" s="507" t="s">
        <v>49</v>
      </c>
      <c r="E290" s="21"/>
      <c r="F290" s="21"/>
      <c r="G290" s="21"/>
      <c r="H290" s="21"/>
      <c r="I290" s="21"/>
      <c r="J290" s="438"/>
      <c r="K290" s="438"/>
      <c r="L290" s="21"/>
      <c r="M290" s="21"/>
      <c r="N290" s="21"/>
      <c r="O290" s="21"/>
      <c r="Q290" s="621"/>
    </row>
    <row r="291" spans="2:17">
      <c r="B291" s="708" t="s">
        <v>428</v>
      </c>
      <c r="C291" s="269" t="s">
        <v>49</v>
      </c>
      <c r="D291" s="709" t="s">
        <v>49</v>
      </c>
      <c r="E291" s="61"/>
      <c r="F291" s="61"/>
      <c r="G291" s="61"/>
      <c r="H291" s="61"/>
      <c r="I291" s="61"/>
      <c r="J291" s="61"/>
      <c r="K291" s="61"/>
      <c r="L291" s="61"/>
      <c r="M291" s="61"/>
      <c r="N291" s="61"/>
      <c r="O291" s="61"/>
      <c r="Q291" s="621"/>
    </row>
    <row r="292" spans="2:17">
      <c r="Q292" s="621"/>
    </row>
    <row r="297" spans="2:17">
      <c r="D297" s="705"/>
      <c r="E297" s="705"/>
      <c r="F297" s="705"/>
      <c r="G297" s="705"/>
      <c r="H297" s="705"/>
      <c r="I297" s="705"/>
      <c r="J297" s="705"/>
      <c r="K297" s="705"/>
    </row>
  </sheetData>
  <conditionalFormatting sqref="Q101:Q292">
    <cfRule type="expression" dxfId="8" priority="5">
      <formula>Q101&lt;&gt;0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AK56"/>
  <sheetViews>
    <sheetView showGridLines="0" zoomScale="70" zoomScaleNormal="70" workbookViewId="0"/>
  </sheetViews>
  <sheetFormatPr defaultColWidth="8.6640625" defaultRowHeight="13.8" outlineLevelCol="1"/>
  <cols>
    <col min="1" max="1" width="3" style="273" customWidth="1"/>
    <col min="2" max="2" width="14.44140625" style="273" customWidth="1"/>
    <col min="3" max="3" width="7.77734375" style="273" customWidth="1"/>
    <col min="4" max="4" width="9.21875" style="273" customWidth="1"/>
    <col min="5" max="5" width="9.77734375" style="273" customWidth="1"/>
    <col min="6" max="13" width="10.6640625" style="273" customWidth="1"/>
    <col min="14" max="17" width="10.6640625" style="273" hidden="1" customWidth="1" outlineLevel="1"/>
    <col min="18" max="18" width="4.33203125" style="273" customWidth="1" collapsed="1"/>
    <col min="19" max="19" width="21.33203125" style="273" customWidth="1"/>
    <col min="20" max="21" width="9.33203125" style="273" customWidth="1"/>
    <col min="22" max="24" width="10.21875" style="273" customWidth="1"/>
    <col min="25" max="30" width="10.6640625" style="273" customWidth="1"/>
    <col min="31" max="34" width="10.6640625" style="273" hidden="1" customWidth="1" outlineLevel="1"/>
    <col min="35" max="35" width="5.21875" style="273" customWidth="1" collapsed="1"/>
    <col min="37" max="37" width="10.6640625" style="273" bestFit="1" customWidth="1"/>
    <col min="38" max="16384" width="8.6640625" style="273"/>
  </cols>
  <sheetData>
    <row r="2" spans="2:37" ht="17.399999999999999">
      <c r="B2" s="6" t="str">
        <f>Introduction!$B$2</f>
        <v>LightCounting Ethernet Transceivers Forecast</v>
      </c>
    </row>
    <row r="3" spans="2:37" ht="15.6">
      <c r="B3" s="43" t="str">
        <f>Introduction!B3</f>
        <v>September 2021 - Sample template for illustrative purposes only</v>
      </c>
      <c r="AJ3" s="4"/>
    </row>
    <row r="4" spans="2:37" ht="17.399999999999999">
      <c r="B4" s="6" t="s">
        <v>389</v>
      </c>
      <c r="AJ4" s="4"/>
    </row>
    <row r="5" spans="2:37">
      <c r="AJ5" s="4"/>
    </row>
    <row r="6" spans="2:37" ht="18">
      <c r="B6" s="155" t="s">
        <v>388</v>
      </c>
      <c r="S6" s="155" t="s">
        <v>387</v>
      </c>
    </row>
    <row r="7" spans="2:37" ht="14.4">
      <c r="B7" s="622" t="s">
        <v>414</v>
      </c>
      <c r="S7" s="622" t="s">
        <v>413</v>
      </c>
      <c r="AJ7" s="50"/>
    </row>
    <row r="8" spans="2:37">
      <c r="B8" s="281"/>
      <c r="C8" s="499"/>
      <c r="D8" s="499"/>
      <c r="E8" s="499"/>
      <c r="F8" s="499"/>
      <c r="G8" s="499"/>
      <c r="H8" s="499"/>
      <c r="I8" s="499"/>
      <c r="J8" s="499"/>
      <c r="K8" s="499"/>
      <c r="L8" s="499"/>
      <c r="M8" s="499"/>
      <c r="N8" s="499"/>
      <c r="O8" s="499"/>
      <c r="P8" s="499"/>
      <c r="Q8" s="499"/>
      <c r="S8" s="281"/>
      <c r="T8" s="499"/>
      <c r="U8" s="499"/>
      <c r="V8" s="499"/>
      <c r="W8" s="499"/>
      <c r="X8" s="499"/>
      <c r="Y8" s="499"/>
      <c r="Z8" s="499"/>
      <c r="AA8" s="499"/>
      <c r="AB8" s="499"/>
      <c r="AC8" s="499"/>
      <c r="AD8" s="499"/>
      <c r="AE8" s="499"/>
      <c r="AF8" s="499"/>
      <c r="AG8" s="499"/>
      <c r="AH8" s="499"/>
      <c r="AJ8" s="595"/>
      <c r="AK8" s="210"/>
    </row>
    <row r="9" spans="2:37">
      <c r="AJ9" s="68"/>
      <c r="AK9" s="68"/>
    </row>
    <row r="10" spans="2:37">
      <c r="AJ10" s="68"/>
      <c r="AK10" s="68"/>
    </row>
    <row r="11" spans="2:37">
      <c r="AJ11" s="68"/>
      <c r="AK11" s="68"/>
    </row>
    <row r="12" spans="2:37">
      <c r="AJ12" s="68"/>
      <c r="AK12" s="68"/>
    </row>
    <row r="13" spans="2:37">
      <c r="AJ13" s="68"/>
      <c r="AK13" s="68"/>
    </row>
    <row r="29" spans="2:37">
      <c r="C29" s="594">
        <v>2016</v>
      </c>
      <c r="D29" s="594">
        <v>2017</v>
      </c>
      <c r="E29" s="594">
        <v>2018</v>
      </c>
      <c r="F29" s="594">
        <v>2019</v>
      </c>
      <c r="G29" s="594">
        <v>2020</v>
      </c>
      <c r="H29" s="594">
        <v>2021</v>
      </c>
      <c r="I29" s="594">
        <v>2022</v>
      </c>
      <c r="J29" s="594">
        <v>2023</v>
      </c>
      <c r="K29" s="594">
        <v>2024</v>
      </c>
      <c r="L29" s="594">
        <v>2025</v>
      </c>
      <c r="M29" s="594">
        <v>2026</v>
      </c>
      <c r="N29" s="594">
        <v>2027</v>
      </c>
      <c r="O29" s="594">
        <v>2028</v>
      </c>
      <c r="P29" s="594">
        <v>2029</v>
      </c>
      <c r="Q29" s="594">
        <v>2030</v>
      </c>
      <c r="T29" s="594">
        <v>2016</v>
      </c>
      <c r="U29" s="594">
        <v>2017</v>
      </c>
      <c r="V29" s="594">
        <v>2018</v>
      </c>
      <c r="W29" s="594">
        <v>2019</v>
      </c>
      <c r="X29" s="594">
        <v>2020</v>
      </c>
      <c r="Y29" s="594">
        <v>2021</v>
      </c>
      <c r="Z29" s="594">
        <v>2022</v>
      </c>
      <c r="AA29" s="594">
        <v>2023</v>
      </c>
      <c r="AB29" s="594">
        <v>2024</v>
      </c>
      <c r="AC29" s="594">
        <v>2025</v>
      </c>
      <c r="AD29" s="594">
        <v>2026</v>
      </c>
      <c r="AE29" s="594">
        <v>2027</v>
      </c>
      <c r="AF29" s="594">
        <v>2028</v>
      </c>
      <c r="AG29" s="594">
        <v>2029</v>
      </c>
      <c r="AH29" s="594">
        <v>2030</v>
      </c>
      <c r="AJ29" s="50"/>
      <c r="AK29" s="50"/>
    </row>
    <row r="30" spans="2:37">
      <c r="B30" s="297" t="s">
        <v>379</v>
      </c>
      <c r="C30" s="500">
        <f t="shared" ref="C30:L30" si="0">C36+C42+C48+C54</f>
        <v>370501</v>
      </c>
      <c r="D30" s="500">
        <f t="shared" si="0"/>
        <v>985144</v>
      </c>
      <c r="E30" s="500">
        <f t="shared" si="0"/>
        <v>0</v>
      </c>
      <c r="F30" s="500">
        <f t="shared" si="0"/>
        <v>0</v>
      </c>
      <c r="G30" s="500">
        <f t="shared" si="0"/>
        <v>0</v>
      </c>
      <c r="H30" s="500">
        <f t="shared" si="0"/>
        <v>0</v>
      </c>
      <c r="I30" s="500">
        <f t="shared" si="0"/>
        <v>0</v>
      </c>
      <c r="J30" s="500">
        <f t="shared" si="0"/>
        <v>0</v>
      </c>
      <c r="K30" s="500">
        <f t="shared" si="0"/>
        <v>0</v>
      </c>
      <c r="L30" s="500">
        <f t="shared" si="0"/>
        <v>0</v>
      </c>
      <c r="M30" s="500">
        <f t="shared" ref="M30:Q30" si="1">M36+M42+M48+M54</f>
        <v>0</v>
      </c>
      <c r="N30" s="500" t="e">
        <f t="shared" si="1"/>
        <v>#REF!</v>
      </c>
      <c r="O30" s="500" t="e">
        <f t="shared" si="1"/>
        <v>#REF!</v>
      </c>
      <c r="P30" s="500" t="e">
        <f t="shared" si="1"/>
        <v>#REF!</v>
      </c>
      <c r="Q30" s="500" t="e">
        <f t="shared" si="1"/>
        <v>#REF!</v>
      </c>
      <c r="S30" s="297" t="s">
        <v>381</v>
      </c>
      <c r="T30" s="500">
        <f t="shared" ref="T30:AC30" si="2">T36+T42+T48+T54</f>
        <v>0</v>
      </c>
      <c r="U30" s="500">
        <f t="shared" si="2"/>
        <v>89</v>
      </c>
      <c r="V30" s="500">
        <f t="shared" si="2"/>
        <v>0</v>
      </c>
      <c r="W30" s="500">
        <f t="shared" si="2"/>
        <v>0</v>
      </c>
      <c r="X30" s="500">
        <f t="shared" si="2"/>
        <v>0</v>
      </c>
      <c r="Y30" s="500">
        <f t="shared" si="2"/>
        <v>0</v>
      </c>
      <c r="Z30" s="500">
        <f t="shared" si="2"/>
        <v>0</v>
      </c>
      <c r="AA30" s="500">
        <f t="shared" si="2"/>
        <v>0</v>
      </c>
      <c r="AB30" s="500">
        <f t="shared" si="2"/>
        <v>0</v>
      </c>
      <c r="AC30" s="500">
        <f t="shared" si="2"/>
        <v>0</v>
      </c>
      <c r="AD30" s="500">
        <f t="shared" ref="AD30:AH30" si="3">AD36+AD42+AD48+AD54</f>
        <v>0</v>
      </c>
      <c r="AE30" s="500" t="e">
        <f t="shared" si="3"/>
        <v>#REF!</v>
      </c>
      <c r="AF30" s="500" t="e">
        <f t="shared" si="3"/>
        <v>#REF!</v>
      </c>
      <c r="AG30" s="500" t="e">
        <f t="shared" si="3"/>
        <v>#REF!</v>
      </c>
      <c r="AH30" s="500" t="e">
        <f t="shared" si="3"/>
        <v>#REF!</v>
      </c>
    </row>
    <row r="31" spans="2:37">
      <c r="B31" s="297" t="s">
        <v>380</v>
      </c>
      <c r="C31" s="500">
        <f t="shared" ref="C31:L31" si="4">C37+C43+C49+C55</f>
        <v>0</v>
      </c>
      <c r="D31" s="500">
        <f t="shared" si="4"/>
        <v>0</v>
      </c>
      <c r="E31" s="500">
        <f t="shared" si="4"/>
        <v>0</v>
      </c>
      <c r="F31" s="500">
        <f t="shared" si="4"/>
        <v>0</v>
      </c>
      <c r="G31" s="500">
        <f t="shared" si="4"/>
        <v>0</v>
      </c>
      <c r="H31" s="500">
        <f t="shared" si="4"/>
        <v>0</v>
      </c>
      <c r="I31" s="500">
        <f t="shared" si="4"/>
        <v>0</v>
      </c>
      <c r="J31" s="500">
        <f t="shared" si="4"/>
        <v>0</v>
      </c>
      <c r="K31" s="500">
        <f t="shared" si="4"/>
        <v>0</v>
      </c>
      <c r="L31" s="500">
        <f t="shared" si="4"/>
        <v>0</v>
      </c>
      <c r="M31" s="500">
        <f t="shared" ref="M31:Q31" si="5">M37+M43+M49+M55</f>
        <v>0</v>
      </c>
      <c r="N31" s="500" t="e">
        <f t="shared" si="5"/>
        <v>#REF!</v>
      </c>
      <c r="O31" s="500" t="e">
        <f t="shared" si="5"/>
        <v>#REF!</v>
      </c>
      <c r="P31" s="500" t="e">
        <f t="shared" si="5"/>
        <v>#REF!</v>
      </c>
      <c r="Q31" s="500" t="e">
        <f t="shared" si="5"/>
        <v>#REF!</v>
      </c>
      <c r="S31" s="297" t="s">
        <v>385</v>
      </c>
      <c r="T31" s="500">
        <f t="shared" ref="T31:AC31" si="6">T37+T49+T55+T43</f>
        <v>0</v>
      </c>
      <c r="U31" s="500">
        <f t="shared" si="6"/>
        <v>0</v>
      </c>
      <c r="V31" s="500">
        <f t="shared" si="6"/>
        <v>0</v>
      </c>
      <c r="W31" s="500">
        <f t="shared" si="6"/>
        <v>0</v>
      </c>
      <c r="X31" s="500">
        <f t="shared" si="6"/>
        <v>0</v>
      </c>
      <c r="Y31" s="500">
        <f t="shared" si="6"/>
        <v>0</v>
      </c>
      <c r="Z31" s="500">
        <f t="shared" si="6"/>
        <v>0</v>
      </c>
      <c r="AA31" s="500">
        <f t="shared" si="6"/>
        <v>0</v>
      </c>
      <c r="AB31" s="500">
        <f t="shared" si="6"/>
        <v>0</v>
      </c>
      <c r="AC31" s="500">
        <f t="shared" si="6"/>
        <v>0</v>
      </c>
      <c r="AD31" s="500">
        <f t="shared" ref="AD31:AH31" si="7">AD37+AD49+AD55+AD43</f>
        <v>0</v>
      </c>
      <c r="AE31" s="500" t="e">
        <f t="shared" si="7"/>
        <v>#REF!</v>
      </c>
      <c r="AF31" s="500" t="e">
        <f t="shared" si="7"/>
        <v>#REF!</v>
      </c>
      <c r="AG31" s="500" t="e">
        <f t="shared" si="7"/>
        <v>#REF!</v>
      </c>
      <c r="AH31" s="500" t="e">
        <f t="shared" si="7"/>
        <v>#REF!</v>
      </c>
    </row>
    <row r="34" spans="2:37">
      <c r="B34" s="80" t="s">
        <v>386</v>
      </c>
      <c r="C34" s="592">
        <v>2016</v>
      </c>
      <c r="D34" s="592">
        <v>2017</v>
      </c>
      <c r="E34" s="592">
        <v>2018</v>
      </c>
      <c r="F34" s="592">
        <v>2019</v>
      </c>
      <c r="G34" s="592">
        <v>2020</v>
      </c>
      <c r="H34" s="592">
        <v>2021</v>
      </c>
      <c r="I34" s="592">
        <v>2022</v>
      </c>
      <c r="J34" s="592">
        <v>2023</v>
      </c>
      <c r="K34" s="592">
        <v>2024</v>
      </c>
      <c r="L34" s="592">
        <v>2025</v>
      </c>
      <c r="M34" s="592">
        <v>2026</v>
      </c>
      <c r="N34" s="592">
        <v>2027</v>
      </c>
      <c r="O34" s="592">
        <v>2028</v>
      </c>
      <c r="P34" s="592">
        <v>2029</v>
      </c>
      <c r="Q34" s="592">
        <v>2030</v>
      </c>
      <c r="S34" s="80" t="s">
        <v>382</v>
      </c>
      <c r="T34" s="592">
        <v>2016</v>
      </c>
      <c r="U34" s="592">
        <v>2017</v>
      </c>
      <c r="V34" s="592">
        <v>2018</v>
      </c>
      <c r="W34" s="592">
        <v>2019</v>
      </c>
      <c r="X34" s="592">
        <v>2020</v>
      </c>
      <c r="Y34" s="592">
        <v>2021</v>
      </c>
      <c r="Z34" s="592">
        <v>2022</v>
      </c>
      <c r="AA34" s="592">
        <v>2023</v>
      </c>
      <c r="AB34" s="592">
        <v>2024</v>
      </c>
      <c r="AC34" s="592">
        <v>2025</v>
      </c>
      <c r="AD34" s="592">
        <v>2026</v>
      </c>
      <c r="AE34" s="592">
        <v>2027</v>
      </c>
      <c r="AF34" s="592">
        <v>2028</v>
      </c>
      <c r="AG34" s="592">
        <v>2029</v>
      </c>
      <c r="AH34" s="592">
        <v>2030</v>
      </c>
    </row>
    <row r="35" spans="2:37">
      <c r="B35" s="297" t="s">
        <v>373</v>
      </c>
      <c r="C35" s="296">
        <f>'Products x speed'!E43</f>
        <v>280058</v>
      </c>
      <c r="D35" s="296">
        <f>'Products x speed'!F43</f>
        <v>622792</v>
      </c>
      <c r="E35" s="296">
        <f>'Products x speed'!G43</f>
        <v>0</v>
      </c>
      <c r="F35" s="296">
        <f>'Products x speed'!H43</f>
        <v>0</v>
      </c>
      <c r="G35" s="296">
        <f>'Products x speed'!I43</f>
        <v>0</v>
      </c>
      <c r="H35" s="296">
        <f>'Products x speed'!J43</f>
        <v>0</v>
      </c>
      <c r="I35" s="296">
        <f>'Products x speed'!K43</f>
        <v>0</v>
      </c>
      <c r="J35" s="296">
        <f>'Products x speed'!L43</f>
        <v>0</v>
      </c>
      <c r="K35" s="296">
        <f>'Products x speed'!M43</f>
        <v>0</v>
      </c>
      <c r="L35" s="296">
        <f>'Products x speed'!N43</f>
        <v>0</v>
      </c>
      <c r="M35" s="296">
        <f>'Products x speed'!O43</f>
        <v>0</v>
      </c>
      <c r="N35" s="296" t="e">
        <f>'Products x speed'!#REF!</f>
        <v>#REF!</v>
      </c>
      <c r="O35" s="296" t="e">
        <f>'Products x speed'!#REF!</f>
        <v>#REF!</v>
      </c>
      <c r="P35" s="296" t="e">
        <f>'Products x speed'!#REF!</f>
        <v>#REF!</v>
      </c>
      <c r="Q35" s="296" t="e">
        <f>'Products x speed'!#REF!</f>
        <v>#REF!</v>
      </c>
      <c r="S35" s="297" t="s">
        <v>373</v>
      </c>
      <c r="T35" s="296">
        <f>'Products x speed'!E66+'Products x speed'!E65</f>
        <v>0</v>
      </c>
      <c r="U35" s="296">
        <f>'Products x speed'!F66+'Products x speed'!F65</f>
        <v>0</v>
      </c>
      <c r="V35" s="296">
        <f>'Products x speed'!G66+'Products x speed'!G65</f>
        <v>0</v>
      </c>
      <c r="W35" s="296">
        <f>'Products x speed'!H66+'Products x speed'!H65</f>
        <v>0</v>
      </c>
      <c r="X35" s="296">
        <f>'Products x speed'!I66+'Products x speed'!I65</f>
        <v>0</v>
      </c>
      <c r="Y35" s="296">
        <f>'Products x speed'!J66+'Products x speed'!J65</f>
        <v>0</v>
      </c>
      <c r="Z35" s="296">
        <f>'Products x speed'!K66+'Products x speed'!K65</f>
        <v>0</v>
      </c>
      <c r="AA35" s="296">
        <f>'Products x speed'!L66+'Products x speed'!L65</f>
        <v>0</v>
      </c>
      <c r="AB35" s="296">
        <f>'Products x speed'!M66+'Products x speed'!M65</f>
        <v>0</v>
      </c>
      <c r="AC35" s="296">
        <f>'Products x speed'!N66+'Products x speed'!N65</f>
        <v>0</v>
      </c>
      <c r="AD35" s="296">
        <f>'Products x speed'!O66+'Products x speed'!O65</f>
        <v>0</v>
      </c>
      <c r="AE35" s="296" t="e">
        <f>'Products x speed'!#REF!+'Products x speed'!#REF!</f>
        <v>#REF!</v>
      </c>
      <c r="AF35" s="296" t="e">
        <f>'Products x speed'!#REF!+'Products x speed'!#REF!</f>
        <v>#REF!</v>
      </c>
      <c r="AG35" s="296" t="e">
        <f>'Products x speed'!#REF!+'Products x speed'!#REF!</f>
        <v>#REF!</v>
      </c>
      <c r="AH35" s="296" t="e">
        <f>'Products x speed'!#REF!+'Products x speed'!#REF!</f>
        <v>#REF!</v>
      </c>
    </row>
    <row r="36" spans="2:37">
      <c r="B36" s="605" t="s">
        <v>375</v>
      </c>
      <c r="C36" s="500">
        <f t="shared" ref="C36:L36" si="8">C35-C37</f>
        <v>280058</v>
      </c>
      <c r="D36" s="500">
        <f t="shared" si="8"/>
        <v>622792</v>
      </c>
      <c r="E36" s="500">
        <f t="shared" si="8"/>
        <v>0</v>
      </c>
      <c r="F36" s="500">
        <f t="shared" si="8"/>
        <v>0</v>
      </c>
      <c r="G36" s="500">
        <f t="shared" si="8"/>
        <v>0</v>
      </c>
      <c r="H36" s="500">
        <f t="shared" si="8"/>
        <v>0</v>
      </c>
      <c r="I36" s="500">
        <f t="shared" si="8"/>
        <v>0</v>
      </c>
      <c r="J36" s="500">
        <f t="shared" si="8"/>
        <v>0</v>
      </c>
      <c r="K36" s="500">
        <f t="shared" si="8"/>
        <v>0</v>
      </c>
      <c r="L36" s="500">
        <f t="shared" si="8"/>
        <v>0</v>
      </c>
      <c r="M36" s="500">
        <f t="shared" ref="M36:Q36" si="9">M35-M37</f>
        <v>0</v>
      </c>
      <c r="N36" s="500" t="e">
        <f t="shared" si="9"/>
        <v>#REF!</v>
      </c>
      <c r="O36" s="500" t="e">
        <f t="shared" si="9"/>
        <v>#REF!</v>
      </c>
      <c r="P36" s="500" t="e">
        <f t="shared" si="9"/>
        <v>#REF!</v>
      </c>
      <c r="Q36" s="500" t="e">
        <f t="shared" si="9"/>
        <v>#REF!</v>
      </c>
      <c r="S36" s="605" t="s">
        <v>378</v>
      </c>
      <c r="T36" s="500">
        <f t="shared" ref="T36:AC36" si="10">T35-T37</f>
        <v>0</v>
      </c>
      <c r="U36" s="500">
        <f t="shared" si="10"/>
        <v>0</v>
      </c>
      <c r="V36" s="500">
        <f t="shared" si="10"/>
        <v>0</v>
      </c>
      <c r="W36" s="500">
        <f t="shared" si="10"/>
        <v>0</v>
      </c>
      <c r="X36" s="500">
        <f t="shared" si="10"/>
        <v>0</v>
      </c>
      <c r="Y36" s="500">
        <f t="shared" si="10"/>
        <v>0</v>
      </c>
      <c r="Z36" s="500">
        <f t="shared" si="10"/>
        <v>0</v>
      </c>
      <c r="AA36" s="500">
        <f t="shared" si="10"/>
        <v>0</v>
      </c>
      <c r="AB36" s="500">
        <f t="shared" si="10"/>
        <v>0</v>
      </c>
      <c r="AC36" s="500">
        <f t="shared" si="10"/>
        <v>0</v>
      </c>
      <c r="AD36" s="500">
        <f t="shared" ref="AD36:AH36" si="11">AD35-AD37</f>
        <v>0</v>
      </c>
      <c r="AE36" s="500" t="e">
        <f t="shared" si="11"/>
        <v>#REF!</v>
      </c>
      <c r="AF36" s="500" t="e">
        <f t="shared" si="11"/>
        <v>#REF!</v>
      </c>
      <c r="AG36" s="500" t="e">
        <f t="shared" si="11"/>
        <v>#REF!</v>
      </c>
      <c r="AH36" s="500" t="e">
        <f t="shared" si="11"/>
        <v>#REF!</v>
      </c>
    </row>
    <row r="37" spans="2:37">
      <c r="B37" s="605" t="s">
        <v>374</v>
      </c>
      <c r="C37" s="500">
        <f t="shared" ref="C37:L37" si="12">C35*C38</f>
        <v>0</v>
      </c>
      <c r="D37" s="500">
        <f t="shared" si="12"/>
        <v>0</v>
      </c>
      <c r="E37" s="500">
        <f t="shared" si="12"/>
        <v>0</v>
      </c>
      <c r="F37" s="500">
        <f t="shared" si="12"/>
        <v>0</v>
      </c>
      <c r="G37" s="500">
        <f t="shared" si="12"/>
        <v>0</v>
      </c>
      <c r="H37" s="500">
        <f t="shared" si="12"/>
        <v>0</v>
      </c>
      <c r="I37" s="500">
        <f t="shared" si="12"/>
        <v>0</v>
      </c>
      <c r="J37" s="500">
        <f t="shared" si="12"/>
        <v>0</v>
      </c>
      <c r="K37" s="500">
        <f t="shared" si="12"/>
        <v>0</v>
      </c>
      <c r="L37" s="500">
        <f t="shared" si="12"/>
        <v>0</v>
      </c>
      <c r="M37" s="500">
        <f t="shared" ref="M37:Q37" si="13">M35*M38</f>
        <v>0</v>
      </c>
      <c r="N37" s="500" t="e">
        <f t="shared" si="13"/>
        <v>#REF!</v>
      </c>
      <c r="O37" s="500" t="e">
        <f t="shared" si="13"/>
        <v>#REF!</v>
      </c>
      <c r="P37" s="500" t="e">
        <f t="shared" si="13"/>
        <v>#REF!</v>
      </c>
      <c r="Q37" s="500" t="e">
        <f t="shared" si="13"/>
        <v>#REF!</v>
      </c>
      <c r="S37" s="605" t="s">
        <v>377</v>
      </c>
      <c r="T37" s="500">
        <f t="shared" ref="T37:AC37" si="14">T35*T38</f>
        <v>0</v>
      </c>
      <c r="U37" s="500">
        <f t="shared" si="14"/>
        <v>0</v>
      </c>
      <c r="V37" s="500">
        <f t="shared" si="14"/>
        <v>0</v>
      </c>
      <c r="W37" s="500">
        <f t="shared" si="14"/>
        <v>0</v>
      </c>
      <c r="X37" s="500">
        <f t="shared" si="14"/>
        <v>0</v>
      </c>
      <c r="Y37" s="500">
        <f t="shared" si="14"/>
        <v>0</v>
      </c>
      <c r="Z37" s="500">
        <f t="shared" si="14"/>
        <v>0</v>
      </c>
      <c r="AA37" s="500">
        <f t="shared" si="14"/>
        <v>0</v>
      </c>
      <c r="AB37" s="500">
        <f t="shared" si="14"/>
        <v>0</v>
      </c>
      <c r="AC37" s="500">
        <f t="shared" si="14"/>
        <v>0</v>
      </c>
      <c r="AD37" s="500">
        <f t="shared" ref="AD37:AH37" si="15">AD35*AD38</f>
        <v>0</v>
      </c>
      <c r="AE37" s="500" t="e">
        <f t="shared" si="15"/>
        <v>#REF!</v>
      </c>
      <c r="AF37" s="500" t="e">
        <f t="shared" si="15"/>
        <v>#REF!</v>
      </c>
      <c r="AG37" s="500" t="e">
        <f t="shared" si="15"/>
        <v>#REF!</v>
      </c>
      <c r="AH37" s="500" t="e">
        <f t="shared" si="15"/>
        <v>#REF!</v>
      </c>
    </row>
    <row r="38" spans="2:37">
      <c r="B38" s="606" t="str">
        <f>"Percent SFP112"</f>
        <v>Percent SFP112</v>
      </c>
      <c r="C38" s="591">
        <v>0</v>
      </c>
      <c r="D38" s="591">
        <v>0</v>
      </c>
      <c r="E38" s="591">
        <v>0</v>
      </c>
      <c r="F38" s="591">
        <v>0</v>
      </c>
      <c r="G38" s="591">
        <v>0</v>
      </c>
      <c r="H38" s="591">
        <v>0</v>
      </c>
      <c r="I38" s="591">
        <v>0.02</v>
      </c>
      <c r="J38" s="591">
        <v>0.05</v>
      </c>
      <c r="K38" s="591">
        <v>0.2</v>
      </c>
      <c r="L38" s="591">
        <v>0.4</v>
      </c>
      <c r="M38" s="591">
        <v>0.5</v>
      </c>
      <c r="N38" s="591">
        <v>2.4</v>
      </c>
      <c r="O38" s="591">
        <v>3.4</v>
      </c>
      <c r="P38" s="591">
        <v>4.4000000000000004</v>
      </c>
      <c r="Q38" s="591">
        <v>5.4</v>
      </c>
      <c r="S38" s="606" t="str">
        <f>"Percent QSFP112"</f>
        <v>Percent QSFP112</v>
      </c>
      <c r="T38" s="591">
        <v>0</v>
      </c>
      <c r="U38" s="591">
        <v>0</v>
      </c>
      <c r="V38" s="591">
        <v>0</v>
      </c>
      <c r="W38" s="591">
        <v>0</v>
      </c>
      <c r="X38" s="591">
        <v>0</v>
      </c>
      <c r="Y38" s="591">
        <v>0</v>
      </c>
      <c r="Z38" s="591">
        <v>0.02</v>
      </c>
      <c r="AA38" s="591">
        <v>0.05</v>
      </c>
      <c r="AB38" s="591">
        <v>0.2</v>
      </c>
      <c r="AC38" s="591">
        <v>0.4</v>
      </c>
      <c r="AD38" s="591">
        <v>0.55000000000000004</v>
      </c>
      <c r="AE38" s="591">
        <v>2.4</v>
      </c>
      <c r="AF38" s="591">
        <v>3.4</v>
      </c>
      <c r="AG38" s="591">
        <v>4.4000000000000004</v>
      </c>
      <c r="AH38" s="591">
        <v>5.4</v>
      </c>
    </row>
    <row r="39" spans="2:37">
      <c r="B39" s="281"/>
      <c r="C39" s="499"/>
      <c r="D39" s="499"/>
      <c r="E39" s="499"/>
      <c r="F39" s="499"/>
      <c r="G39" s="499"/>
      <c r="H39" s="499"/>
      <c r="I39" s="499"/>
      <c r="J39" s="499"/>
      <c r="K39" s="499"/>
      <c r="L39" s="499"/>
      <c r="M39" s="499"/>
      <c r="N39" s="499"/>
      <c r="O39" s="499"/>
      <c r="P39" s="499"/>
      <c r="Q39" s="499"/>
      <c r="S39" s="281"/>
      <c r="T39" s="499"/>
      <c r="U39" s="499"/>
      <c r="V39" s="499"/>
      <c r="W39" s="499"/>
      <c r="X39" s="499"/>
      <c r="Y39" s="499"/>
      <c r="Z39" s="499"/>
      <c r="AA39" s="499"/>
      <c r="AB39" s="499"/>
      <c r="AC39" s="499"/>
      <c r="AD39" s="499"/>
      <c r="AE39" s="499"/>
      <c r="AF39" s="499"/>
      <c r="AG39" s="499"/>
      <c r="AH39" s="499"/>
    </row>
    <row r="40" spans="2:37">
      <c r="B40" s="80" t="s">
        <v>351</v>
      </c>
      <c r="C40" s="592">
        <v>2016</v>
      </c>
      <c r="D40" s="592">
        <v>2017</v>
      </c>
      <c r="E40" s="592">
        <v>2018</v>
      </c>
      <c r="F40" s="592">
        <v>2019</v>
      </c>
      <c r="G40" s="592">
        <v>2020</v>
      </c>
      <c r="H40" s="592">
        <v>2021</v>
      </c>
      <c r="I40" s="592">
        <v>2022</v>
      </c>
      <c r="J40" s="592">
        <v>2023</v>
      </c>
      <c r="K40" s="592">
        <v>2024</v>
      </c>
      <c r="L40" s="592">
        <v>2025</v>
      </c>
      <c r="M40" s="592">
        <v>2026</v>
      </c>
      <c r="N40" s="592">
        <v>2027</v>
      </c>
      <c r="O40" s="592">
        <v>2028</v>
      </c>
      <c r="P40" s="592">
        <v>2029</v>
      </c>
      <c r="Q40" s="592">
        <v>2030</v>
      </c>
      <c r="S40" s="80" t="s">
        <v>246</v>
      </c>
      <c r="T40" s="592">
        <v>2016</v>
      </c>
      <c r="U40" s="592">
        <v>2017</v>
      </c>
      <c r="V40" s="592">
        <v>2018</v>
      </c>
      <c r="W40" s="592">
        <v>2019</v>
      </c>
      <c r="X40" s="592">
        <v>2020</v>
      </c>
      <c r="Y40" s="592">
        <v>2021</v>
      </c>
      <c r="Z40" s="592">
        <v>2022</v>
      </c>
      <c r="AA40" s="592">
        <v>2023</v>
      </c>
      <c r="AB40" s="592">
        <v>2024</v>
      </c>
      <c r="AC40" s="592">
        <v>2025</v>
      </c>
      <c r="AD40" s="592">
        <v>2026</v>
      </c>
      <c r="AE40" s="592">
        <v>2027</v>
      </c>
      <c r="AF40" s="592">
        <v>2028</v>
      </c>
      <c r="AG40" s="592">
        <v>2029</v>
      </c>
      <c r="AH40" s="592">
        <v>2030</v>
      </c>
    </row>
    <row r="41" spans="2:37">
      <c r="B41" s="297" t="str">
        <f>B35</f>
        <v>Total volume</v>
      </c>
      <c r="C41" s="296">
        <f>'Products x speed'!E48</f>
        <v>0</v>
      </c>
      <c r="D41" s="296">
        <f>'Products x speed'!F48</f>
        <v>0</v>
      </c>
      <c r="E41" s="296">
        <f>'Products x speed'!G48</f>
        <v>0</v>
      </c>
      <c r="F41" s="296">
        <f>'Products x speed'!H48</f>
        <v>0</v>
      </c>
      <c r="G41" s="296">
        <f>'Products x speed'!I48</f>
        <v>0</v>
      </c>
      <c r="H41" s="296">
        <f>'Products x speed'!J48</f>
        <v>0</v>
      </c>
      <c r="I41" s="296">
        <f>'Products x speed'!K48</f>
        <v>0</v>
      </c>
      <c r="J41" s="296">
        <f>'Products x speed'!L48</f>
        <v>0</v>
      </c>
      <c r="K41" s="296">
        <f>'Products x speed'!M48</f>
        <v>0</v>
      </c>
      <c r="L41" s="296">
        <f>'Products x speed'!N48</f>
        <v>0</v>
      </c>
      <c r="M41" s="296">
        <f>'Products x speed'!O48</f>
        <v>0</v>
      </c>
      <c r="N41" s="296" t="e">
        <f>'Products x speed'!#REF!</f>
        <v>#REF!</v>
      </c>
      <c r="O41" s="296" t="e">
        <f>'Products x speed'!#REF!</f>
        <v>#REF!</v>
      </c>
      <c r="P41" s="296" t="e">
        <f>'Products x speed'!#REF!</f>
        <v>#REF!</v>
      </c>
      <c r="Q41" s="296" t="e">
        <f>'Products x speed'!#REF!</f>
        <v>#REF!</v>
      </c>
      <c r="S41" s="297" t="str">
        <f>S35</f>
        <v>Total volume</v>
      </c>
      <c r="T41" s="296">
        <f>'Products x speed'!E67</f>
        <v>0</v>
      </c>
      <c r="U41" s="296">
        <f>'Products x speed'!F67</f>
        <v>0</v>
      </c>
      <c r="V41" s="296">
        <f>'Products x speed'!G67</f>
        <v>0</v>
      </c>
      <c r="W41" s="296">
        <f>'Products x speed'!H67</f>
        <v>0</v>
      </c>
      <c r="X41" s="296">
        <f>'Products x speed'!I67</f>
        <v>0</v>
      </c>
      <c r="Y41" s="296">
        <f>'Products x speed'!J67</f>
        <v>0</v>
      </c>
      <c r="Z41" s="296">
        <f>'Products x speed'!K67</f>
        <v>0</v>
      </c>
      <c r="AA41" s="296">
        <f>'Products x speed'!L67</f>
        <v>0</v>
      </c>
      <c r="AB41" s="296">
        <f>'Products x speed'!M67</f>
        <v>0</v>
      </c>
      <c r="AC41" s="296">
        <f>'Products x speed'!N67</f>
        <v>0</v>
      </c>
      <c r="AD41" s="296">
        <f>'Products x speed'!O67</f>
        <v>0</v>
      </c>
      <c r="AE41" s="296" t="e">
        <f>'Products x speed'!#REF!</f>
        <v>#REF!</v>
      </c>
      <c r="AF41" s="296" t="e">
        <f>'Products x speed'!#REF!</f>
        <v>#REF!</v>
      </c>
      <c r="AG41" s="296" t="e">
        <f>'Products x speed'!#REF!</f>
        <v>#REF!</v>
      </c>
      <c r="AH41" s="296" t="e">
        <f>'Products x speed'!#REF!</f>
        <v>#REF!</v>
      </c>
    </row>
    <row r="42" spans="2:37">
      <c r="B42" s="605" t="str">
        <f>B36</f>
        <v>Volume QSFP28</v>
      </c>
      <c r="C42" s="500">
        <f t="shared" ref="C42:L42" si="16">C41-C43</f>
        <v>0</v>
      </c>
      <c r="D42" s="500">
        <f t="shared" si="16"/>
        <v>0</v>
      </c>
      <c r="E42" s="500">
        <f t="shared" si="16"/>
        <v>0</v>
      </c>
      <c r="F42" s="500">
        <f t="shared" si="16"/>
        <v>0</v>
      </c>
      <c r="G42" s="500">
        <f t="shared" si="16"/>
        <v>0</v>
      </c>
      <c r="H42" s="500">
        <f t="shared" si="16"/>
        <v>0</v>
      </c>
      <c r="I42" s="500">
        <f t="shared" si="16"/>
        <v>0</v>
      </c>
      <c r="J42" s="500">
        <f t="shared" si="16"/>
        <v>0</v>
      </c>
      <c r="K42" s="500">
        <f t="shared" si="16"/>
        <v>0</v>
      </c>
      <c r="L42" s="500">
        <f t="shared" si="16"/>
        <v>0</v>
      </c>
      <c r="M42" s="500">
        <f t="shared" ref="M42:Q42" si="17">M41-M43</f>
        <v>0</v>
      </c>
      <c r="N42" s="500" t="e">
        <f t="shared" si="17"/>
        <v>#REF!</v>
      </c>
      <c r="O42" s="500" t="e">
        <f t="shared" si="17"/>
        <v>#REF!</v>
      </c>
      <c r="P42" s="500" t="e">
        <f t="shared" si="17"/>
        <v>#REF!</v>
      </c>
      <c r="Q42" s="500" t="e">
        <f t="shared" si="17"/>
        <v>#REF!</v>
      </c>
      <c r="S42" s="605" t="str">
        <f>S36</f>
        <v>Volume all other</v>
      </c>
      <c r="T42" s="500">
        <f t="shared" ref="T42:AC42" si="18">T41-T43</f>
        <v>0</v>
      </c>
      <c r="U42" s="500">
        <f t="shared" si="18"/>
        <v>0</v>
      </c>
      <c r="V42" s="500">
        <f t="shared" si="18"/>
        <v>0</v>
      </c>
      <c r="W42" s="500">
        <f t="shared" si="18"/>
        <v>0</v>
      </c>
      <c r="X42" s="500">
        <f t="shared" si="18"/>
        <v>0</v>
      </c>
      <c r="Y42" s="500">
        <f t="shared" si="18"/>
        <v>0</v>
      </c>
      <c r="Z42" s="500">
        <f t="shared" si="18"/>
        <v>0</v>
      </c>
      <c r="AA42" s="500">
        <f t="shared" si="18"/>
        <v>0</v>
      </c>
      <c r="AB42" s="500">
        <f t="shared" si="18"/>
        <v>0</v>
      </c>
      <c r="AC42" s="500">
        <f t="shared" si="18"/>
        <v>0</v>
      </c>
      <c r="AD42" s="500">
        <f t="shared" ref="AD42:AH42" si="19">AD41-AD43</f>
        <v>0</v>
      </c>
      <c r="AE42" s="500" t="e">
        <f t="shared" si="19"/>
        <v>#REF!</v>
      </c>
      <c r="AF42" s="500" t="e">
        <f t="shared" si="19"/>
        <v>#REF!</v>
      </c>
      <c r="AG42" s="500" t="e">
        <f t="shared" si="19"/>
        <v>#REF!</v>
      </c>
      <c r="AH42" s="500" t="e">
        <f t="shared" si="19"/>
        <v>#REF!</v>
      </c>
      <c r="AJ42" s="50"/>
      <c r="AK42" s="50"/>
    </row>
    <row r="43" spans="2:37">
      <c r="B43" s="605" t="str">
        <f>B37</f>
        <v>Volume SFP112</v>
      </c>
      <c r="C43" s="500">
        <f t="shared" ref="C43:L43" si="20">C41*C44</f>
        <v>0</v>
      </c>
      <c r="D43" s="500">
        <f t="shared" si="20"/>
        <v>0</v>
      </c>
      <c r="E43" s="500">
        <f t="shared" si="20"/>
        <v>0</v>
      </c>
      <c r="F43" s="500">
        <f t="shared" si="20"/>
        <v>0</v>
      </c>
      <c r="G43" s="500">
        <f t="shared" si="20"/>
        <v>0</v>
      </c>
      <c r="H43" s="500">
        <f t="shared" si="20"/>
        <v>0</v>
      </c>
      <c r="I43" s="500">
        <f t="shared" si="20"/>
        <v>0</v>
      </c>
      <c r="J43" s="500">
        <f t="shared" si="20"/>
        <v>0</v>
      </c>
      <c r="K43" s="500">
        <f t="shared" si="20"/>
        <v>0</v>
      </c>
      <c r="L43" s="500">
        <f t="shared" si="20"/>
        <v>0</v>
      </c>
      <c r="M43" s="500">
        <f t="shared" ref="M43:Q43" si="21">M41*M44</f>
        <v>0</v>
      </c>
      <c r="N43" s="500" t="e">
        <f t="shared" si="21"/>
        <v>#REF!</v>
      </c>
      <c r="O43" s="500" t="e">
        <f t="shared" si="21"/>
        <v>#REF!</v>
      </c>
      <c r="P43" s="500" t="e">
        <f t="shared" si="21"/>
        <v>#REF!</v>
      </c>
      <c r="Q43" s="500" t="e">
        <f t="shared" si="21"/>
        <v>#REF!</v>
      </c>
      <c r="S43" s="605" t="str">
        <f>S37</f>
        <v>Volume QSFP112</v>
      </c>
      <c r="T43" s="500">
        <f t="shared" ref="T43:AC43" si="22">T41*T44</f>
        <v>0</v>
      </c>
      <c r="U43" s="500">
        <f t="shared" si="22"/>
        <v>0</v>
      </c>
      <c r="V43" s="500">
        <f t="shared" si="22"/>
        <v>0</v>
      </c>
      <c r="W43" s="500">
        <f t="shared" si="22"/>
        <v>0</v>
      </c>
      <c r="X43" s="500">
        <f t="shared" si="22"/>
        <v>0</v>
      </c>
      <c r="Y43" s="500">
        <f t="shared" si="22"/>
        <v>0</v>
      </c>
      <c r="Z43" s="500">
        <f t="shared" si="22"/>
        <v>0</v>
      </c>
      <c r="AA43" s="500">
        <f t="shared" si="22"/>
        <v>0</v>
      </c>
      <c r="AB43" s="500">
        <f t="shared" si="22"/>
        <v>0</v>
      </c>
      <c r="AC43" s="500">
        <f t="shared" si="22"/>
        <v>0</v>
      </c>
      <c r="AD43" s="500">
        <f t="shared" ref="AD43:AH43" si="23">AD41*AD44</f>
        <v>0</v>
      </c>
      <c r="AE43" s="500" t="e">
        <f t="shared" si="23"/>
        <v>#REF!</v>
      </c>
      <c r="AF43" s="500" t="e">
        <f t="shared" si="23"/>
        <v>#REF!</v>
      </c>
      <c r="AG43" s="500" t="e">
        <f t="shared" si="23"/>
        <v>#REF!</v>
      </c>
      <c r="AH43" s="500" t="e">
        <f t="shared" si="23"/>
        <v>#REF!</v>
      </c>
      <c r="AJ43" s="50"/>
      <c r="AK43" s="50"/>
    </row>
    <row r="44" spans="2:37">
      <c r="B44" s="606" t="str">
        <f>B38</f>
        <v>Percent SFP112</v>
      </c>
      <c r="C44" s="591">
        <v>0</v>
      </c>
      <c r="D44" s="591">
        <v>0</v>
      </c>
      <c r="E44" s="591">
        <v>0</v>
      </c>
      <c r="F44" s="591">
        <v>0</v>
      </c>
      <c r="G44" s="591">
        <v>0</v>
      </c>
      <c r="H44" s="591">
        <v>0</v>
      </c>
      <c r="I44" s="591">
        <v>0.02</v>
      </c>
      <c r="J44" s="591">
        <v>0.05</v>
      </c>
      <c r="K44" s="591">
        <v>0.2</v>
      </c>
      <c r="L44" s="591">
        <v>0.4</v>
      </c>
      <c r="M44" s="591">
        <v>0.5</v>
      </c>
      <c r="N44" s="591">
        <v>2.4</v>
      </c>
      <c r="O44" s="591">
        <v>3.4</v>
      </c>
      <c r="P44" s="591">
        <v>4.4000000000000004</v>
      </c>
      <c r="Q44" s="591">
        <v>5.4</v>
      </c>
      <c r="S44" s="606" t="str">
        <f>S38</f>
        <v>Percent QSFP112</v>
      </c>
      <c r="T44" s="591">
        <v>0</v>
      </c>
      <c r="U44" s="591">
        <v>0</v>
      </c>
      <c r="V44" s="591">
        <v>0</v>
      </c>
      <c r="W44" s="591">
        <v>0</v>
      </c>
      <c r="X44" s="591">
        <v>0</v>
      </c>
      <c r="Y44" s="591">
        <v>0</v>
      </c>
      <c r="Z44" s="591">
        <f>Z38</f>
        <v>0.02</v>
      </c>
      <c r="AA44" s="591">
        <f>AA38</f>
        <v>0.05</v>
      </c>
      <c r="AB44" s="591">
        <f>AB38</f>
        <v>0.2</v>
      </c>
      <c r="AC44" s="591">
        <f>AC38</f>
        <v>0.4</v>
      </c>
      <c r="AD44" s="591">
        <f t="shared" ref="AD44:AH44" si="24">AD38</f>
        <v>0.55000000000000004</v>
      </c>
      <c r="AE44" s="591">
        <f t="shared" si="24"/>
        <v>2.4</v>
      </c>
      <c r="AF44" s="591">
        <f t="shared" si="24"/>
        <v>3.4</v>
      </c>
      <c r="AG44" s="591">
        <f t="shared" si="24"/>
        <v>4.4000000000000004</v>
      </c>
      <c r="AH44" s="591">
        <f t="shared" si="24"/>
        <v>5.4</v>
      </c>
      <c r="AJ44" s="50"/>
      <c r="AK44" s="50"/>
    </row>
    <row r="45" spans="2:37">
      <c r="B45" s="281"/>
      <c r="C45" s="499"/>
      <c r="D45" s="499"/>
      <c r="E45" s="499"/>
      <c r="F45" s="499"/>
      <c r="G45" s="499"/>
      <c r="H45" s="499"/>
      <c r="I45" s="499"/>
      <c r="J45" s="499"/>
      <c r="K45" s="499"/>
      <c r="L45" s="499"/>
      <c r="M45" s="499"/>
      <c r="N45" s="499"/>
      <c r="O45" s="499"/>
      <c r="P45" s="499"/>
      <c r="Q45" s="499"/>
      <c r="S45" s="281"/>
      <c r="T45" s="499"/>
      <c r="U45" s="499"/>
      <c r="V45" s="499"/>
      <c r="W45" s="499"/>
      <c r="X45" s="499"/>
      <c r="Y45" s="499"/>
      <c r="Z45" s="499"/>
      <c r="AA45" s="499"/>
      <c r="AB45" s="499"/>
      <c r="AC45" s="499"/>
      <c r="AD45" s="499"/>
      <c r="AE45" s="499"/>
      <c r="AF45" s="499"/>
      <c r="AG45" s="499"/>
      <c r="AH45" s="499"/>
      <c r="AJ45" s="50"/>
      <c r="AK45" s="50"/>
    </row>
    <row r="46" spans="2:37">
      <c r="B46" s="80" t="s">
        <v>358</v>
      </c>
      <c r="C46" s="592">
        <v>2016</v>
      </c>
      <c r="D46" s="592">
        <v>2017</v>
      </c>
      <c r="E46" s="592">
        <v>2018</v>
      </c>
      <c r="F46" s="592">
        <v>2019</v>
      </c>
      <c r="G46" s="592">
        <v>2020</v>
      </c>
      <c r="H46" s="592">
        <v>2021</v>
      </c>
      <c r="I46" s="592">
        <v>2022</v>
      </c>
      <c r="J46" s="592">
        <v>2023</v>
      </c>
      <c r="K46" s="592">
        <v>2024</v>
      </c>
      <c r="L46" s="592">
        <v>2025</v>
      </c>
      <c r="M46" s="592">
        <v>2026</v>
      </c>
      <c r="N46" s="592">
        <v>2027</v>
      </c>
      <c r="O46" s="592">
        <v>2028</v>
      </c>
      <c r="P46" s="592">
        <v>2029</v>
      </c>
      <c r="Q46" s="592">
        <v>2030</v>
      </c>
      <c r="S46" s="80" t="s">
        <v>383</v>
      </c>
      <c r="T46" s="592">
        <v>2016</v>
      </c>
      <c r="U46" s="592">
        <v>2017</v>
      </c>
      <c r="V46" s="592">
        <v>2018</v>
      </c>
      <c r="W46" s="592">
        <v>2019</v>
      </c>
      <c r="X46" s="592">
        <v>2020</v>
      </c>
      <c r="Y46" s="592">
        <v>2021</v>
      </c>
      <c r="Z46" s="592">
        <v>2022</v>
      </c>
      <c r="AA46" s="592">
        <v>2023</v>
      </c>
      <c r="AB46" s="592">
        <v>2024</v>
      </c>
      <c r="AC46" s="592">
        <v>2025</v>
      </c>
      <c r="AD46" s="592">
        <v>2026</v>
      </c>
      <c r="AE46" s="592">
        <v>2027</v>
      </c>
      <c r="AF46" s="592">
        <v>2028</v>
      </c>
      <c r="AG46" s="592">
        <v>2029</v>
      </c>
      <c r="AH46" s="592">
        <v>2030</v>
      </c>
      <c r="AJ46" s="50"/>
      <c r="AK46" s="50"/>
    </row>
    <row r="47" spans="2:37">
      <c r="B47" s="297" t="str">
        <f>B35</f>
        <v>Total volume</v>
      </c>
      <c r="C47" s="296">
        <f>'Products x speed'!E51</f>
        <v>0</v>
      </c>
      <c r="D47" s="296">
        <f>'Products x speed'!F51</f>
        <v>0</v>
      </c>
      <c r="E47" s="296">
        <f>'Products x speed'!G51</f>
        <v>0</v>
      </c>
      <c r="F47" s="296">
        <f>'Products x speed'!H51</f>
        <v>0</v>
      </c>
      <c r="G47" s="296">
        <f>'Products x speed'!I51</f>
        <v>0</v>
      </c>
      <c r="H47" s="296">
        <f>'Products x speed'!J51</f>
        <v>0</v>
      </c>
      <c r="I47" s="296">
        <f>'Products x speed'!K51</f>
        <v>0</v>
      </c>
      <c r="J47" s="296">
        <f>'Products x speed'!L51</f>
        <v>0</v>
      </c>
      <c r="K47" s="296">
        <f>'Products x speed'!M51</f>
        <v>0</v>
      </c>
      <c r="L47" s="296">
        <f>'Products x speed'!N51</f>
        <v>0</v>
      </c>
      <c r="M47" s="296">
        <f>'Products x speed'!O51</f>
        <v>0</v>
      </c>
      <c r="N47" s="296" t="e">
        <f>'Products x speed'!#REF!</f>
        <v>#REF!</v>
      </c>
      <c r="O47" s="296" t="e">
        <f>'Products x speed'!#REF!</f>
        <v>#REF!</v>
      </c>
      <c r="P47" s="296" t="e">
        <f>'Products x speed'!#REF!</f>
        <v>#REF!</v>
      </c>
      <c r="Q47" s="296" t="e">
        <f>'Products x speed'!#REF!</f>
        <v>#REF!</v>
      </c>
      <c r="S47" s="297" t="str">
        <f>S35</f>
        <v>Total volume</v>
      </c>
      <c r="T47" s="296">
        <f>'Products x speed'!E68+'Products x speed'!E69</f>
        <v>0</v>
      </c>
      <c r="U47" s="296">
        <f>'Products x speed'!F68+'Products x speed'!F69</f>
        <v>7</v>
      </c>
      <c r="V47" s="296">
        <f>'Products x speed'!G68+'Products x speed'!G69</f>
        <v>0</v>
      </c>
      <c r="W47" s="296">
        <f>'Products x speed'!H68+'Products x speed'!H69</f>
        <v>0</v>
      </c>
      <c r="X47" s="296">
        <f>'Products x speed'!I68+'Products x speed'!I69</f>
        <v>0</v>
      </c>
      <c r="Y47" s="296">
        <f>'Products x speed'!J68+'Products x speed'!J69</f>
        <v>0</v>
      </c>
      <c r="Z47" s="296">
        <f>'Products x speed'!K68+'Products x speed'!K69</f>
        <v>0</v>
      </c>
      <c r="AA47" s="296">
        <f>'Products x speed'!L68+'Products x speed'!L69</f>
        <v>0</v>
      </c>
      <c r="AB47" s="296">
        <f>'Products x speed'!M68+'Products x speed'!M69</f>
        <v>0</v>
      </c>
      <c r="AC47" s="296">
        <f>'Products x speed'!N68+'Products x speed'!N69</f>
        <v>0</v>
      </c>
      <c r="AD47" s="296">
        <f>'Products x speed'!O68+'Products x speed'!O69</f>
        <v>0</v>
      </c>
      <c r="AE47" s="296" t="e">
        <f>'Products x speed'!#REF!+'Products x speed'!#REF!</f>
        <v>#REF!</v>
      </c>
      <c r="AF47" s="296" t="e">
        <f>'Products x speed'!#REF!+'Products x speed'!#REF!</f>
        <v>#REF!</v>
      </c>
      <c r="AG47" s="296" t="e">
        <f>'Products x speed'!#REF!+'Products x speed'!#REF!</f>
        <v>#REF!</v>
      </c>
      <c r="AH47" s="296" t="e">
        <f>'Products x speed'!#REF!+'Products x speed'!#REF!</f>
        <v>#REF!</v>
      </c>
    </row>
    <row r="48" spans="2:37">
      <c r="B48" s="605" t="str">
        <f>B36</f>
        <v>Volume QSFP28</v>
      </c>
      <c r="C48" s="500">
        <f t="shared" ref="C48:L48" si="25">C47-C49</f>
        <v>0</v>
      </c>
      <c r="D48" s="500">
        <f t="shared" si="25"/>
        <v>0</v>
      </c>
      <c r="E48" s="500">
        <f t="shared" si="25"/>
        <v>0</v>
      </c>
      <c r="F48" s="500">
        <f t="shared" si="25"/>
        <v>0</v>
      </c>
      <c r="G48" s="500">
        <f t="shared" si="25"/>
        <v>0</v>
      </c>
      <c r="H48" s="500">
        <f t="shared" si="25"/>
        <v>0</v>
      </c>
      <c r="I48" s="500">
        <f t="shared" si="25"/>
        <v>0</v>
      </c>
      <c r="J48" s="500">
        <f t="shared" si="25"/>
        <v>0</v>
      </c>
      <c r="K48" s="500">
        <f t="shared" si="25"/>
        <v>0</v>
      </c>
      <c r="L48" s="500">
        <f t="shared" si="25"/>
        <v>0</v>
      </c>
      <c r="M48" s="500">
        <f t="shared" ref="M48:Q48" si="26">M47-M49</f>
        <v>0</v>
      </c>
      <c r="N48" s="500" t="e">
        <f t="shared" si="26"/>
        <v>#REF!</v>
      </c>
      <c r="O48" s="500" t="e">
        <f t="shared" si="26"/>
        <v>#REF!</v>
      </c>
      <c r="P48" s="500" t="e">
        <f t="shared" si="26"/>
        <v>#REF!</v>
      </c>
      <c r="Q48" s="500" t="e">
        <f t="shared" si="26"/>
        <v>#REF!</v>
      </c>
      <c r="S48" s="605" t="str">
        <f>S36</f>
        <v>Volume all other</v>
      </c>
      <c r="T48" s="500">
        <f t="shared" ref="T48:AC48" si="27">T47-T49</f>
        <v>0</v>
      </c>
      <c r="U48" s="500">
        <f t="shared" si="27"/>
        <v>7</v>
      </c>
      <c r="V48" s="500">
        <f t="shared" si="27"/>
        <v>0</v>
      </c>
      <c r="W48" s="500">
        <f t="shared" si="27"/>
        <v>0</v>
      </c>
      <c r="X48" s="500">
        <f t="shared" si="27"/>
        <v>0</v>
      </c>
      <c r="Y48" s="500">
        <f t="shared" si="27"/>
        <v>0</v>
      </c>
      <c r="Z48" s="500">
        <f t="shared" si="27"/>
        <v>0</v>
      </c>
      <c r="AA48" s="500">
        <f t="shared" si="27"/>
        <v>0</v>
      </c>
      <c r="AB48" s="500">
        <f t="shared" si="27"/>
        <v>0</v>
      </c>
      <c r="AC48" s="500">
        <f t="shared" si="27"/>
        <v>0</v>
      </c>
      <c r="AD48" s="500">
        <f t="shared" ref="AD48:AH48" si="28">AD47-AD49</f>
        <v>0</v>
      </c>
      <c r="AE48" s="500" t="e">
        <f t="shared" si="28"/>
        <v>#REF!</v>
      </c>
      <c r="AF48" s="500" t="e">
        <f t="shared" si="28"/>
        <v>#REF!</v>
      </c>
      <c r="AG48" s="500" t="e">
        <f t="shared" si="28"/>
        <v>#REF!</v>
      </c>
      <c r="AH48" s="500" t="e">
        <f t="shared" si="28"/>
        <v>#REF!</v>
      </c>
      <c r="AJ48" s="50"/>
      <c r="AK48" s="50"/>
    </row>
    <row r="49" spans="2:37">
      <c r="B49" s="605" t="str">
        <f>B37</f>
        <v>Volume SFP112</v>
      </c>
      <c r="C49" s="500">
        <f t="shared" ref="C49:L49" si="29">C47*C50</f>
        <v>0</v>
      </c>
      <c r="D49" s="500">
        <f t="shared" si="29"/>
        <v>0</v>
      </c>
      <c r="E49" s="500">
        <f t="shared" si="29"/>
        <v>0</v>
      </c>
      <c r="F49" s="500">
        <f t="shared" si="29"/>
        <v>0</v>
      </c>
      <c r="G49" s="500">
        <f t="shared" si="29"/>
        <v>0</v>
      </c>
      <c r="H49" s="500">
        <f t="shared" si="29"/>
        <v>0</v>
      </c>
      <c r="I49" s="500">
        <f t="shared" si="29"/>
        <v>0</v>
      </c>
      <c r="J49" s="500">
        <f t="shared" si="29"/>
        <v>0</v>
      </c>
      <c r="K49" s="500">
        <f t="shared" si="29"/>
        <v>0</v>
      </c>
      <c r="L49" s="500">
        <f t="shared" si="29"/>
        <v>0</v>
      </c>
      <c r="M49" s="500">
        <f t="shared" ref="M49:Q49" si="30">M47*M50</f>
        <v>0</v>
      </c>
      <c r="N49" s="500" t="e">
        <f t="shared" si="30"/>
        <v>#REF!</v>
      </c>
      <c r="O49" s="500" t="e">
        <f t="shared" si="30"/>
        <v>#REF!</v>
      </c>
      <c r="P49" s="500" t="e">
        <f t="shared" si="30"/>
        <v>#REF!</v>
      </c>
      <c r="Q49" s="500" t="e">
        <f t="shared" si="30"/>
        <v>#REF!</v>
      </c>
      <c r="S49" s="605" t="str">
        <f>S37</f>
        <v>Volume QSFP112</v>
      </c>
      <c r="T49" s="500">
        <f t="shared" ref="T49:AC49" si="31">T47*T50</f>
        <v>0</v>
      </c>
      <c r="U49" s="500">
        <f t="shared" si="31"/>
        <v>0</v>
      </c>
      <c r="V49" s="500">
        <f t="shared" si="31"/>
        <v>0</v>
      </c>
      <c r="W49" s="500">
        <f t="shared" si="31"/>
        <v>0</v>
      </c>
      <c r="X49" s="500">
        <f t="shared" si="31"/>
        <v>0</v>
      </c>
      <c r="Y49" s="500">
        <f t="shared" si="31"/>
        <v>0</v>
      </c>
      <c r="Z49" s="500">
        <f t="shared" si="31"/>
        <v>0</v>
      </c>
      <c r="AA49" s="500">
        <f t="shared" si="31"/>
        <v>0</v>
      </c>
      <c r="AB49" s="500">
        <f t="shared" si="31"/>
        <v>0</v>
      </c>
      <c r="AC49" s="500">
        <f t="shared" si="31"/>
        <v>0</v>
      </c>
      <c r="AD49" s="500">
        <f t="shared" ref="AD49:AH49" si="32">AD47*AD50</f>
        <v>0</v>
      </c>
      <c r="AE49" s="500" t="e">
        <f t="shared" si="32"/>
        <v>#REF!</v>
      </c>
      <c r="AF49" s="500" t="e">
        <f t="shared" si="32"/>
        <v>#REF!</v>
      </c>
      <c r="AG49" s="500" t="e">
        <f t="shared" si="32"/>
        <v>#REF!</v>
      </c>
      <c r="AH49" s="500" t="e">
        <f t="shared" si="32"/>
        <v>#REF!</v>
      </c>
      <c r="AJ49" s="50"/>
      <c r="AK49" s="50"/>
    </row>
    <row r="50" spans="2:37">
      <c r="B50" s="606" t="str">
        <f>B38</f>
        <v>Percent SFP112</v>
      </c>
      <c r="C50" s="591">
        <v>0</v>
      </c>
      <c r="D50" s="591">
        <v>0</v>
      </c>
      <c r="E50" s="591">
        <v>0</v>
      </c>
      <c r="F50" s="591">
        <v>0</v>
      </c>
      <c r="G50" s="591">
        <v>0</v>
      </c>
      <c r="H50" s="591">
        <v>0</v>
      </c>
      <c r="I50" s="591">
        <f>I38</f>
        <v>0.02</v>
      </c>
      <c r="J50" s="591">
        <f>J38</f>
        <v>0.05</v>
      </c>
      <c r="K50" s="591">
        <f>K38</f>
        <v>0.2</v>
      </c>
      <c r="L50" s="591">
        <f>L38</f>
        <v>0.4</v>
      </c>
      <c r="M50" s="591">
        <v>0.5</v>
      </c>
      <c r="N50" s="591">
        <f t="shared" ref="N50:Q50" si="33">N38</f>
        <v>2.4</v>
      </c>
      <c r="O50" s="591">
        <f t="shared" si="33"/>
        <v>3.4</v>
      </c>
      <c r="P50" s="591">
        <f t="shared" si="33"/>
        <v>4.4000000000000004</v>
      </c>
      <c r="Q50" s="591">
        <f t="shared" si="33"/>
        <v>5.4</v>
      </c>
      <c r="S50" s="606" t="str">
        <f>S38</f>
        <v>Percent QSFP112</v>
      </c>
      <c r="T50" s="591">
        <v>0</v>
      </c>
      <c r="U50" s="591">
        <v>0</v>
      </c>
      <c r="V50" s="591">
        <v>0</v>
      </c>
      <c r="W50" s="591">
        <v>0</v>
      </c>
      <c r="X50" s="591">
        <v>0</v>
      </c>
      <c r="Y50" s="591">
        <v>0</v>
      </c>
      <c r="Z50" s="591">
        <f>Z38</f>
        <v>0.02</v>
      </c>
      <c r="AA50" s="591">
        <f>AA38</f>
        <v>0.05</v>
      </c>
      <c r="AB50" s="591">
        <f>AB38</f>
        <v>0.2</v>
      </c>
      <c r="AC50" s="591">
        <f>AC38</f>
        <v>0.4</v>
      </c>
      <c r="AD50" s="591">
        <f t="shared" ref="AD50:AH50" si="34">AD38</f>
        <v>0.55000000000000004</v>
      </c>
      <c r="AE50" s="591">
        <f t="shared" si="34"/>
        <v>2.4</v>
      </c>
      <c r="AF50" s="591">
        <f t="shared" si="34"/>
        <v>3.4</v>
      </c>
      <c r="AG50" s="591">
        <f t="shared" si="34"/>
        <v>4.4000000000000004</v>
      </c>
      <c r="AH50" s="591">
        <f t="shared" si="34"/>
        <v>5.4</v>
      </c>
      <c r="AJ50" s="50"/>
      <c r="AK50" s="50"/>
    </row>
    <row r="52" spans="2:37">
      <c r="B52" s="80" t="s">
        <v>376</v>
      </c>
      <c r="C52" s="592">
        <v>2016</v>
      </c>
      <c r="D52" s="592">
        <v>2017</v>
      </c>
      <c r="E52" s="592">
        <v>2018</v>
      </c>
      <c r="F52" s="592">
        <v>2019</v>
      </c>
      <c r="G52" s="592">
        <v>2020</v>
      </c>
      <c r="H52" s="592">
        <v>2021</v>
      </c>
      <c r="I52" s="592">
        <v>2022</v>
      </c>
      <c r="J52" s="592">
        <v>2023</v>
      </c>
      <c r="K52" s="592">
        <v>2024</v>
      </c>
      <c r="L52" s="592">
        <v>2025</v>
      </c>
      <c r="M52" s="592">
        <v>2026</v>
      </c>
      <c r="N52" s="592">
        <v>2027</v>
      </c>
      <c r="O52" s="592">
        <v>2028</v>
      </c>
      <c r="P52" s="592">
        <v>2029</v>
      </c>
      <c r="Q52" s="592">
        <v>2030</v>
      </c>
      <c r="S52" s="80" t="s">
        <v>384</v>
      </c>
      <c r="T52" s="592">
        <v>2016</v>
      </c>
      <c r="U52" s="592">
        <v>2017</v>
      </c>
      <c r="V52" s="592">
        <v>2018</v>
      </c>
      <c r="W52" s="592">
        <v>2019</v>
      </c>
      <c r="X52" s="592">
        <v>2020</v>
      </c>
      <c r="Y52" s="592">
        <v>2021</v>
      </c>
      <c r="Z52" s="592">
        <v>2022</v>
      </c>
      <c r="AA52" s="592">
        <v>2023</v>
      </c>
      <c r="AB52" s="592">
        <v>2024</v>
      </c>
      <c r="AC52" s="592">
        <v>2025</v>
      </c>
      <c r="AD52" s="592">
        <v>2026</v>
      </c>
      <c r="AE52" s="592">
        <v>2027</v>
      </c>
      <c r="AF52" s="592">
        <v>2028</v>
      </c>
      <c r="AG52" s="592">
        <v>2029</v>
      </c>
      <c r="AH52" s="592">
        <v>2030</v>
      </c>
      <c r="AJ52" s="50"/>
      <c r="AK52" s="50"/>
    </row>
    <row r="53" spans="2:37">
      <c r="B53" s="297" t="str">
        <f>B35</f>
        <v>Total volume</v>
      </c>
      <c r="C53" s="296">
        <f>'Products x speed'!E54</f>
        <v>90443</v>
      </c>
      <c r="D53" s="296">
        <f>'Products x speed'!F54</f>
        <v>362352</v>
      </c>
      <c r="E53" s="296">
        <f>'Products x speed'!G54</f>
        <v>0</v>
      </c>
      <c r="F53" s="296">
        <f>'Products x speed'!H54</f>
        <v>0</v>
      </c>
      <c r="G53" s="296">
        <f>'Products x speed'!I54</f>
        <v>0</v>
      </c>
      <c r="H53" s="296">
        <f>'Products x speed'!J54</f>
        <v>0</v>
      </c>
      <c r="I53" s="296">
        <f>'Products x speed'!K54</f>
        <v>0</v>
      </c>
      <c r="J53" s="296">
        <f>'Products x speed'!L54</f>
        <v>0</v>
      </c>
      <c r="K53" s="296">
        <f>'Products x speed'!M54</f>
        <v>0</v>
      </c>
      <c r="L53" s="296">
        <f>'Products x speed'!N54</f>
        <v>0</v>
      </c>
      <c r="M53" s="296">
        <f>'Products x speed'!O54</f>
        <v>0</v>
      </c>
      <c r="N53" s="296" t="e">
        <f>'Products x speed'!#REF!</f>
        <v>#REF!</v>
      </c>
      <c r="O53" s="296" t="e">
        <f>'Products x speed'!#REF!</f>
        <v>#REF!</v>
      </c>
      <c r="P53" s="296" t="e">
        <f>'Products x speed'!#REF!</f>
        <v>#REF!</v>
      </c>
      <c r="Q53" s="296" t="e">
        <f>'Products x speed'!#REF!</f>
        <v>#REF!</v>
      </c>
      <c r="S53" s="297" t="str">
        <f>S35</f>
        <v>Total volume</v>
      </c>
      <c r="T53" s="296">
        <f>'Products x speed'!E70</f>
        <v>0</v>
      </c>
      <c r="U53" s="296">
        <f>'Products x speed'!F70</f>
        <v>82</v>
      </c>
      <c r="V53" s="296">
        <f>'Products x speed'!G70</f>
        <v>0</v>
      </c>
      <c r="W53" s="296">
        <f>'Products x speed'!H70</f>
        <v>0</v>
      </c>
      <c r="X53" s="296">
        <f>'Products x speed'!I70</f>
        <v>0</v>
      </c>
      <c r="Y53" s="296">
        <f>'Products x speed'!J70</f>
        <v>0</v>
      </c>
      <c r="Z53" s="296">
        <f>'Products x speed'!K70</f>
        <v>0</v>
      </c>
      <c r="AA53" s="296">
        <f>'Products x speed'!L70</f>
        <v>0</v>
      </c>
      <c r="AB53" s="296">
        <f>'Products x speed'!M70</f>
        <v>0</v>
      </c>
      <c r="AC53" s="296">
        <f>'Products x speed'!N70</f>
        <v>0</v>
      </c>
      <c r="AD53" s="296">
        <f>'Products x speed'!O70</f>
        <v>0</v>
      </c>
      <c r="AE53" s="296" t="e">
        <f>'Products x speed'!#REF!</f>
        <v>#REF!</v>
      </c>
      <c r="AF53" s="296" t="e">
        <f>'Products x speed'!#REF!</f>
        <v>#REF!</v>
      </c>
      <c r="AG53" s="296" t="e">
        <f>'Products x speed'!#REF!</f>
        <v>#REF!</v>
      </c>
      <c r="AH53" s="296" t="e">
        <f>'Products x speed'!#REF!</f>
        <v>#REF!</v>
      </c>
    </row>
    <row r="54" spans="2:37">
      <c r="B54" s="605" t="str">
        <f>B36</f>
        <v>Volume QSFP28</v>
      </c>
      <c r="C54" s="500">
        <f t="shared" ref="C54:L54" si="35">C53-C55</f>
        <v>90443</v>
      </c>
      <c r="D54" s="500">
        <f t="shared" si="35"/>
        <v>362352</v>
      </c>
      <c r="E54" s="500">
        <f t="shared" si="35"/>
        <v>0</v>
      </c>
      <c r="F54" s="500">
        <f t="shared" si="35"/>
        <v>0</v>
      </c>
      <c r="G54" s="500">
        <f t="shared" si="35"/>
        <v>0</v>
      </c>
      <c r="H54" s="500">
        <f t="shared" si="35"/>
        <v>0</v>
      </c>
      <c r="I54" s="500">
        <f t="shared" si="35"/>
        <v>0</v>
      </c>
      <c r="J54" s="500">
        <f t="shared" si="35"/>
        <v>0</v>
      </c>
      <c r="K54" s="500">
        <f t="shared" si="35"/>
        <v>0</v>
      </c>
      <c r="L54" s="500">
        <f t="shared" si="35"/>
        <v>0</v>
      </c>
      <c r="M54" s="500">
        <f t="shared" ref="M54:Q54" si="36">M53-M55</f>
        <v>0</v>
      </c>
      <c r="N54" s="500" t="e">
        <f t="shared" si="36"/>
        <v>#REF!</v>
      </c>
      <c r="O54" s="500" t="e">
        <f t="shared" si="36"/>
        <v>#REF!</v>
      </c>
      <c r="P54" s="500" t="e">
        <f t="shared" si="36"/>
        <v>#REF!</v>
      </c>
      <c r="Q54" s="500" t="e">
        <f t="shared" si="36"/>
        <v>#REF!</v>
      </c>
      <c r="S54" s="605" t="str">
        <f>S36</f>
        <v>Volume all other</v>
      </c>
      <c r="T54" s="500">
        <f t="shared" ref="T54:AC54" si="37">T53-T55</f>
        <v>0</v>
      </c>
      <c r="U54" s="500">
        <f t="shared" si="37"/>
        <v>82</v>
      </c>
      <c r="V54" s="500">
        <f t="shared" si="37"/>
        <v>0</v>
      </c>
      <c r="W54" s="500">
        <f t="shared" si="37"/>
        <v>0</v>
      </c>
      <c r="X54" s="500">
        <f t="shared" si="37"/>
        <v>0</v>
      </c>
      <c r="Y54" s="500">
        <f t="shared" si="37"/>
        <v>0</v>
      </c>
      <c r="Z54" s="500">
        <f t="shared" si="37"/>
        <v>0</v>
      </c>
      <c r="AA54" s="500">
        <f t="shared" si="37"/>
        <v>0</v>
      </c>
      <c r="AB54" s="500">
        <f t="shared" si="37"/>
        <v>0</v>
      </c>
      <c r="AC54" s="500">
        <f t="shared" si="37"/>
        <v>0</v>
      </c>
      <c r="AD54" s="500">
        <f t="shared" ref="AD54:AH54" si="38">AD53-AD55</f>
        <v>0</v>
      </c>
      <c r="AE54" s="500" t="e">
        <f t="shared" si="38"/>
        <v>#REF!</v>
      </c>
      <c r="AF54" s="500" t="e">
        <f t="shared" si="38"/>
        <v>#REF!</v>
      </c>
      <c r="AG54" s="500" t="e">
        <f t="shared" si="38"/>
        <v>#REF!</v>
      </c>
      <c r="AH54" s="500" t="e">
        <f t="shared" si="38"/>
        <v>#REF!</v>
      </c>
      <c r="AJ54" s="50"/>
      <c r="AK54" s="50"/>
    </row>
    <row r="55" spans="2:37">
      <c r="B55" s="605" t="str">
        <f>B37</f>
        <v>Volume SFP112</v>
      </c>
      <c r="C55" s="500">
        <f t="shared" ref="C55:L55" si="39">C53*C56</f>
        <v>0</v>
      </c>
      <c r="D55" s="500">
        <f t="shared" si="39"/>
        <v>0</v>
      </c>
      <c r="E55" s="500">
        <f t="shared" si="39"/>
        <v>0</v>
      </c>
      <c r="F55" s="500">
        <f t="shared" si="39"/>
        <v>0</v>
      </c>
      <c r="G55" s="500">
        <f t="shared" si="39"/>
        <v>0</v>
      </c>
      <c r="H55" s="500">
        <f t="shared" si="39"/>
        <v>0</v>
      </c>
      <c r="I55" s="500">
        <f t="shared" si="39"/>
        <v>0</v>
      </c>
      <c r="J55" s="500">
        <f t="shared" si="39"/>
        <v>0</v>
      </c>
      <c r="K55" s="500">
        <f t="shared" si="39"/>
        <v>0</v>
      </c>
      <c r="L55" s="500">
        <f t="shared" si="39"/>
        <v>0</v>
      </c>
      <c r="M55" s="500">
        <f t="shared" ref="M55:Q55" si="40">M53*M56</f>
        <v>0</v>
      </c>
      <c r="N55" s="500" t="e">
        <f t="shared" si="40"/>
        <v>#REF!</v>
      </c>
      <c r="O55" s="500" t="e">
        <f t="shared" si="40"/>
        <v>#REF!</v>
      </c>
      <c r="P55" s="500" t="e">
        <f t="shared" si="40"/>
        <v>#REF!</v>
      </c>
      <c r="Q55" s="500" t="e">
        <f t="shared" si="40"/>
        <v>#REF!</v>
      </c>
      <c r="S55" s="605" t="str">
        <f>S37</f>
        <v>Volume QSFP112</v>
      </c>
      <c r="T55" s="500">
        <f t="shared" ref="T55:AC55" si="41">T53*T56</f>
        <v>0</v>
      </c>
      <c r="U55" s="500">
        <f t="shared" si="41"/>
        <v>0</v>
      </c>
      <c r="V55" s="500">
        <f t="shared" si="41"/>
        <v>0</v>
      </c>
      <c r="W55" s="500">
        <f t="shared" si="41"/>
        <v>0</v>
      </c>
      <c r="X55" s="500">
        <f t="shared" si="41"/>
        <v>0</v>
      </c>
      <c r="Y55" s="500">
        <f t="shared" si="41"/>
        <v>0</v>
      </c>
      <c r="Z55" s="500">
        <f t="shared" si="41"/>
        <v>0</v>
      </c>
      <c r="AA55" s="500">
        <f t="shared" si="41"/>
        <v>0</v>
      </c>
      <c r="AB55" s="500">
        <f t="shared" si="41"/>
        <v>0</v>
      </c>
      <c r="AC55" s="500">
        <f t="shared" si="41"/>
        <v>0</v>
      </c>
      <c r="AD55" s="500">
        <f t="shared" ref="AD55:AH55" si="42">AD53*AD56</f>
        <v>0</v>
      </c>
      <c r="AE55" s="500" t="e">
        <f t="shared" si="42"/>
        <v>#REF!</v>
      </c>
      <c r="AF55" s="500" t="e">
        <f t="shared" si="42"/>
        <v>#REF!</v>
      </c>
      <c r="AG55" s="500" t="e">
        <f t="shared" si="42"/>
        <v>#REF!</v>
      </c>
      <c r="AH55" s="500" t="e">
        <f t="shared" si="42"/>
        <v>#REF!</v>
      </c>
      <c r="AJ55" s="50"/>
      <c r="AK55" s="50"/>
    </row>
    <row r="56" spans="2:37">
      <c r="B56" s="606" t="str">
        <f>B38</f>
        <v>Percent SFP112</v>
      </c>
      <c r="C56" s="591">
        <v>0</v>
      </c>
      <c r="D56" s="591">
        <v>0</v>
      </c>
      <c r="E56" s="591">
        <v>0</v>
      </c>
      <c r="F56" s="591">
        <v>0</v>
      </c>
      <c r="G56" s="591">
        <v>0</v>
      </c>
      <c r="H56" s="591">
        <v>0</v>
      </c>
      <c r="I56" s="591">
        <f>I38</f>
        <v>0.02</v>
      </c>
      <c r="J56" s="591">
        <f>J38</f>
        <v>0.05</v>
      </c>
      <c r="K56" s="591">
        <f>K38</f>
        <v>0.2</v>
      </c>
      <c r="L56" s="591">
        <f>L38</f>
        <v>0.4</v>
      </c>
      <c r="M56" s="591">
        <f t="shared" ref="M56:Q56" si="43">M38</f>
        <v>0.5</v>
      </c>
      <c r="N56" s="591">
        <f t="shared" si="43"/>
        <v>2.4</v>
      </c>
      <c r="O56" s="591">
        <f t="shared" si="43"/>
        <v>3.4</v>
      </c>
      <c r="P56" s="591">
        <f t="shared" si="43"/>
        <v>4.4000000000000004</v>
      </c>
      <c r="Q56" s="591">
        <f t="shared" si="43"/>
        <v>5.4</v>
      </c>
      <c r="S56" s="606" t="str">
        <f>S38</f>
        <v>Percent QSFP112</v>
      </c>
      <c r="T56" s="591">
        <v>0</v>
      </c>
      <c r="U56" s="591">
        <v>0</v>
      </c>
      <c r="V56" s="591">
        <v>0</v>
      </c>
      <c r="W56" s="591">
        <v>0</v>
      </c>
      <c r="X56" s="591">
        <v>0</v>
      </c>
      <c r="Y56" s="591">
        <v>0</v>
      </c>
      <c r="Z56" s="591">
        <f>Z38</f>
        <v>0.02</v>
      </c>
      <c r="AA56" s="591">
        <f>AA38</f>
        <v>0.05</v>
      </c>
      <c r="AB56" s="591">
        <f>AB38</f>
        <v>0.2</v>
      </c>
      <c r="AC56" s="591">
        <f>AC38</f>
        <v>0.4</v>
      </c>
      <c r="AD56" s="591">
        <f t="shared" ref="AD56:AH56" si="44">AD38</f>
        <v>0.55000000000000004</v>
      </c>
      <c r="AE56" s="591">
        <f t="shared" si="44"/>
        <v>2.4</v>
      </c>
      <c r="AF56" s="591">
        <f t="shared" si="44"/>
        <v>3.4</v>
      </c>
      <c r="AG56" s="591">
        <f t="shared" si="44"/>
        <v>4.4000000000000004</v>
      </c>
      <c r="AH56" s="591">
        <f t="shared" si="44"/>
        <v>5.4</v>
      </c>
      <c r="AJ56" s="50"/>
      <c r="AK56" s="50"/>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Y188"/>
  <sheetViews>
    <sheetView showGridLines="0" zoomScale="70" zoomScaleNormal="70" zoomScalePageLayoutView="60" workbookViewId="0"/>
  </sheetViews>
  <sheetFormatPr defaultColWidth="8.77734375" defaultRowHeight="13.8"/>
  <cols>
    <col min="1" max="1" width="4.44140625" style="117" customWidth="1"/>
    <col min="2" max="2" width="29.44140625" style="117" customWidth="1"/>
    <col min="3" max="3" width="11.21875" style="117" customWidth="1"/>
    <col min="4" max="4" width="14.77734375" style="117" customWidth="1"/>
    <col min="5" max="8" width="11.21875" style="117" customWidth="1"/>
    <col min="9" max="9" width="12.44140625" style="117" customWidth="1"/>
    <col min="10" max="14" width="12.21875" style="117" customWidth="1"/>
    <col min="15" max="16" width="11.77734375" style="117" customWidth="1"/>
    <col min="17" max="21" width="14.77734375" style="117" customWidth="1"/>
    <col min="22" max="23" width="11" style="117" bestFit="1" customWidth="1"/>
    <col min="24" max="27" width="9" style="117" bestFit="1" customWidth="1"/>
    <col min="28" max="16384" width="8.77734375" style="117"/>
  </cols>
  <sheetData>
    <row r="1" spans="1:23">
      <c r="A1" s="133"/>
      <c r="B1" s="133"/>
      <c r="C1" s="133"/>
      <c r="D1" s="133"/>
      <c r="E1" s="133"/>
      <c r="F1" s="133"/>
      <c r="G1" s="133"/>
      <c r="H1" s="133"/>
      <c r="I1" s="133"/>
      <c r="J1" s="133"/>
      <c r="K1" s="133"/>
      <c r="L1" s="133"/>
      <c r="M1" s="133"/>
      <c r="N1" s="133"/>
      <c r="O1" s="133"/>
      <c r="P1" s="133"/>
      <c r="Q1" s="133"/>
      <c r="R1" s="133"/>
    </row>
    <row r="2" spans="1:23" ht="18">
      <c r="A2" s="62"/>
      <c r="B2" s="6" t="str">
        <f>Introduction!$B$2</f>
        <v>LightCounting Ethernet Transceivers Forecast</v>
      </c>
      <c r="C2" s="133"/>
      <c r="D2" s="133"/>
      <c r="E2" s="133"/>
      <c r="F2" s="133"/>
      <c r="G2" s="133"/>
      <c r="H2" s="133"/>
      <c r="I2" s="133"/>
      <c r="J2" s="133"/>
      <c r="K2" s="133"/>
      <c r="L2" s="133"/>
      <c r="M2" s="133"/>
      <c r="N2" s="133"/>
      <c r="O2" s="133"/>
      <c r="P2" s="133"/>
      <c r="Q2" s="133"/>
      <c r="R2" s="133"/>
    </row>
    <row r="3" spans="1:23" ht="15.6">
      <c r="A3" s="133"/>
      <c r="B3" s="722" t="str">
        <f>Introduction!B3</f>
        <v>September 2021 - Sample template for illustrative purposes only</v>
      </c>
      <c r="C3" s="133"/>
      <c r="D3" s="133"/>
      <c r="E3" s="133"/>
      <c r="F3" s="133"/>
      <c r="G3" s="133"/>
      <c r="H3" s="133"/>
      <c r="I3" s="133"/>
      <c r="J3" s="133"/>
      <c r="K3" s="133"/>
      <c r="L3" s="133"/>
      <c r="M3" s="133"/>
      <c r="N3" s="133"/>
      <c r="O3" s="133"/>
      <c r="P3" s="133"/>
      <c r="Q3" s="133"/>
      <c r="R3" s="133"/>
    </row>
    <row r="4" spans="1:23" ht="18">
      <c r="A4" s="62"/>
      <c r="B4" s="6" t="s">
        <v>144</v>
      </c>
      <c r="C4" s="133"/>
      <c r="D4" s="133"/>
      <c r="E4" s="133"/>
      <c r="F4" s="136"/>
      <c r="G4" s="132"/>
      <c r="H4" s="132"/>
      <c r="I4" s="132"/>
      <c r="J4" s="132"/>
      <c r="K4" s="132"/>
      <c r="L4" s="132"/>
      <c r="M4" s="132"/>
      <c r="N4" s="132"/>
      <c r="O4" s="132"/>
      <c r="P4" s="132"/>
      <c r="Q4" s="132"/>
      <c r="R4" s="133"/>
      <c r="S4" s="120"/>
      <c r="T4" s="120"/>
      <c r="U4" s="120"/>
      <c r="V4" s="120"/>
      <c r="W4" s="120"/>
    </row>
    <row r="5" spans="1:23">
      <c r="A5" s="118"/>
      <c r="B5" s="118"/>
      <c r="C5" s="119"/>
      <c r="D5" s="118"/>
      <c r="E5" s="118"/>
      <c r="F5" s="118"/>
      <c r="G5" s="120"/>
      <c r="H5" s="120"/>
      <c r="I5" s="120"/>
      <c r="J5" s="120"/>
      <c r="K5" s="120"/>
      <c r="L5" s="120"/>
      <c r="M5" s="120"/>
      <c r="N5" s="120"/>
      <c r="O5" s="120"/>
      <c r="P5" s="120"/>
      <c r="Q5" s="120"/>
      <c r="R5" s="120"/>
      <c r="S5" s="120"/>
      <c r="T5" s="120"/>
      <c r="U5" s="120"/>
      <c r="V5" s="120"/>
      <c r="W5" s="120"/>
    </row>
    <row r="6" spans="1:23" ht="17.25" customHeight="1">
      <c r="B6" s="78"/>
    </row>
    <row r="34" spans="3:21" ht="15.6">
      <c r="D34" s="191" t="s">
        <v>67</v>
      </c>
      <c r="E34" s="121">
        <v>2010</v>
      </c>
      <c r="F34" s="122">
        <v>2011</v>
      </c>
      <c r="G34" s="122">
        <v>2012</v>
      </c>
      <c r="H34" s="122">
        <v>2013</v>
      </c>
      <c r="I34" s="122">
        <v>2014</v>
      </c>
      <c r="J34" s="122">
        <v>2015</v>
      </c>
      <c r="K34" s="122">
        <v>2016</v>
      </c>
      <c r="L34" s="122">
        <v>2017</v>
      </c>
      <c r="M34" s="122">
        <v>2018</v>
      </c>
      <c r="N34" s="122">
        <v>2019</v>
      </c>
      <c r="O34" s="122">
        <v>2020</v>
      </c>
      <c r="P34" s="122">
        <v>2021</v>
      </c>
      <c r="Q34" s="122">
        <v>2022</v>
      </c>
      <c r="R34" s="122">
        <v>2023</v>
      </c>
      <c r="S34" s="122">
        <v>2024</v>
      </c>
      <c r="T34" s="122">
        <v>2025</v>
      </c>
      <c r="U34" s="122">
        <v>2026</v>
      </c>
    </row>
    <row r="35" spans="3:21">
      <c r="C35" s="416">
        <v>1</v>
      </c>
      <c r="D35" s="608" t="s">
        <v>254</v>
      </c>
      <c r="E35" s="560">
        <v>22.693702827821532</v>
      </c>
      <c r="F35" s="560">
        <v>19.293096563473824</v>
      </c>
      <c r="G35" s="560">
        <v>18.103114071743498</v>
      </c>
      <c r="H35" s="560">
        <v>16.178886053917275</v>
      </c>
      <c r="I35" s="560">
        <v>14.755270803079455</v>
      </c>
      <c r="J35" s="560">
        <v>14.157915068774409</v>
      </c>
      <c r="K35" s="175">
        <f>IF(Summary!C119=0,"",((10^6*Summary!C137)/($C35*Summary!C119)))</f>
        <v>11.362900504713087</v>
      </c>
      <c r="L35" s="175">
        <f>IF(Summary!D119=0,"",((10^6*Summary!D137)/($C35*Summary!D119)))</f>
        <v>9.8128791971601554</v>
      </c>
      <c r="M35" s="303" t="str">
        <f>IF(Summary!E119=0,"",((10^6*Summary!E137)/($C35*Summary!E119)))</f>
        <v/>
      </c>
      <c r="N35" s="303" t="str">
        <f>IF(Summary!F119=0,"",((10^6*Summary!F137)/($C35*Summary!F119)))</f>
        <v/>
      </c>
      <c r="O35" s="303" t="str">
        <f>IF(Summary!G119=0,"",((10^6*Summary!G137)/($C35*Summary!G119)))</f>
        <v/>
      </c>
      <c r="P35" s="303" t="str">
        <f>IF(Summary!H119=0,"",((10^6*Summary!H137)/($C35*Summary!H119)))</f>
        <v/>
      </c>
      <c r="Q35" s="303" t="str">
        <f>IF(Summary!I119=0,"",((10^6*Summary!I137)/($C35*Summary!I119)))</f>
        <v/>
      </c>
      <c r="R35" s="303" t="str">
        <f>IF(Summary!J119=0,"",((10^6*Summary!J137)/($C35*Summary!J119)))</f>
        <v/>
      </c>
      <c r="S35" s="303" t="str">
        <f>IF(Summary!K119=0,"",((10^6*Summary!K137)/($C35*Summary!K119)))</f>
        <v/>
      </c>
      <c r="T35" s="303" t="str">
        <f>IF(Summary!L119=0,"",((10^6*Summary!L137)/($C35*Summary!L119)))</f>
        <v/>
      </c>
      <c r="U35" s="303" t="str">
        <f>IF(Summary!M119=0,"",((10^6*Summary!M137)/($C35*Summary!M119)))</f>
        <v/>
      </c>
    </row>
    <row r="36" spans="3:21">
      <c r="C36" s="416">
        <v>10</v>
      </c>
      <c r="D36" s="417" t="s">
        <v>247</v>
      </c>
      <c r="E36" s="560">
        <v>9.8825247570260242</v>
      </c>
      <c r="F36" s="560">
        <v>7.5412691899358517</v>
      </c>
      <c r="G36" s="560">
        <v>6.7189149239794101</v>
      </c>
      <c r="H36" s="560">
        <v>5.2861169818853488</v>
      </c>
      <c r="I36" s="560">
        <v>4.5280339113800467</v>
      </c>
      <c r="J36" s="560">
        <v>3.897031950093071</v>
      </c>
      <c r="K36" s="175">
        <f>IF(Summary!C120=0,"",((10^6*Summary!C138)/($C36*Summary!C120)))</f>
        <v>3.1803504158563904</v>
      </c>
      <c r="L36" s="175">
        <f>IF(Summary!D120=0,"",((10^6*Summary!D138)/($C36*Summary!D120)))</f>
        <v>2.439730741307288</v>
      </c>
      <c r="M36" s="303" t="str">
        <f>IF(Summary!E120=0,"",((10^6*Summary!E138)/($C36*Summary!E120)))</f>
        <v/>
      </c>
      <c r="N36" s="303" t="str">
        <f>IF(Summary!F120=0,"",((10^6*Summary!F138)/($C36*Summary!F120)))</f>
        <v/>
      </c>
      <c r="O36" s="303" t="str">
        <f>IF(Summary!G120=0,"",((10^6*Summary!G138)/($C36*Summary!G120)))</f>
        <v/>
      </c>
      <c r="P36" s="303" t="str">
        <f>IF(Summary!H120=0,"",((10^6*Summary!H138)/($C36*Summary!H120)))</f>
        <v/>
      </c>
      <c r="Q36" s="303" t="str">
        <f>IF(Summary!I120=0,"",((10^6*Summary!I138)/($C36*Summary!I120)))</f>
        <v/>
      </c>
      <c r="R36" s="303" t="str">
        <f>IF(Summary!J120=0,"",((10^6*Summary!J138)/($C36*Summary!J120)))</f>
        <v/>
      </c>
      <c r="S36" s="303" t="str">
        <f>IF(Summary!K120=0,"",((10^6*Summary!K138)/($C36*Summary!K120)))</f>
        <v/>
      </c>
      <c r="T36" s="303" t="str">
        <f>IF(Summary!L120=0,"",((10^6*Summary!L138)/($C36*Summary!L120)))</f>
        <v/>
      </c>
      <c r="U36" s="303" t="str">
        <f>IF(Summary!M120=0,"",((10^6*Summary!M138)/($C36*Summary!M120)))</f>
        <v/>
      </c>
    </row>
    <row r="37" spans="3:21">
      <c r="C37" s="416">
        <v>25</v>
      </c>
      <c r="D37" s="417" t="s">
        <v>248</v>
      </c>
      <c r="E37" s="560"/>
      <c r="F37" s="560"/>
      <c r="G37" s="560"/>
      <c r="H37" s="560"/>
      <c r="I37" s="560"/>
      <c r="J37" s="560"/>
      <c r="K37" s="175">
        <f>IF(Summary!C121=0,"",((10^6*Summary!C139)/($C37*Summary!C121)))</f>
        <v>11.671989054215837</v>
      </c>
      <c r="L37" s="175">
        <f>IF(Summary!D121=0,"",((10^6*Summary!D139)/($C37*Summary!D121)))</f>
        <v>6.7722873832058497</v>
      </c>
      <c r="M37" s="303" t="str">
        <f>IF(Summary!E121=0,"",((10^6*Summary!E139)/($C37*Summary!E121)))</f>
        <v/>
      </c>
      <c r="N37" s="303" t="str">
        <f>IF(Summary!F121=0,"",((10^6*Summary!F139)/($C37*Summary!F121)))</f>
        <v/>
      </c>
      <c r="O37" s="303" t="str">
        <f>IF(Summary!G121=0,"",((10^6*Summary!G139)/($C37*Summary!G121)))</f>
        <v/>
      </c>
      <c r="P37" s="303" t="str">
        <f>IF(Summary!H121=0,"",((10^6*Summary!H139)/($C37*Summary!H121)))</f>
        <v/>
      </c>
      <c r="Q37" s="303" t="str">
        <f>IF(Summary!I121=0,"",((10^6*Summary!I139)/($C37*Summary!I121)))</f>
        <v/>
      </c>
      <c r="R37" s="303" t="str">
        <f>IF(Summary!J121=0,"",((10^6*Summary!J139)/($C37*Summary!J121)))</f>
        <v/>
      </c>
      <c r="S37" s="303" t="str">
        <f>IF(Summary!K121=0,"",((10^6*Summary!K139)/($C37*Summary!K121)))</f>
        <v/>
      </c>
      <c r="T37" s="303" t="str">
        <f>IF(Summary!L121=0,"",((10^6*Summary!L139)/($C37*Summary!L121)))</f>
        <v/>
      </c>
      <c r="U37" s="303" t="str">
        <f>IF(Summary!M121=0,"",((10^6*Summary!M139)/($C37*Summary!M121)))</f>
        <v/>
      </c>
    </row>
    <row r="38" spans="3:21">
      <c r="C38" s="416">
        <v>40</v>
      </c>
      <c r="D38" s="125" t="s">
        <v>249</v>
      </c>
      <c r="E38" s="560">
        <v>46.557521763382681</v>
      </c>
      <c r="F38" s="560">
        <v>11.176711108652357</v>
      </c>
      <c r="G38" s="560">
        <v>12.879950952573868</v>
      </c>
      <c r="H38" s="560">
        <v>11.167363674734627</v>
      </c>
      <c r="I38" s="560">
        <v>7.3590573700709259</v>
      </c>
      <c r="J38" s="560">
        <v>6.2327425657156015</v>
      </c>
      <c r="K38" s="175">
        <f>IF(Summary!C122=0,"",((10^6*Summary!C140)/($C38*Summary!C122)))</f>
        <v>6.2473515491273455</v>
      </c>
      <c r="L38" s="175">
        <f>IF(Summary!D122=0,"",((10^6*Summary!D140)/($C38*Summary!D122)))</f>
        <v>5.850414550912757</v>
      </c>
      <c r="M38" s="303" t="str">
        <f>IF(Summary!E122=0,"",((10^6*Summary!E140)/($C38*Summary!E122)))</f>
        <v/>
      </c>
      <c r="N38" s="303" t="str">
        <f>IF(Summary!F122=0,"",((10^6*Summary!F140)/($C38*Summary!F122)))</f>
        <v/>
      </c>
      <c r="O38" s="303" t="str">
        <f>IF(Summary!G122=0,"",((10^6*Summary!G140)/($C38*Summary!G122)))</f>
        <v/>
      </c>
      <c r="P38" s="303" t="str">
        <f>IF(Summary!H122=0,"",((10^6*Summary!H140)/($C38*Summary!H122)))</f>
        <v/>
      </c>
      <c r="Q38" s="303" t="str">
        <f>IF(Summary!I122=0,"",((10^6*Summary!I140)/($C38*Summary!I122)))</f>
        <v/>
      </c>
      <c r="R38" s="303" t="str">
        <f>IF(Summary!J122=0,"",((10^6*Summary!J140)/($C38*Summary!J122)))</f>
        <v/>
      </c>
      <c r="S38" s="303" t="str">
        <f>IF(Summary!T120=0,"",((10^6*Summary!T140)/($C38*Summary!T120)))</f>
        <v/>
      </c>
      <c r="T38" s="303" t="str">
        <f>IF(Summary!U120=0,"",((10^6*Summary!U140)/($C38*Summary!U120)))</f>
        <v/>
      </c>
      <c r="U38" s="303" t="str">
        <f>IF(Summary!V120=0,"",((10^6*Summary!V140)/($C38*Summary!V120)))</f>
        <v/>
      </c>
    </row>
    <row r="39" spans="3:21">
      <c r="C39" s="416">
        <v>50</v>
      </c>
      <c r="D39" s="418" t="s">
        <v>250</v>
      </c>
      <c r="E39" s="560"/>
      <c r="F39" s="560"/>
      <c r="G39" s="560"/>
      <c r="H39" s="560"/>
      <c r="I39" s="560"/>
      <c r="J39" s="560"/>
      <c r="K39" s="175"/>
      <c r="L39" s="175"/>
      <c r="M39" s="303"/>
      <c r="N39" s="303" t="str">
        <f>IF(Summary!F123=0,"",((10^6*Summary!F141)/($C39*Summary!F123)))</f>
        <v/>
      </c>
      <c r="O39" s="303" t="str">
        <f>IF(Summary!G123=0,"",((10^6*Summary!G141)/($C39*Summary!G123)))</f>
        <v/>
      </c>
      <c r="P39" s="303" t="str">
        <f>IF(Summary!H123=0,"",((10^6*Summary!H141)/($C39*Summary!H123)))</f>
        <v/>
      </c>
      <c r="Q39" s="303" t="str">
        <f>IF(Summary!I123=0,"",((10^6*Summary!I141)/($C39*Summary!I123)))</f>
        <v/>
      </c>
      <c r="R39" s="303" t="str">
        <f>IF(Summary!J123=0,"",((10^6*Summary!J141)/($C39*Summary!J123)))</f>
        <v/>
      </c>
      <c r="S39" s="303" t="str">
        <f>IF(Summary!T121=0,"",((10^6*Summary!T141)/($C39*Summary!T121)))</f>
        <v/>
      </c>
      <c r="T39" s="303" t="str">
        <f>IF(Summary!U123=0,"",((10^6*Summary!U141)/($C39*Summary!U123)))</f>
        <v/>
      </c>
      <c r="U39" s="303" t="str">
        <f>IF(Summary!V123=0,"",((10^6*Summary!V141)/($C39*Summary!V123)))</f>
        <v/>
      </c>
    </row>
    <row r="40" spans="3:21">
      <c r="C40" s="416">
        <v>100</v>
      </c>
      <c r="D40" s="125" t="s">
        <v>251</v>
      </c>
      <c r="E40" s="560">
        <v>262.22519083969468</v>
      </c>
      <c r="F40" s="560">
        <v>223.61202964182792</v>
      </c>
      <c r="G40" s="560">
        <v>118.45667534287716</v>
      </c>
      <c r="H40" s="560">
        <v>80.594856591909462</v>
      </c>
      <c r="I40" s="560">
        <v>55.871254639091049</v>
      </c>
      <c r="J40" s="560">
        <v>31.55152277583019</v>
      </c>
      <c r="K40" s="175">
        <f>IF(Summary!C124=0,"",((10^6*Summary!C142)/($C40*Summary!C124)))</f>
        <v>12.434155600788019</v>
      </c>
      <c r="L40" s="175">
        <f>IF(Summary!D124=0,"",((10^6*Summary!D142)/($C40*Summary!D124)))</f>
        <v>5.7399969875798753</v>
      </c>
      <c r="M40" s="303" t="str">
        <f>IF(Summary!E124=0,"",((10^6*Summary!E142)/($C40*Summary!E124)))</f>
        <v/>
      </c>
      <c r="N40" s="303" t="str">
        <f>IF(Summary!F124=0,"",((10^6*Summary!F142)/($C40*Summary!F124)))</f>
        <v/>
      </c>
      <c r="O40" s="303" t="str">
        <f>IF(Summary!G124=0,"",((10^6*Summary!G142)/($C40*Summary!G124)))</f>
        <v/>
      </c>
      <c r="P40" s="303" t="str">
        <f>IF(Summary!H124=0,"",((10^6*Summary!H142)/($C40*Summary!H124)))</f>
        <v/>
      </c>
      <c r="Q40" s="303" t="str">
        <f>IF(Summary!I124=0,"",((10^6*Summary!I142)/($C40*Summary!I124)))</f>
        <v/>
      </c>
      <c r="R40" s="303" t="str">
        <f>IF(Summary!J124=0,"",((10^6*Summary!J142)/($C40*Summary!J124)))</f>
        <v/>
      </c>
      <c r="S40" s="303" t="str">
        <f>IF(Summary!K124=0,"",((10^6*Summary!K142)/($C40*Summary!K124)))</f>
        <v/>
      </c>
      <c r="T40" s="303" t="str">
        <f>IF(Summary!L124=0,"",((10^6*Summary!L142)/($C40*Summary!L124)))</f>
        <v/>
      </c>
      <c r="U40" s="303" t="str">
        <f>IF(Summary!M124=0,"",((10^6*Summary!M142)/($C40*Summary!M124)))</f>
        <v/>
      </c>
    </row>
    <row r="41" spans="3:21">
      <c r="C41" s="416">
        <v>200</v>
      </c>
      <c r="D41" s="418" t="s">
        <v>252</v>
      </c>
      <c r="E41" s="560"/>
      <c r="F41" s="560"/>
      <c r="G41" s="560"/>
      <c r="H41" s="560"/>
      <c r="I41" s="560"/>
      <c r="J41" s="560"/>
      <c r="K41" s="175"/>
      <c r="L41" s="175"/>
      <c r="M41" s="303" t="str">
        <f>IF(Summary!E125=0,"",((10^6*Summary!E143)/($C41*Summary!E125)))</f>
        <v/>
      </c>
      <c r="N41" s="303" t="str">
        <f>IF(Summary!F125=0,"",((10^6*Summary!F143)/($C41*Summary!F125)))</f>
        <v/>
      </c>
      <c r="O41" s="303" t="str">
        <f>IF(Summary!G125=0,"",((10^6*Summary!G143)/($C41*Summary!G125)))</f>
        <v/>
      </c>
      <c r="P41" s="303" t="str">
        <f>IF(Summary!H125=0,"",((10^6*Summary!H143)/($C41*Summary!H125)))</f>
        <v/>
      </c>
      <c r="Q41" s="303" t="str">
        <f>IF(Summary!I125=0,"",((10^6*Summary!I143)/($C41*Summary!I125)))</f>
        <v/>
      </c>
      <c r="R41" s="303" t="str">
        <f>IF(Summary!J125=0,"",((10^6*Summary!J143)/($C41*Summary!J125)))</f>
        <v/>
      </c>
      <c r="S41" s="303" t="str">
        <f>IF(Summary!K125=0,"",((10^6*Summary!K143)/($C41*Summary!K125)))</f>
        <v/>
      </c>
      <c r="T41" s="303" t="str">
        <f>IF(Summary!L125=0,"",((10^6*Summary!L143)/($C41*Summary!L125)))</f>
        <v/>
      </c>
      <c r="U41" s="303" t="str">
        <f>IF(Summary!M125=0,"",((10^6*Summary!M143)/($C41*Summary!M125)))</f>
        <v/>
      </c>
    </row>
    <row r="42" spans="3:21">
      <c r="C42" s="416">
        <v>400</v>
      </c>
      <c r="D42" s="418" t="s">
        <v>253</v>
      </c>
      <c r="E42" s="560"/>
      <c r="F42" s="560"/>
      <c r="G42" s="560"/>
      <c r="H42" s="560"/>
      <c r="I42" s="560"/>
      <c r="J42" s="560"/>
      <c r="K42" s="175"/>
      <c r="L42" s="175"/>
      <c r="M42" s="303" t="str">
        <f>IF(Summary!E126=0,"",((10^6*Summary!E144)/($C42*Summary!E126)))</f>
        <v/>
      </c>
      <c r="N42" s="303" t="str">
        <f>IF(Summary!F126=0,"",((10^6*Summary!F144)/($C42*Summary!F126)))</f>
        <v/>
      </c>
      <c r="O42" s="303" t="str">
        <f>IF(Summary!G126=0,"",((10^6*Summary!G144)/($C42*Summary!G126)))</f>
        <v/>
      </c>
      <c r="P42" s="303" t="str">
        <f>IF(Summary!H126=0,"",((10^6*Summary!H144)/($C42*Summary!H126)))</f>
        <v/>
      </c>
      <c r="Q42" s="303" t="str">
        <f>IF(Summary!I126=0,"",((10^6*Summary!I144)/($C42*Summary!I126)))</f>
        <v/>
      </c>
      <c r="R42" s="303" t="str">
        <f>IF(Summary!J126=0,"",((10^6*Summary!J144)/($C42*Summary!J126)))</f>
        <v/>
      </c>
      <c r="S42" s="303" t="str">
        <f>IF(Summary!K126=0,"",((10^6*Summary!K144)/($C42*Summary!K126)))</f>
        <v/>
      </c>
      <c r="T42" s="303" t="str">
        <f>IF(Summary!L126=0,"",((10^6*Summary!L144)/($C42*Summary!L126)))</f>
        <v/>
      </c>
      <c r="U42" s="303" t="str">
        <f>IF(Summary!M126=0,"",((10^6*Summary!M144)/($C42*Summary!M126)))</f>
        <v/>
      </c>
    </row>
    <row r="43" spans="3:21">
      <c r="C43" s="416">
        <v>800</v>
      </c>
      <c r="D43" s="607" t="s">
        <v>397</v>
      </c>
      <c r="E43" s="560"/>
      <c r="F43" s="560"/>
      <c r="G43" s="560"/>
      <c r="H43" s="560"/>
      <c r="I43" s="560"/>
      <c r="J43" s="560"/>
      <c r="K43" s="175"/>
      <c r="L43" s="175"/>
      <c r="M43" s="303"/>
      <c r="N43" s="303"/>
      <c r="O43" s="303"/>
      <c r="P43" s="303" t="str">
        <f>IF(Summary!H127=0,"",((10^6*Summary!H145)/($C43*Summary!H127)))</f>
        <v/>
      </c>
      <c r="Q43" s="303" t="str">
        <f>IF(Summary!I127=0,"",((10^6*Summary!I145)/($C43*Summary!I127)))</f>
        <v/>
      </c>
      <c r="R43" s="303" t="str">
        <f>IF(Summary!J127=0,"",((10^6*Summary!J145)/($C43*Summary!J127)))</f>
        <v/>
      </c>
      <c r="S43" s="303" t="str">
        <f>IF(Summary!K127=0,"",((10^6*Summary!K145)/($C43*Summary!K127)))</f>
        <v/>
      </c>
      <c r="T43" s="303" t="str">
        <f>IF(Summary!L127=0,"",((10^6*Summary!L145)/($C43*Summary!L127)))</f>
        <v/>
      </c>
      <c r="U43" s="303" t="str">
        <f>IF(Summary!M127=0,"",((10^6*Summary!M145)/($C43*Summary!M127)))</f>
        <v/>
      </c>
    </row>
    <row r="44" spans="3:21">
      <c r="D44" s="127" t="s">
        <v>68</v>
      </c>
      <c r="E44" s="586">
        <v>18.659177244454714</v>
      </c>
      <c r="F44" s="587">
        <v>12.491157998353826</v>
      </c>
      <c r="G44" s="587">
        <v>11.206910619233915</v>
      </c>
      <c r="H44" s="587">
        <v>9.2919679279757297</v>
      </c>
      <c r="I44" s="587">
        <v>7.2488549734174947</v>
      </c>
      <c r="J44" s="587">
        <v>6.6238891591280309</v>
      </c>
      <c r="K44" s="419">
        <f>(Summary!C148*10^6)/(1*Summary!C119+10*Summary!C120+25*Summary!C121+40*Summary!C122+50*Summary!C123+100*Summary!C124+200*Summary!C125+400*Summary!C126)</f>
        <v>6.4437661546773315</v>
      </c>
      <c r="L44" s="419">
        <f>(Summary!D148*10^6)/(1*Summary!D119+10*Summary!D120+25*Summary!D121+40*Summary!D122+50*Summary!D123+100*Summary!D124+200*Summary!D125+400*Summary!D126)</f>
        <v>4.8427153884449652</v>
      </c>
      <c r="M44" s="419" t="e">
        <f>(Summary!E148*10^6)/(1*Summary!E119+10*Summary!E120+25*Summary!E121+40*Summary!E122+50*Summary!E123+100*Summary!E124+200*Summary!E125+400*Summary!E126)</f>
        <v>#DIV/0!</v>
      </c>
      <c r="N44" s="419" t="e">
        <f>(Summary!F148*10^6)/(1*Summary!F119+10*Summary!F120+25*Summary!F121+40*Summary!F122+50*Summary!F123+100*Summary!F124+200*Summary!F125+400*Summary!F126)</f>
        <v>#DIV/0!</v>
      </c>
      <c r="O44" s="419" t="e">
        <f>(Summary!G148*10^6)/(1*Summary!G119+10*Summary!G120+25*Summary!G121+40*Summary!G122+50*Summary!G123+100*Summary!G124+200*Summary!G125+400*Summary!G126)</f>
        <v>#DIV/0!</v>
      </c>
      <c r="P44" s="419" t="e">
        <f>(Summary!H148*10^6)/(1*Summary!H119+10*Summary!H120+25*Summary!H121+40*Summary!H122+50*Summary!H123+100*Summary!H124+200*Summary!H125+400*Summary!H126)</f>
        <v>#DIV/0!</v>
      </c>
      <c r="Q44" s="419" t="e">
        <f>(Summary!I148*10^6)/(1*Summary!I119+10*Summary!I120+25*Summary!I121+40*Summary!I122+50*Summary!I123+100*Summary!I124+200*Summary!I125+400*Summary!I126)</f>
        <v>#DIV/0!</v>
      </c>
      <c r="R44" s="419" t="e">
        <f>(Summary!J148*10^6)/(1*Summary!J119+10*Summary!J120+25*Summary!J121+40*Summary!J122+50*Summary!J123+100*Summary!J124+200*Summary!J125+400*Summary!J126)</f>
        <v>#DIV/0!</v>
      </c>
      <c r="S44" s="419" t="e">
        <f>(Summary!K148*10^6)/(1*Summary!K119+10*Summary!K120+25*Summary!K121+40*Summary!K122+50*Summary!K123+100*Summary!K124+200*Summary!K125+400*Summary!K126)</f>
        <v>#DIV/0!</v>
      </c>
      <c r="T44" s="419" t="e">
        <f>(Summary!L148*10^6)/(1*Summary!L119+10*Summary!L120+25*Summary!L121+40*Summary!L122+50*Summary!L123+100*Summary!L124+200*Summary!L125+400*Summary!L126)</f>
        <v>#DIV/0!</v>
      </c>
      <c r="U44" s="419" t="e">
        <f>(Summary!M148*10^6)/(1*Summary!M119+10*Summary!M120+25*Summary!M121+40*Summary!M122+50*Summary!M123+100*Summary!M124+200*Summary!M125+400*Summary!M126)</f>
        <v>#DIV/0!</v>
      </c>
    </row>
    <row r="67" spans="4:25">
      <c r="V67" s="368"/>
    </row>
    <row r="68" spans="4:25">
      <c r="V68" s="368"/>
    </row>
    <row r="69" spans="4:25">
      <c r="V69" s="368"/>
    </row>
    <row r="70" spans="4:25">
      <c r="V70" s="368"/>
    </row>
    <row r="71" spans="4:25" ht="15.6">
      <c r="D71" s="579" t="s">
        <v>185</v>
      </c>
      <c r="E71" s="151">
        <v>2010</v>
      </c>
      <c r="F71" s="152">
        <v>2011</v>
      </c>
      <c r="G71" s="152">
        <v>2012</v>
      </c>
      <c r="H71" s="152">
        <v>2013</v>
      </c>
      <c r="I71" s="152">
        <v>2014</v>
      </c>
      <c r="J71" s="152">
        <v>2015</v>
      </c>
      <c r="K71" s="152">
        <v>2016</v>
      </c>
      <c r="L71" s="152">
        <v>2017</v>
      </c>
      <c r="M71" s="152">
        <v>2018</v>
      </c>
      <c r="N71" s="152">
        <v>2019</v>
      </c>
      <c r="O71" s="152">
        <v>2020</v>
      </c>
      <c r="P71" s="152">
        <v>2021</v>
      </c>
      <c r="Q71" s="152">
        <v>2022</v>
      </c>
      <c r="R71" s="122">
        <v>2023</v>
      </c>
      <c r="S71" s="122">
        <v>2024</v>
      </c>
      <c r="T71" s="122">
        <v>2025</v>
      </c>
      <c r="U71" s="122">
        <v>2026</v>
      </c>
      <c r="V71" s="368"/>
    </row>
    <row r="72" spans="4:25">
      <c r="D72" s="580" t="str">
        <f t="shared" ref="D72:D80" si="0">D35</f>
        <v>1 G</v>
      </c>
      <c r="E72" s="567">
        <v>13.753951556800791</v>
      </c>
      <c r="F72" s="568">
        <v>12.985268264022558</v>
      </c>
      <c r="G72" s="568">
        <v>12.565352668140264</v>
      </c>
      <c r="H72" s="568">
        <v>11.996692618609446</v>
      </c>
      <c r="I72" s="568">
        <v>11.174241369596015</v>
      </c>
      <c r="J72" s="568">
        <v>10.470983555845212</v>
      </c>
      <c r="K72" s="368">
        <f t="shared" ref="K72:T72" si="1">K95</f>
        <v>10.178233731377588</v>
      </c>
      <c r="L72" s="368">
        <f t="shared" si="1"/>
        <v>8.9746992158904888</v>
      </c>
      <c r="M72" s="368" t="str">
        <f t="shared" si="1"/>
        <v/>
      </c>
      <c r="N72" s="368" t="str">
        <f t="shared" si="1"/>
        <v/>
      </c>
      <c r="O72" s="368" t="str">
        <f t="shared" si="1"/>
        <v/>
      </c>
      <c r="P72" s="368" t="str">
        <f t="shared" si="1"/>
        <v/>
      </c>
      <c r="Q72" s="368" t="str">
        <f t="shared" si="1"/>
        <v/>
      </c>
      <c r="R72" s="368" t="str">
        <f t="shared" si="1"/>
        <v/>
      </c>
      <c r="S72" s="368" t="str">
        <f t="shared" si="1"/>
        <v/>
      </c>
      <c r="T72" s="368" t="str">
        <f t="shared" si="1"/>
        <v/>
      </c>
      <c r="U72" s="368" t="str">
        <f t="shared" ref="U72" si="2">U95</f>
        <v/>
      </c>
      <c r="V72" s="368"/>
    </row>
    <row r="73" spans="4:25">
      <c r="D73" s="581" t="str">
        <f t="shared" si="0"/>
        <v>10 G</v>
      </c>
      <c r="E73" s="567">
        <v>7.2693971450474013</v>
      </c>
      <c r="F73" s="568">
        <v>5.6225638648096545</v>
      </c>
      <c r="G73" s="568">
        <v>4.7234436834010181</v>
      </c>
      <c r="H73" s="568">
        <v>3.5859981642836827</v>
      </c>
      <c r="I73" s="568">
        <v>2.7640696017573658</v>
      </c>
      <c r="J73" s="568">
        <v>2.1809560564685277</v>
      </c>
      <c r="K73" s="368">
        <f>SUM('Products x speed'!E206:E207)*10^6/SUM('Products x speed'!E14:E16)/10</f>
        <v>1.8308628817969292</v>
      </c>
      <c r="L73" s="368">
        <f>SUM('Products x speed'!F206:F207)*10^6/SUM('Products x speed'!F14:F16)/10</f>
        <v>1.5256493367606148</v>
      </c>
      <c r="M73" s="368" t="e">
        <f>SUM('Products x speed'!G206:G207)*10^6/SUM('Products x speed'!G14:G16)/10</f>
        <v>#DIV/0!</v>
      </c>
      <c r="N73" s="368" t="e">
        <f>SUM('Products x speed'!H206:H207)*10^6/SUM('Products x speed'!H14:H16)/10</f>
        <v>#DIV/0!</v>
      </c>
      <c r="O73" s="368" t="e">
        <f>SUM('Products x speed'!I206:I207)*10^6/SUM('Products x speed'!I14:I16)/10</f>
        <v>#DIV/0!</v>
      </c>
      <c r="P73" s="368" t="e">
        <f>SUM('Products x speed'!J206:J207)*10^6/SUM('Products x speed'!J14:J16)/10</f>
        <v>#DIV/0!</v>
      </c>
      <c r="Q73" s="368" t="e">
        <f>SUM('Products x speed'!K206:K207)*10^6/SUM('Products x speed'!K14:K16)/10</f>
        <v>#DIV/0!</v>
      </c>
      <c r="R73" s="368" t="e">
        <f>SUM('Products x speed'!L206:L207)*10^6/SUM('Products x speed'!L14:L16)/10</f>
        <v>#DIV/0!</v>
      </c>
      <c r="S73" s="368" t="e">
        <f>SUM('Products x speed'!M206:M207)*10^6/SUM('Products x speed'!M14:M16)/10</f>
        <v>#DIV/0!</v>
      </c>
      <c r="T73" s="368" t="e">
        <f>SUM('Products x speed'!N206:N207)*10^6/SUM('Products x speed'!N14:N16)/10</f>
        <v>#DIV/0!</v>
      </c>
      <c r="U73" s="368" t="e">
        <f>SUM('Products x speed'!O206:O207)*10^6/SUM('Products x speed'!O14:O16)/10</f>
        <v>#DIV/0!</v>
      </c>
      <c r="V73" s="368"/>
    </row>
    <row r="74" spans="4:25">
      <c r="D74" s="581" t="str">
        <f t="shared" si="0"/>
        <v>25 G</v>
      </c>
      <c r="E74" s="575"/>
      <c r="F74" s="576"/>
      <c r="G74" s="576"/>
      <c r="H74" s="576"/>
      <c r="I74" s="576"/>
      <c r="J74" s="576"/>
      <c r="K74" s="372">
        <f t="shared" ref="K74:T74" si="3">K110</f>
        <v>7.4857262804366078</v>
      </c>
      <c r="L74" s="372">
        <f t="shared" si="3"/>
        <v>5.6444287278986067</v>
      </c>
      <c r="M74" s="372" t="str">
        <f t="shared" si="3"/>
        <v/>
      </c>
      <c r="N74" s="372" t="str">
        <f t="shared" si="3"/>
        <v/>
      </c>
      <c r="O74" s="372" t="str">
        <f t="shared" si="3"/>
        <v/>
      </c>
      <c r="P74" s="372" t="str">
        <f t="shared" si="3"/>
        <v/>
      </c>
      <c r="Q74" s="372" t="str">
        <f t="shared" si="3"/>
        <v/>
      </c>
      <c r="R74" s="372" t="str">
        <f t="shared" si="3"/>
        <v/>
      </c>
      <c r="S74" s="372" t="str">
        <f t="shared" si="3"/>
        <v/>
      </c>
      <c r="T74" s="372" t="str">
        <f t="shared" si="3"/>
        <v/>
      </c>
      <c r="U74" s="372" t="str">
        <f t="shared" ref="U74" si="4">U110</f>
        <v/>
      </c>
      <c r="V74" s="368"/>
    </row>
    <row r="75" spans="4:25">
      <c r="D75" s="582" t="str">
        <f t="shared" si="0"/>
        <v>40 G</v>
      </c>
      <c r="E75" s="567">
        <v>16</v>
      </c>
      <c r="F75" s="568">
        <v>7.186692574411718</v>
      </c>
      <c r="G75" s="568">
        <v>5.2569352371264841</v>
      </c>
      <c r="H75" s="568">
        <v>4.7415806558600639</v>
      </c>
      <c r="I75" s="568">
        <v>4.5976611884346736</v>
      </c>
      <c r="J75" s="568">
        <v>3.0556100659675449</v>
      </c>
      <c r="K75" s="368">
        <f>SUM('Products x speed'!E219:E221)*10^6/SUM('Products x speed'!E27:E29)/40</f>
        <v>4.0004946969346946</v>
      </c>
      <c r="L75" s="368">
        <f>SUM('Products x speed'!F219:F221)*10^6/SUM('Products x speed'!F27:F29)/40</f>
        <v>3.5024711725363686</v>
      </c>
      <c r="M75" s="368" t="e">
        <f>SUM('Products x speed'!G219:G221)*10^6/SUM('Products x speed'!G27:G29)/40</f>
        <v>#DIV/0!</v>
      </c>
      <c r="N75" s="368" t="e">
        <f>SUM('Products x speed'!H219:H221)*10^6/SUM('Products x speed'!H27:H29)/40</f>
        <v>#DIV/0!</v>
      </c>
      <c r="O75" s="368" t="e">
        <f>SUM('Products x speed'!I219:I221)*10^6/SUM('Products x speed'!I27:I29)/40</f>
        <v>#DIV/0!</v>
      </c>
      <c r="P75" s="368" t="e">
        <f>SUM('Products x speed'!J219:J221)*10^6/SUM('Products x speed'!J27:J29)/40</f>
        <v>#DIV/0!</v>
      </c>
      <c r="Q75" s="368" t="e">
        <f>SUM('Products x speed'!K219:K221)*10^6/SUM('Products x speed'!K27:K29)/40</f>
        <v>#DIV/0!</v>
      </c>
      <c r="R75" s="368" t="e">
        <f>SUM('Products x speed'!L219:L221)*10^6/SUM('Products x speed'!L27:L29)/40</f>
        <v>#DIV/0!</v>
      </c>
      <c r="S75" s="368" t="e">
        <f>SUM('Products x speed'!M219:M221)*10^6/SUM('Products x speed'!M27:M29)/40</f>
        <v>#DIV/0!</v>
      </c>
      <c r="T75" s="368" t="e">
        <f>SUM('Products x speed'!N219:N221)*10^6/SUM('Products x speed'!N27:N29)/40</f>
        <v>#DIV/0!</v>
      </c>
      <c r="U75" s="368" t="e">
        <f>SUM('Products x speed'!O219:O221)*10^6/SUM('Products x speed'!O27:O29)/40</f>
        <v>#DIV/0!</v>
      </c>
      <c r="V75" s="368"/>
    </row>
    <row r="76" spans="4:25">
      <c r="D76" s="582" t="str">
        <f t="shared" si="0"/>
        <v>50 G</v>
      </c>
      <c r="E76" s="567"/>
      <c r="F76" s="568"/>
      <c r="G76" s="568"/>
      <c r="H76" s="568"/>
      <c r="I76" s="568"/>
      <c r="J76" s="568"/>
      <c r="K76" s="368"/>
      <c r="L76" s="368"/>
      <c r="M76" s="368"/>
      <c r="N76" s="368"/>
      <c r="O76" s="368" t="str">
        <f t="shared" ref="O76:T76" si="5">O122</f>
        <v/>
      </c>
      <c r="P76" s="368" t="str">
        <f t="shared" si="5"/>
        <v/>
      </c>
      <c r="Q76" s="368" t="str">
        <f t="shared" si="5"/>
        <v/>
      </c>
      <c r="R76" s="368" t="str">
        <f t="shared" si="5"/>
        <v/>
      </c>
      <c r="S76" s="368" t="str">
        <f t="shared" si="5"/>
        <v/>
      </c>
      <c r="T76" s="368" t="str">
        <f t="shared" si="5"/>
        <v/>
      </c>
      <c r="U76" s="368" t="str">
        <f t="shared" ref="U76" si="6">U122</f>
        <v/>
      </c>
      <c r="V76" s="368"/>
    </row>
    <row r="77" spans="4:25">
      <c r="D77" s="582" t="str">
        <f t="shared" si="0"/>
        <v>100 G</v>
      </c>
      <c r="E77" s="567"/>
      <c r="F77" s="568"/>
      <c r="G77" s="568">
        <v>23.897826358525922</v>
      </c>
      <c r="H77" s="568">
        <v>18.815171215351814</v>
      </c>
      <c r="I77" s="568">
        <v>17.880221269073317</v>
      </c>
      <c r="J77" s="568">
        <v>13.672506526121772</v>
      </c>
      <c r="K77" s="368">
        <f>SUM('Products x speed'!E233:E238)*10^6/SUM('Products x speed'!E41:E46)/100</f>
        <v>3.2957163623968637</v>
      </c>
      <c r="L77" s="368">
        <f>SUM('Products x speed'!F233:F238)*10^6/SUM('Products x speed'!F41:F46)/100</f>
        <v>1.9723036134511864</v>
      </c>
      <c r="M77" s="368" t="e">
        <f>SUM('Products x speed'!G233:G238)*10^6/SUM('Products x speed'!G41:G46)/100</f>
        <v>#DIV/0!</v>
      </c>
      <c r="N77" s="501" t="e">
        <f>SUM('Products x speed'!H233:H238)*10^6/SUM('Products x speed'!H41:H46)/100</f>
        <v>#DIV/0!</v>
      </c>
      <c r="O77" s="368" t="e">
        <f>SUM('Products x speed'!I233:I238)*10^6/SUM('Products x speed'!I41:I46)/100</f>
        <v>#DIV/0!</v>
      </c>
      <c r="P77" s="368" t="e">
        <f>SUM('Products x speed'!J233:J238)*10^6/SUM('Products x speed'!J41:J46)/100</f>
        <v>#DIV/0!</v>
      </c>
      <c r="Q77" s="368" t="e">
        <f>SUM('Products x speed'!K233:K238)*10^6/SUM('Products x speed'!K41:K46)/100</f>
        <v>#DIV/0!</v>
      </c>
      <c r="R77" s="368" t="e">
        <f>SUM('Products x speed'!L233:L238)*10^6/SUM('Products x speed'!L41:L46)/100</f>
        <v>#DIV/0!</v>
      </c>
      <c r="S77" s="368" t="e">
        <f>SUM('Products x speed'!M233:M238)*10^6/SUM('Products x speed'!M41:M46)/100</f>
        <v>#DIV/0!</v>
      </c>
      <c r="T77" s="368" t="e">
        <f>SUM('Products x speed'!N233:N238)*10^6/SUM('Products x speed'!N41:N46)/100</f>
        <v>#DIV/0!</v>
      </c>
      <c r="U77" s="368" t="e">
        <f>SUM('Products x speed'!O233:O238)*10^6/SUM('Products x speed'!O41:O46)/100</f>
        <v>#DIV/0!</v>
      </c>
      <c r="V77" s="368"/>
    </row>
    <row r="78" spans="4:25">
      <c r="D78" s="582" t="str">
        <f t="shared" si="0"/>
        <v>200 G</v>
      </c>
      <c r="E78" s="575"/>
      <c r="F78" s="576"/>
      <c r="G78" s="576"/>
      <c r="H78" s="576"/>
      <c r="I78" s="576"/>
      <c r="J78" s="576"/>
      <c r="K78" s="372"/>
      <c r="L78" s="372"/>
      <c r="M78" s="372"/>
      <c r="N78" s="369" t="str">
        <f t="shared" ref="N78:T78" si="7">N146</f>
        <v/>
      </c>
      <c r="O78" s="369" t="str">
        <f t="shared" si="7"/>
        <v/>
      </c>
      <c r="P78" s="369" t="str">
        <f t="shared" si="7"/>
        <v/>
      </c>
      <c r="Q78" s="369" t="str">
        <f t="shared" si="7"/>
        <v/>
      </c>
      <c r="R78" s="369" t="str">
        <f t="shared" si="7"/>
        <v/>
      </c>
      <c r="S78" s="369" t="str">
        <f t="shared" si="7"/>
        <v/>
      </c>
      <c r="T78" s="369" t="str">
        <f t="shared" si="7"/>
        <v/>
      </c>
      <c r="U78" s="369" t="str">
        <f t="shared" ref="U78" si="8">U146</f>
        <v/>
      </c>
      <c r="V78" s="368"/>
      <c r="W78" s="120"/>
      <c r="X78" s="120"/>
      <c r="Y78" s="120"/>
    </row>
    <row r="79" spans="4:25">
      <c r="D79" s="582" t="str">
        <f t="shared" si="0"/>
        <v>400 G</v>
      </c>
      <c r="E79" s="575"/>
      <c r="F79" s="576"/>
      <c r="G79" s="576"/>
      <c r="H79" s="576"/>
      <c r="I79" s="576"/>
      <c r="J79" s="576"/>
      <c r="K79" s="372"/>
      <c r="L79" s="372"/>
      <c r="M79" s="372"/>
      <c r="N79" s="369" t="str">
        <f t="shared" ref="N79:T79" si="9">N155</f>
        <v/>
      </c>
      <c r="O79" s="369" t="str">
        <f t="shared" si="9"/>
        <v/>
      </c>
      <c r="P79" s="369" t="str">
        <f t="shared" si="9"/>
        <v/>
      </c>
      <c r="Q79" s="369" t="str">
        <f t="shared" si="9"/>
        <v/>
      </c>
      <c r="R79" s="369" t="str">
        <f t="shared" si="9"/>
        <v/>
      </c>
      <c r="S79" s="369" t="str">
        <f t="shared" si="9"/>
        <v/>
      </c>
      <c r="T79" s="369" t="str">
        <f t="shared" si="9"/>
        <v/>
      </c>
      <c r="U79" s="369" t="str">
        <f t="shared" ref="U79" si="10">U155</f>
        <v/>
      </c>
      <c r="V79" s="368"/>
      <c r="W79" s="120"/>
      <c r="X79" s="120"/>
      <c r="Y79" s="120"/>
    </row>
    <row r="80" spans="4:25">
      <c r="D80" s="583" t="str">
        <f t="shared" si="0"/>
        <v>800 G</v>
      </c>
      <c r="E80" s="577"/>
      <c r="F80" s="578"/>
      <c r="G80" s="578"/>
      <c r="H80" s="578"/>
      <c r="I80" s="578"/>
      <c r="J80" s="578"/>
      <c r="K80" s="373"/>
      <c r="L80" s="373"/>
      <c r="M80" s="373"/>
      <c r="N80" s="536"/>
      <c r="O80" s="536"/>
      <c r="P80" s="536"/>
      <c r="Q80" s="536"/>
      <c r="R80" s="536"/>
      <c r="S80" s="536"/>
      <c r="T80" s="536"/>
      <c r="U80" s="536"/>
      <c r="V80" s="368"/>
      <c r="W80" s="120"/>
      <c r="X80" s="120"/>
      <c r="Y80" s="120"/>
    </row>
    <row r="81" spans="1:25">
      <c r="D81" s="584"/>
      <c r="R81" s="364"/>
      <c r="S81" s="364"/>
      <c r="T81" s="364"/>
      <c r="U81" s="364"/>
      <c r="V81" s="368"/>
    </row>
    <row r="82" spans="1:25" ht="15.6">
      <c r="D82" s="579" t="s">
        <v>170</v>
      </c>
      <c r="E82" s="151">
        <v>2010</v>
      </c>
      <c r="F82" s="152">
        <v>2011</v>
      </c>
      <c r="G82" s="152">
        <v>2012</v>
      </c>
      <c r="H82" s="152">
        <v>2013</v>
      </c>
      <c r="I82" s="152">
        <v>2014</v>
      </c>
      <c r="J82" s="152">
        <v>2015</v>
      </c>
      <c r="K82" s="152">
        <v>2016</v>
      </c>
      <c r="L82" s="152">
        <v>2017</v>
      </c>
      <c r="M82" s="152">
        <v>2018</v>
      </c>
      <c r="N82" s="152">
        <v>2019</v>
      </c>
      <c r="O82" s="152">
        <v>2020</v>
      </c>
      <c r="P82" s="152">
        <v>2021</v>
      </c>
      <c r="Q82" s="152">
        <v>2022</v>
      </c>
      <c r="R82" s="122">
        <v>2023</v>
      </c>
      <c r="S82" s="122">
        <v>2024</v>
      </c>
      <c r="T82" s="122">
        <v>2025</v>
      </c>
      <c r="U82" s="122">
        <v>2026</v>
      </c>
      <c r="V82" s="368"/>
    </row>
    <row r="83" spans="1:25">
      <c r="D83" s="580" t="str">
        <f t="shared" ref="D83:D91" si="11">D35</f>
        <v>1 G</v>
      </c>
      <c r="E83" s="567">
        <v>25.149205126655112</v>
      </c>
      <c r="F83" s="568">
        <v>22.542686548685776</v>
      </c>
      <c r="G83" s="568">
        <v>20.494201491669465</v>
      </c>
      <c r="H83" s="568">
        <v>17.059287862972699</v>
      </c>
      <c r="I83" s="568">
        <v>15.209922341136267</v>
      </c>
      <c r="J83" s="568">
        <v>14.316550029685587</v>
      </c>
      <c r="K83" s="368">
        <f t="shared" ref="K83:T83" si="12">K96</f>
        <v>11.313150064475876</v>
      </c>
      <c r="L83" s="368">
        <f t="shared" si="12"/>
        <v>9.7279618337487541</v>
      </c>
      <c r="M83" s="368" t="str">
        <f t="shared" si="12"/>
        <v/>
      </c>
      <c r="N83" s="368" t="str">
        <f t="shared" si="12"/>
        <v/>
      </c>
      <c r="O83" s="368" t="str">
        <f t="shared" si="12"/>
        <v/>
      </c>
      <c r="P83" s="368" t="str">
        <f t="shared" si="12"/>
        <v/>
      </c>
      <c r="Q83" s="368" t="str">
        <f t="shared" si="12"/>
        <v/>
      </c>
      <c r="R83" s="368" t="str">
        <f t="shared" si="12"/>
        <v/>
      </c>
      <c r="S83" s="368" t="str">
        <f t="shared" si="12"/>
        <v/>
      </c>
      <c r="T83" s="368" t="str">
        <f t="shared" si="12"/>
        <v/>
      </c>
      <c r="U83" s="368" t="str">
        <f t="shared" ref="U83" si="13">U96</f>
        <v/>
      </c>
      <c r="V83" s="368"/>
    </row>
    <row r="84" spans="1:25">
      <c r="D84" s="582" t="str">
        <f t="shared" si="11"/>
        <v>10 G</v>
      </c>
      <c r="E84" s="567">
        <v>20.083089586633925</v>
      </c>
      <c r="F84" s="568">
        <v>15.192387099264787</v>
      </c>
      <c r="G84" s="568">
        <v>12.606537702368776</v>
      </c>
      <c r="H84" s="568">
        <v>9.5723766997270552</v>
      </c>
      <c r="I84" s="568">
        <v>6.7015289167061241</v>
      </c>
      <c r="J84" s="568">
        <v>5.5401360004392348</v>
      </c>
      <c r="K84" s="368">
        <f>SUM('Products x speed'!E209:E210)*10^6/SUM('Products x speed'!E17:E18)/10</f>
        <v>3.9011693498104392</v>
      </c>
      <c r="L84" s="368">
        <f>SUM('Products x speed'!F209:F210)*10^6/SUM('Products x speed'!F17:F18)/10</f>
        <v>3.0703885502204229</v>
      </c>
      <c r="M84" s="368" t="e">
        <f>SUM('Products x speed'!G209:G210)*10^6/SUM('Products x speed'!G17:G18)/10</f>
        <v>#DIV/0!</v>
      </c>
      <c r="N84" s="368" t="e">
        <f>SUM('Products x speed'!H209:H210)*10^6/SUM('Products x speed'!H17:H18)/10</f>
        <v>#DIV/0!</v>
      </c>
      <c r="O84" s="368" t="e">
        <f>SUM('Products x speed'!I209:I210)*10^6/SUM('Products x speed'!I17:I18)/10</f>
        <v>#DIV/0!</v>
      </c>
      <c r="P84" s="368" t="e">
        <f>SUM('Products x speed'!J209:J210)*10^6/SUM('Products x speed'!J17:J18)/10</f>
        <v>#DIV/0!</v>
      </c>
      <c r="Q84" s="368" t="e">
        <f>SUM('Products x speed'!K209:K210)*10^6/SUM('Products x speed'!K17:K18)/10</f>
        <v>#DIV/0!</v>
      </c>
      <c r="R84" s="368" t="e">
        <f>SUM('Products x speed'!L209:L210)*10^6/SUM('Products x speed'!L17:L18)/10</f>
        <v>#DIV/0!</v>
      </c>
      <c r="S84" s="368" t="e">
        <f>SUM('Products x speed'!M209:M210)*10^6/SUM('Products x speed'!M17:M18)/10</f>
        <v>#DIV/0!</v>
      </c>
      <c r="T84" s="368" t="e">
        <f>SUM('Products x speed'!N209:N210)*10^6/SUM('Products x speed'!N17:N18)/10</f>
        <v>#DIV/0!</v>
      </c>
      <c r="U84" s="368" t="e">
        <f>SUM('Products x speed'!O209:O210)*10^6/SUM('Products x speed'!O17:O18)/10</f>
        <v>#DIV/0!</v>
      </c>
      <c r="V84" s="368"/>
    </row>
    <row r="85" spans="1:25">
      <c r="D85" s="581" t="str">
        <f t="shared" si="11"/>
        <v>25 G</v>
      </c>
      <c r="E85" s="569"/>
      <c r="F85" s="570"/>
      <c r="G85" s="570"/>
      <c r="H85" s="570"/>
      <c r="I85" s="570"/>
      <c r="J85" s="570"/>
      <c r="K85" s="369">
        <f t="shared" ref="K85:T85" si="14">K111</f>
        <v>18.249613016710644</v>
      </c>
      <c r="L85" s="369">
        <f t="shared" si="14"/>
        <v>12.964142267585002</v>
      </c>
      <c r="M85" s="369" t="str">
        <f t="shared" si="14"/>
        <v/>
      </c>
      <c r="N85" s="369" t="str">
        <f t="shared" si="14"/>
        <v/>
      </c>
      <c r="O85" s="369" t="str">
        <f t="shared" si="14"/>
        <v/>
      </c>
      <c r="P85" s="369" t="str">
        <f t="shared" si="14"/>
        <v/>
      </c>
      <c r="Q85" s="369" t="str">
        <f t="shared" si="14"/>
        <v/>
      </c>
      <c r="R85" s="369" t="str">
        <f t="shared" si="14"/>
        <v/>
      </c>
      <c r="S85" s="369" t="str">
        <f t="shared" si="14"/>
        <v/>
      </c>
      <c r="T85" s="369" t="str">
        <f t="shared" si="14"/>
        <v/>
      </c>
      <c r="U85" s="369" t="str">
        <f t="shared" ref="U85" si="15">U111</f>
        <v/>
      </c>
      <c r="V85" s="368"/>
    </row>
    <row r="86" spans="1:25">
      <c r="D86" s="582" t="str">
        <f t="shared" si="11"/>
        <v>40 G</v>
      </c>
      <c r="E86" s="567">
        <v>80.784136641723492</v>
      </c>
      <c r="F86" s="568">
        <v>77.777449856733512</v>
      </c>
      <c r="G86" s="568">
        <v>31.374042015224383</v>
      </c>
      <c r="H86" s="568">
        <v>20.904356576912654</v>
      </c>
      <c r="I86" s="568">
        <v>18.050742044044327</v>
      </c>
      <c r="J86" s="568">
        <v>16.332734902464885</v>
      </c>
      <c r="K86" s="368">
        <f>SUM('Products x speed'!E222:E226)*10^6/SUM('Products x speed'!E31:E34)/40</f>
        <v>16.617107346810069</v>
      </c>
      <c r="L86" s="368">
        <f>SUM('Products x speed'!F222:F226)*10^6/SUM('Products x speed'!F31:F34)/40</f>
        <v>12.449764992846998</v>
      </c>
      <c r="M86" s="368" t="e">
        <f>SUM('Products x speed'!G222:G226)*10^6/SUM('Products x speed'!G31:G34)/40</f>
        <v>#DIV/0!</v>
      </c>
      <c r="N86" s="368" t="e">
        <f>SUM('Products x speed'!H222:H226)*10^6/SUM('Products x speed'!H31:H34)/40</f>
        <v>#DIV/0!</v>
      </c>
      <c r="O86" s="368" t="e">
        <f>SUM('Products x speed'!I222:I226)*10^6/SUM('Products x speed'!I31:I34)/40</f>
        <v>#DIV/0!</v>
      </c>
      <c r="P86" s="368" t="e">
        <f>SUM('Products x speed'!J222:J226)*10^6/SUM('Products x speed'!J31:J34)/40</f>
        <v>#DIV/0!</v>
      </c>
      <c r="Q86" s="368" t="e">
        <f>SUM('Products x speed'!K222:K226)*10^6/SUM('Products x speed'!K31:K34)/40</f>
        <v>#DIV/0!</v>
      </c>
      <c r="R86" s="368" t="e">
        <f>SUM('Products x speed'!L222:L226)*10^6/SUM('Products x speed'!L31:L34)/40</f>
        <v>#DIV/0!</v>
      </c>
      <c r="S86" s="368" t="e">
        <f>SUM('Products x speed'!M222:M226)*10^6/SUM('Products x speed'!M31:M34)/40</f>
        <v>#DIV/0!</v>
      </c>
      <c r="T86" s="368" t="e">
        <f>SUM('Products x speed'!N222:N226)*10^6/SUM('Products x speed'!N31:N34)/40</f>
        <v>#DIV/0!</v>
      </c>
      <c r="U86" s="368" t="e">
        <f>SUM('Products x speed'!O222:O226)*10^6/SUM('Products x speed'!O31:O34)/40</f>
        <v>#DIV/0!</v>
      </c>
      <c r="V86" s="368"/>
    </row>
    <row r="87" spans="1:25">
      <c r="D87" s="582" t="str">
        <f t="shared" si="11"/>
        <v>50 G</v>
      </c>
      <c r="E87" s="567"/>
      <c r="F87" s="568"/>
      <c r="G87" s="568"/>
      <c r="H87" s="568"/>
      <c r="I87" s="568"/>
      <c r="J87" s="568"/>
      <c r="K87" s="370"/>
      <c r="L87" s="370"/>
      <c r="M87" s="370"/>
      <c r="N87" s="370"/>
      <c r="O87" s="370"/>
      <c r="P87" s="370"/>
      <c r="Q87" s="370"/>
      <c r="R87" s="368"/>
      <c r="S87" s="368"/>
      <c r="T87" s="368"/>
      <c r="U87" s="368"/>
      <c r="V87" s="368"/>
    </row>
    <row r="88" spans="1:25">
      <c r="D88" s="582" t="str">
        <f t="shared" si="11"/>
        <v>100 G</v>
      </c>
      <c r="E88" s="567">
        <v>262.22519083969468</v>
      </c>
      <c r="F88" s="568">
        <v>223.61202964182792</v>
      </c>
      <c r="G88" s="568">
        <v>136.50492489270385</v>
      </c>
      <c r="H88" s="568">
        <v>102.5432875674652</v>
      </c>
      <c r="I88" s="568">
        <v>65.878548873851983</v>
      </c>
      <c r="J88" s="568">
        <v>36.595237268483366</v>
      </c>
      <c r="K88" s="368">
        <f>SUM('Products x speed'!E239:E248)*10^6/SUM('Products x speed'!E47:E56)/100</f>
        <v>15.954523504961168</v>
      </c>
      <c r="L88" s="368">
        <f>SUM('Products x speed'!F239:F248)*10^6/SUM('Products x speed'!F47:F56)/100</f>
        <v>6.5519248022538541</v>
      </c>
      <c r="M88" s="368" t="e">
        <f>SUM('Products x speed'!G239:G248)*10^6/SUM('Products x speed'!G47:G56)/100</f>
        <v>#DIV/0!</v>
      </c>
      <c r="N88" s="501" t="e">
        <f>SUM('Products x speed'!H239:H248)*10^6/SUM('Products x speed'!H47:H56)/100</f>
        <v>#DIV/0!</v>
      </c>
      <c r="O88" s="368" t="e">
        <f>SUM('Products x speed'!I239:I248)*10^6/SUM('Products x speed'!I47:I56)/100</f>
        <v>#DIV/0!</v>
      </c>
      <c r="P88" s="368" t="e">
        <f>SUM('Products x speed'!J239:J248)*10^6/SUM('Products x speed'!J47:J56)/100</f>
        <v>#DIV/0!</v>
      </c>
      <c r="Q88" s="368" t="e">
        <f>SUM('Products x speed'!K239:K248)*10^6/SUM('Products x speed'!K47:K56)/100</f>
        <v>#DIV/0!</v>
      </c>
      <c r="R88" s="368" t="e">
        <f>SUM('Products x speed'!L239:L248)*10^6/SUM('Products x speed'!L47:L56)/100</f>
        <v>#DIV/0!</v>
      </c>
      <c r="S88" s="368" t="e">
        <f>SUM('Products x speed'!M239:M248)*10^6/SUM('Products x speed'!M47:M56)/100</f>
        <v>#DIV/0!</v>
      </c>
      <c r="T88" s="368" t="e">
        <f>SUM('Products x speed'!N239:N248)*10^6/SUM('Products x speed'!N47:N56)/100</f>
        <v>#DIV/0!</v>
      </c>
      <c r="U88" s="368" t="e">
        <f>SUM('Products x speed'!O239:O248)*10^6/SUM('Products x speed'!O47:O56)/100</f>
        <v>#DIV/0!</v>
      </c>
      <c r="V88" s="368"/>
    </row>
    <row r="89" spans="1:25">
      <c r="D89" s="582" t="str">
        <f t="shared" si="11"/>
        <v>200 G</v>
      </c>
      <c r="E89" s="571"/>
      <c r="F89" s="572"/>
      <c r="G89" s="572"/>
      <c r="H89" s="572"/>
      <c r="I89" s="572"/>
      <c r="J89" s="572"/>
      <c r="K89" s="181"/>
      <c r="L89" s="370"/>
      <c r="M89" s="370" t="e">
        <f>SUM('Products x speed'!G254:G260)*10^6/SUM('Products x speed'!G62:G68)/200</f>
        <v>#DIV/0!</v>
      </c>
      <c r="N89" s="370" t="e">
        <f>SUM('Products x speed'!H254:H260)*10^6/SUM('Products x speed'!H62:H68)/200</f>
        <v>#DIV/0!</v>
      </c>
      <c r="O89" s="370" t="e">
        <f>SUM('Products x speed'!I254:I260)*10^6/SUM('Products x speed'!I62:I68)/200</f>
        <v>#DIV/0!</v>
      </c>
      <c r="P89" s="370" t="e">
        <f>SUM('Products x speed'!J254:J260)*10^6/SUM('Products x speed'!J62:J68)/200</f>
        <v>#DIV/0!</v>
      </c>
      <c r="Q89" s="370" t="e">
        <f>SUM('Products x speed'!K254:K260)*10^6/SUM('Products x speed'!K62:K68)/200</f>
        <v>#DIV/0!</v>
      </c>
      <c r="R89" s="368" t="e">
        <f>SUM('Products x speed'!L254:L260)*10^6/SUM('Products x speed'!L62:L68)/200</f>
        <v>#DIV/0!</v>
      </c>
      <c r="S89" s="368" t="e">
        <f>SUM('Products x speed'!M254:M260)*10^6/SUM('Products x speed'!M62:M68)/200</f>
        <v>#DIV/0!</v>
      </c>
      <c r="T89" s="368" t="e">
        <f>SUM('Products x speed'!N254:N260)*10^6/SUM('Products x speed'!N62:N68)/200</f>
        <v>#DIV/0!</v>
      </c>
      <c r="U89" s="368" t="e">
        <f>SUM('Products x speed'!O254:O260)*10^6/SUM('Products x speed'!O62:O68)/200</f>
        <v>#DIV/0!</v>
      </c>
      <c r="V89" s="618"/>
      <c r="W89" s="120"/>
      <c r="X89" s="120"/>
      <c r="Y89" s="120"/>
    </row>
    <row r="90" spans="1:25">
      <c r="D90" s="582" t="str">
        <f t="shared" si="11"/>
        <v>400 G</v>
      </c>
      <c r="E90" s="571"/>
      <c r="F90" s="572"/>
      <c r="G90" s="572"/>
      <c r="H90" s="572"/>
      <c r="I90" s="572"/>
      <c r="J90" s="572"/>
      <c r="K90" s="181"/>
      <c r="L90" s="370"/>
      <c r="M90" s="370" t="e">
        <f>SUM('Products x speed'!G259:G262)*10^6/SUM('Products x speed'!G67:G70)/400</f>
        <v>#DIV/0!</v>
      </c>
      <c r="N90" s="370" t="e">
        <f>SUM('Products x speed'!H259:H262)*10^6/SUM('Products x speed'!H67:H70)/400</f>
        <v>#DIV/0!</v>
      </c>
      <c r="O90" s="370" t="e">
        <f>SUM('Products x speed'!I259:I262)*10^6/SUM('Products x speed'!I67:I70)/400</f>
        <v>#DIV/0!</v>
      </c>
      <c r="P90" s="370" t="e">
        <f>SUM('Products x speed'!J259:J262)*10^6/SUM('Products x speed'!J67:J70)/400</f>
        <v>#DIV/0!</v>
      </c>
      <c r="Q90" s="370" t="e">
        <f>SUM('Products x speed'!K259:K262)*10^6/SUM('Products x speed'!K67:K70)/400</f>
        <v>#DIV/0!</v>
      </c>
      <c r="R90" s="368" t="e">
        <f>SUM('Products x speed'!L259:L262)*10^6/SUM('Products x speed'!L67:L70)/400</f>
        <v>#DIV/0!</v>
      </c>
      <c r="S90" s="368" t="e">
        <f>SUM('Products x speed'!M259:M262)*10^6/SUM('Products x speed'!M67:M70)/400</f>
        <v>#DIV/0!</v>
      </c>
      <c r="T90" s="368" t="e">
        <f>SUM('Products x speed'!N259:N262)*10^6/SUM('Products x speed'!N67:N70)/400</f>
        <v>#DIV/0!</v>
      </c>
      <c r="U90" s="368" t="e">
        <f>SUM('Products x speed'!O259:O262)*10^6/SUM('Products x speed'!O67:O70)/400</f>
        <v>#DIV/0!</v>
      </c>
      <c r="V90" s="618"/>
      <c r="W90" s="120"/>
      <c r="X90" s="120"/>
      <c r="Y90" s="120"/>
    </row>
    <row r="91" spans="1:25">
      <c r="D91" s="585" t="str">
        <f t="shared" si="11"/>
        <v>800 G</v>
      </c>
      <c r="E91" s="573"/>
      <c r="F91" s="574"/>
      <c r="G91" s="574"/>
      <c r="H91" s="574"/>
      <c r="I91" s="574"/>
      <c r="J91" s="574"/>
      <c r="K91" s="196"/>
      <c r="L91" s="371"/>
      <c r="M91" s="371"/>
      <c r="N91" s="371"/>
      <c r="O91" s="371"/>
      <c r="P91" s="371"/>
      <c r="Q91" s="371"/>
      <c r="R91" s="382"/>
      <c r="S91" s="382"/>
      <c r="T91" s="382"/>
      <c r="U91" s="382"/>
      <c r="W91" s="120"/>
      <c r="X91" s="120"/>
    </row>
    <row r="92" spans="1:25">
      <c r="P92" s="364"/>
      <c r="Q92" s="364"/>
    </row>
    <row r="93" spans="1:25" ht="15.6">
      <c r="B93" s="190" t="s">
        <v>67</v>
      </c>
    </row>
    <row r="94" spans="1:25">
      <c r="B94" s="433" t="s">
        <v>32</v>
      </c>
      <c r="C94" s="362" t="s">
        <v>31</v>
      </c>
      <c r="D94" s="363" t="s">
        <v>33</v>
      </c>
      <c r="E94" s="129">
        <v>2010</v>
      </c>
      <c r="F94" s="130">
        <v>2011</v>
      </c>
      <c r="G94" s="130">
        <v>2012</v>
      </c>
      <c r="H94" s="131">
        <v>2013</v>
      </c>
      <c r="I94" s="129">
        <v>2014</v>
      </c>
      <c r="J94" s="130">
        <v>2015</v>
      </c>
      <c r="K94" s="130">
        <v>2016</v>
      </c>
      <c r="L94" s="130">
        <v>2017</v>
      </c>
      <c r="M94" s="130">
        <v>2018</v>
      </c>
      <c r="N94" s="130">
        <v>2019</v>
      </c>
      <c r="O94" s="130">
        <v>2020</v>
      </c>
      <c r="P94" s="130">
        <v>2021</v>
      </c>
      <c r="Q94" s="130">
        <v>2022</v>
      </c>
      <c r="R94" s="130">
        <v>2023</v>
      </c>
      <c r="S94" s="130">
        <v>2024</v>
      </c>
      <c r="T94" s="130">
        <v>2025</v>
      </c>
      <c r="U94" s="130">
        <v>2026</v>
      </c>
    </row>
    <row r="95" spans="1:25">
      <c r="A95" s="642">
        <v>1</v>
      </c>
      <c r="B95" s="95" t="str">
        <f>'Products x speed'!B9</f>
        <v>1G</v>
      </c>
      <c r="C95" s="96" t="s">
        <v>44</v>
      </c>
      <c r="D95" s="96" t="s">
        <v>46</v>
      </c>
      <c r="E95" s="561">
        <v>13.753951556800791</v>
      </c>
      <c r="F95" s="562">
        <v>12.985268264022558</v>
      </c>
      <c r="G95" s="562">
        <v>12.565352668140264</v>
      </c>
      <c r="H95" s="562">
        <v>11.996692618609446</v>
      </c>
      <c r="I95" s="562">
        <v>11.174241369596015</v>
      </c>
      <c r="J95" s="562">
        <v>10.470983555845212</v>
      </c>
      <c r="K95" s="124">
        <f>IF('Products x speed'!E9=0,"",('Products x speed'!E201*10^6/'Products x speed'!E9))</f>
        <v>10.178233731377588</v>
      </c>
      <c r="L95" s="124">
        <f>IF('Products x speed'!F9=0,"",('Products x speed'!F201*10^6/'Products x speed'!F9))</f>
        <v>8.9746992158904888</v>
      </c>
      <c r="M95" s="124" t="str">
        <f>IF('Products x speed'!G9=0,"",('Products x speed'!G201*10^6/'Products x speed'!G9))</f>
        <v/>
      </c>
      <c r="N95" s="124" t="str">
        <f>IF('Products x speed'!H9=0,"",('Products x speed'!H201*10^6/'Products x speed'!H9))</f>
        <v/>
      </c>
      <c r="O95" s="124" t="str">
        <f>IF('Products x speed'!I9=0,"",('Products x speed'!I201*10^6/'Products x speed'!I9))</f>
        <v/>
      </c>
      <c r="P95" s="124" t="str">
        <f>IF('Products x speed'!J9=0,"",('Products x speed'!J201*10^6/'Products x speed'!J9))</f>
        <v/>
      </c>
      <c r="Q95" s="124" t="str">
        <f>IF('Products x speed'!K9=0,"",('Products x speed'!K201*10^6/'Products x speed'!K9))</f>
        <v/>
      </c>
      <c r="R95" s="381" t="str">
        <f>IF('Products x speed'!L9=0,"",('Products x speed'!L201*10^6/'Products x speed'!L9))</f>
        <v/>
      </c>
      <c r="S95" s="381" t="str">
        <f>IF('Products x speed'!M9=0,"",('Products x speed'!M201*10^6/'Products x speed'!M9))</f>
        <v/>
      </c>
      <c r="T95" s="381" t="str">
        <f>IF('Products x speed'!N9=0,"",('Products x speed'!N201*10^6/'Products x speed'!N9))</f>
        <v/>
      </c>
      <c r="U95" s="381" t="str">
        <f>IF('Products x speed'!O9=0,"",('Products x speed'!O201*10^6/'Products x speed'!O9))</f>
        <v/>
      </c>
    </row>
    <row r="96" spans="1:25">
      <c r="A96" s="642">
        <v>1</v>
      </c>
      <c r="B96" s="95" t="str">
        <f>'Products x speed'!B10</f>
        <v>1G</v>
      </c>
      <c r="C96" s="96" t="s">
        <v>50</v>
      </c>
      <c r="D96" s="96" t="s">
        <v>46</v>
      </c>
      <c r="E96" s="563">
        <v>25.149205126655112</v>
      </c>
      <c r="F96" s="564">
        <v>22.542686548685776</v>
      </c>
      <c r="G96" s="564">
        <v>20.494201491669465</v>
      </c>
      <c r="H96" s="564">
        <v>17.059287862972699</v>
      </c>
      <c r="I96" s="564">
        <v>15.209922341136267</v>
      </c>
      <c r="J96" s="564">
        <v>14.316550029685587</v>
      </c>
      <c r="K96" s="126">
        <f>IF('Products x speed'!E10=0,"",('Products x speed'!E202*10^6/'Products x speed'!E10))</f>
        <v>11.313150064475876</v>
      </c>
      <c r="L96" s="126">
        <f>IF('Products x speed'!F10=0,"",('Products x speed'!F202*10^6/'Products x speed'!F10))</f>
        <v>9.7279618337487541</v>
      </c>
      <c r="M96" s="126" t="str">
        <f>IF('Products x speed'!G10=0,"",('Products x speed'!G202*10^6/'Products x speed'!G10))</f>
        <v/>
      </c>
      <c r="N96" s="126" t="str">
        <f>IF('Products x speed'!H10=0,"",('Products x speed'!H202*10^6/'Products x speed'!H10))</f>
        <v/>
      </c>
      <c r="O96" s="126" t="str">
        <f>IF('Products x speed'!I10=0,"",('Products x speed'!I202*10^6/'Products x speed'!I10))</f>
        <v/>
      </c>
      <c r="P96" s="126" t="str">
        <f>IF('Products x speed'!J10=0,"",('Products x speed'!J202*10^6/'Products x speed'!J10))</f>
        <v/>
      </c>
      <c r="Q96" s="126" t="str">
        <f>IF('Products x speed'!K10=0,"",('Products x speed'!K202*10^6/'Products x speed'!K10))</f>
        <v/>
      </c>
      <c r="R96" s="368" t="str">
        <f>IF('Products x speed'!L10=0,"",('Products x speed'!L202*10^6/'Products x speed'!L10))</f>
        <v/>
      </c>
      <c r="S96" s="368" t="str">
        <f>IF('Products x speed'!M10=0,"",('Products x speed'!M202*10^6/'Products x speed'!M10))</f>
        <v/>
      </c>
      <c r="T96" s="368" t="str">
        <f>IF('Products x speed'!N10=0,"",('Products x speed'!N202*10^6/'Products x speed'!N10))</f>
        <v/>
      </c>
      <c r="U96" s="368" t="str">
        <f>IF('Products x speed'!O10=0,"",('Products x speed'!O202*10^6/'Products x speed'!O10))</f>
        <v/>
      </c>
    </row>
    <row r="97" spans="1:21">
      <c r="A97" s="642">
        <v>1</v>
      </c>
      <c r="B97" s="95" t="str">
        <f>'Products x speed'!B11</f>
        <v>1G</v>
      </c>
      <c r="C97" s="96" t="s">
        <v>55</v>
      </c>
      <c r="D97" s="96" t="s">
        <v>46</v>
      </c>
      <c r="E97" s="563">
        <v>49.545765519722842</v>
      </c>
      <c r="F97" s="564">
        <v>31.082332063515352</v>
      </c>
      <c r="G97" s="564">
        <v>29.317117113588608</v>
      </c>
      <c r="H97" s="564">
        <v>25.450996968927363</v>
      </c>
      <c r="I97" s="564">
        <v>26.220308543667187</v>
      </c>
      <c r="J97" s="564">
        <v>31.241164678387808</v>
      </c>
      <c r="K97" s="126">
        <f>IF('Products x speed'!E11=0,"",('Products x speed'!E203*10^6/'Products x speed'!E11))</f>
        <v>14.223250006112197</v>
      </c>
      <c r="L97" s="126">
        <f>IF('Products x speed'!F11=0,"",('Products x speed'!F203*10^6/'Products x speed'!F11))</f>
        <v>11.270556706605298</v>
      </c>
      <c r="M97" s="126" t="str">
        <f>IF('Products x speed'!G11=0,"",('Products x speed'!G203*10^6/'Products x speed'!G11))</f>
        <v/>
      </c>
      <c r="N97" s="126" t="str">
        <f>IF('Products x speed'!H11=0,"",('Products x speed'!H203*10^6/'Products x speed'!H11))</f>
        <v/>
      </c>
      <c r="O97" s="126" t="str">
        <f>IF('Products x speed'!I11=0,"",('Products x speed'!I203*10^6/'Products x speed'!I11))</f>
        <v/>
      </c>
      <c r="P97" s="126" t="str">
        <f>IF('Products x speed'!J11=0,"",('Products x speed'!J203*10^6/'Products x speed'!J11))</f>
        <v/>
      </c>
      <c r="Q97" s="126" t="str">
        <f>IF('Products x speed'!K11=0,"",('Products x speed'!K203*10^6/'Products x speed'!K11))</f>
        <v/>
      </c>
      <c r="R97" s="368" t="str">
        <f>IF('Products x speed'!L11=0,"",('Products x speed'!L203*10^6/'Products x speed'!L11))</f>
        <v/>
      </c>
      <c r="S97" s="368" t="str">
        <f>IF('Products x speed'!M11=0,"",('Products x speed'!M203*10^6/'Products x speed'!M11))</f>
        <v/>
      </c>
      <c r="T97" s="368" t="str">
        <f>IF('Products x speed'!N11=0,"",('Products x speed'!N203*10^6/'Products x speed'!N11))</f>
        <v/>
      </c>
      <c r="U97" s="368" t="str">
        <f>IF('Products x speed'!O11=0,"",('Products x speed'!O203*10^6/'Products x speed'!O11))</f>
        <v/>
      </c>
    </row>
    <row r="98" spans="1:21">
      <c r="A98" s="642">
        <v>1</v>
      </c>
      <c r="B98" s="95" t="str">
        <f>'Products x speed'!B12</f>
        <v>1G</v>
      </c>
      <c r="C98" s="96" t="s">
        <v>57</v>
      </c>
      <c r="D98" s="96" t="s">
        <v>46</v>
      </c>
      <c r="E98" s="563">
        <v>142.80979504422271</v>
      </c>
      <c r="F98" s="564">
        <v>136.76558510512777</v>
      </c>
      <c r="G98" s="564">
        <v>104.22764561707035</v>
      </c>
      <c r="H98" s="564">
        <v>93.07490654205607</v>
      </c>
      <c r="I98" s="564">
        <v>69.983684966026232</v>
      </c>
      <c r="J98" s="564">
        <v>61.786589764149333</v>
      </c>
      <c r="K98" s="126">
        <f>IF('Products x speed'!E12=0,"",('Products x speed'!E204*10^6/'Products x speed'!E12))</f>
        <v>47.263945249069465</v>
      </c>
      <c r="L98" s="126">
        <f>IF('Products x speed'!F12=0,"",('Products x speed'!F204*10^6/'Products x speed'!F12))</f>
        <v>42.349942382451964</v>
      </c>
      <c r="M98" s="126" t="str">
        <f>IF('Products x speed'!G12=0,"",('Products x speed'!G204*10^6/'Products x speed'!G12))</f>
        <v/>
      </c>
      <c r="N98" s="126" t="str">
        <f>IF('Products x speed'!H12=0,"",('Products x speed'!H204*10^6/'Products x speed'!H12))</f>
        <v/>
      </c>
      <c r="O98" s="126" t="str">
        <f>IF('Products x speed'!I12=0,"",('Products x speed'!I204*10^6/'Products x speed'!I12))</f>
        <v/>
      </c>
      <c r="P98" s="126" t="str">
        <f>IF('Products x speed'!J12=0,"",('Products x speed'!J204*10^6/'Products x speed'!J12))</f>
        <v/>
      </c>
      <c r="Q98" s="126" t="str">
        <f>IF('Products x speed'!K12=0,"",('Products x speed'!K204*10^6/'Products x speed'!K12))</f>
        <v/>
      </c>
      <c r="R98" s="368" t="str">
        <f>IF('Products x speed'!L12=0,"",('Products x speed'!L204*10^6/'Products x speed'!L12))</f>
        <v/>
      </c>
      <c r="S98" s="368" t="str">
        <f>IF('Products x speed'!M12=0,"",('Products x speed'!M204*10^6/'Products x speed'!M12))</f>
        <v/>
      </c>
      <c r="T98" s="368" t="str">
        <f>IF('Products x speed'!N12=0,"",('Products x speed'!N204*10^6/'Products x speed'!N12))</f>
        <v/>
      </c>
      <c r="U98" s="368" t="str">
        <f>IF('Products x speed'!O12=0,"",('Products x speed'!O204*10^6/'Products x speed'!O12))</f>
        <v/>
      </c>
    </row>
    <row r="99" spans="1:21">
      <c r="A99" s="642">
        <v>1</v>
      </c>
      <c r="B99" s="91" t="s">
        <v>255</v>
      </c>
      <c r="C99" s="92" t="s">
        <v>160</v>
      </c>
      <c r="D99" s="93" t="s">
        <v>161</v>
      </c>
      <c r="E99" s="565">
        <v>25.939560910404783</v>
      </c>
      <c r="F99" s="566">
        <v>22.688081673781415</v>
      </c>
      <c r="G99" s="566">
        <v>22.22062865405962</v>
      </c>
      <c r="H99" s="566">
        <v>18.709801438173759</v>
      </c>
      <c r="I99" s="566">
        <v>20.126479250400688</v>
      </c>
      <c r="J99" s="566">
        <v>19.049722478191732</v>
      </c>
      <c r="K99" s="128">
        <f>IF('Products x speed'!E13=0,"",('Products x speed'!E205*10^6/'Products x speed'!E13))</f>
        <v>18</v>
      </c>
      <c r="L99" s="128" t="str">
        <f>IF('Products x speed'!F13=0,"",('Products x speed'!F205*10^6/'Products x speed'!F13))</f>
        <v/>
      </c>
      <c r="M99" s="128" t="str">
        <f>IF('Products x speed'!G13=0,"",('Products x speed'!G205*10^6/'Products x speed'!G13))</f>
        <v/>
      </c>
      <c r="N99" s="128" t="str">
        <f>IF('Products x speed'!H13=0,"",('Products x speed'!H205*10^6/'Products x speed'!H13))</f>
        <v/>
      </c>
      <c r="O99" s="128" t="str">
        <f>IF('Products x speed'!I13=0,"",('Products x speed'!I205*10^6/'Products x speed'!I13))</f>
        <v/>
      </c>
      <c r="P99" s="128" t="str">
        <f>IF('Products x speed'!J13=0,"",('Products x speed'!J205*10^6/'Products x speed'!J13))</f>
        <v/>
      </c>
      <c r="Q99" s="128" t="str">
        <f>IF('Products x speed'!K13=0,"",('Products x speed'!K205*10^6/'Products x speed'!K13))</f>
        <v/>
      </c>
      <c r="R99" s="382" t="str">
        <f>IF('Products x speed'!L13=0,"",('Products x speed'!L205*10^6/'Products x speed'!L13))</f>
        <v/>
      </c>
      <c r="S99" s="382" t="str">
        <f>IF('Products x speed'!M13=0,"",('Products x speed'!M205*10^6/'Products x speed'!M13))</f>
        <v/>
      </c>
      <c r="T99" s="382" t="str">
        <f>IF('Products x speed'!N13=0,"",('Products x speed'!N205*10^6/'Products x speed'!N13))</f>
        <v/>
      </c>
      <c r="U99" s="382" t="str">
        <f>IF('Products x speed'!O13=0,"",('Products x speed'!O205*10^6/'Products x speed'!O13))</f>
        <v/>
      </c>
    </row>
    <row r="100" spans="1:21">
      <c r="A100" s="642">
        <v>10</v>
      </c>
      <c r="B100" s="95" t="str">
        <f>'Products x speed'!B14</f>
        <v>10G</v>
      </c>
      <c r="C100" s="96" t="s">
        <v>34</v>
      </c>
      <c r="D100" s="96" t="s">
        <v>37</v>
      </c>
      <c r="E100" s="563">
        <v>15.112743762429563</v>
      </c>
      <c r="F100" s="564">
        <v>13.644428836751862</v>
      </c>
      <c r="G100" s="564">
        <v>12.213062068937878</v>
      </c>
      <c r="H100" s="564">
        <v>10.358623644251628</v>
      </c>
      <c r="I100" s="564">
        <v>8.8299085008401157</v>
      </c>
      <c r="J100" s="564">
        <v>7.1240862463661356</v>
      </c>
      <c r="K100" s="370">
        <f>IF('Products x speed'!E14=0,"",('Products x speed'!E206*10^6/('Products x speed'!E14*$A100)))</f>
        <v>6.5084287545305619</v>
      </c>
      <c r="L100" s="370">
        <f>IF('Products x speed'!F14=0,"",('Products x speed'!F206*10^6/('Products x speed'!F14*$A100)))</f>
        <v>5.8749084731162213</v>
      </c>
      <c r="M100" s="370" t="str">
        <f>IF('Products x speed'!G14=0,"",('Products x speed'!G206*10^6/('Products x speed'!G14*$A100)))</f>
        <v/>
      </c>
      <c r="N100" s="370" t="str">
        <f>IF('Products x speed'!H14=0,"",('Products x speed'!H206*10^6/('Products x speed'!H14*$A100)))</f>
        <v/>
      </c>
      <c r="O100" s="370" t="str">
        <f>IF('Products x speed'!I14=0,"",('Products x speed'!I206*10^6/('Products x speed'!I14*$A100)))</f>
        <v/>
      </c>
      <c r="P100" s="370" t="str">
        <f>IF('Products x speed'!J14=0,"",('Products x speed'!J206*10^6/('Products x speed'!J14*$A100)))</f>
        <v/>
      </c>
      <c r="Q100" s="370" t="str">
        <f>IF('Products x speed'!K14=0,"",('Products x speed'!K206*10^6/('Products x speed'!K14*$A100)))</f>
        <v/>
      </c>
      <c r="R100" s="370" t="str">
        <f>IF('Products x speed'!L14=0,"",('Products x speed'!L206*10^6/('Products x speed'!L14*$A100)))</f>
        <v/>
      </c>
      <c r="S100" s="370" t="str">
        <f>IF('Products x speed'!M14=0,"",('Products x speed'!M206*10^6/('Products x speed'!M14*$A100)))</f>
        <v/>
      </c>
      <c r="T100" s="370" t="str">
        <f>IF('Products x speed'!N14=0,"",('Products x speed'!N206*10^6/('Products x speed'!N14*$A100)))</f>
        <v/>
      </c>
      <c r="U100" s="370" t="str">
        <f>IF('Products x speed'!O14=0,"",('Products x speed'!O206*10^6/('Products x speed'!O14*$A100)))</f>
        <v/>
      </c>
    </row>
    <row r="101" spans="1:21">
      <c r="A101" s="642">
        <v>10</v>
      </c>
      <c r="B101" s="95" t="str">
        <f>'Products x speed'!B15</f>
        <v>10G</v>
      </c>
      <c r="C101" s="96" t="s">
        <v>34</v>
      </c>
      <c r="D101" s="330" t="s">
        <v>43</v>
      </c>
      <c r="E101" s="563">
        <v>6.3065721604628431</v>
      </c>
      <c r="F101" s="564">
        <v>5.2297989857359539</v>
      </c>
      <c r="G101" s="564">
        <v>4.4677992243753275</v>
      </c>
      <c r="H101" s="564">
        <v>3.4688754082935795</v>
      </c>
      <c r="I101" s="564">
        <v>2.6888660608661401</v>
      </c>
      <c r="J101" s="564">
        <v>2.1430684172313463</v>
      </c>
      <c r="K101" s="370">
        <f>IF('Products x speed'!E15=0,"",('Products x speed'!E207*10^6/('Products x speed'!E15*$A101)))</f>
        <v>1.8016278339273539</v>
      </c>
      <c r="L101" s="370">
        <f>IF('Products x speed'!F15=0,"",('Products x speed'!F207*10^6/('Products x speed'!F15*$A101)))</f>
        <v>1.5097691372748405</v>
      </c>
      <c r="M101" s="370" t="str">
        <f>IF('Products x speed'!G15=0,"",('Products x speed'!G207*10^6/('Products x speed'!G15*$A101)))</f>
        <v/>
      </c>
      <c r="N101" s="370" t="str">
        <f>IF('Products x speed'!H15=0,"",('Products x speed'!H207*10^6/('Products x speed'!H15*$A101)))</f>
        <v/>
      </c>
      <c r="O101" s="370" t="str">
        <f>IF('Products x speed'!I15=0,"",('Products x speed'!I207*10^6/('Products x speed'!I15*$A101)))</f>
        <v/>
      </c>
      <c r="P101" s="370" t="str">
        <f>IF('Products x speed'!J15=0,"",('Products x speed'!J207*10^6/('Products x speed'!J15*$A101)))</f>
        <v/>
      </c>
      <c r="Q101" s="370" t="str">
        <f>IF('Products x speed'!K15=0,"",('Products x speed'!K207*10^6/('Products x speed'!K15*$A101)))</f>
        <v/>
      </c>
      <c r="R101" s="370" t="str">
        <f>IF('Products x speed'!L15=0,"",('Products x speed'!L207*10^6/('Products x speed'!L15*$A101)))</f>
        <v/>
      </c>
      <c r="S101" s="370" t="str">
        <f>IF('Products x speed'!M15=0,"",('Products x speed'!M207*10^6/('Products x speed'!M15*$A101)))</f>
        <v/>
      </c>
      <c r="T101" s="370" t="str">
        <f>IF('Products x speed'!N15=0,"",('Products x speed'!N207*10^6/('Products x speed'!N15*$A101)))</f>
        <v/>
      </c>
      <c r="U101" s="370" t="str">
        <f>IF('Products x speed'!O15=0,"",('Products x speed'!O207*10^6/('Products x speed'!O15*$A101)))</f>
        <v/>
      </c>
    </row>
    <row r="102" spans="1:21">
      <c r="A102" s="642">
        <v>10</v>
      </c>
      <c r="B102" s="95" t="str">
        <f>'Products x speed'!B16</f>
        <v>10G LRM</v>
      </c>
      <c r="C102" s="96" t="s">
        <v>41</v>
      </c>
      <c r="D102" s="96" t="s">
        <v>43</v>
      </c>
      <c r="E102" s="563">
        <v>14.424503640491661</v>
      </c>
      <c r="F102" s="564">
        <v>14.320708480982754</v>
      </c>
      <c r="G102" s="564">
        <v>12.179925063605946</v>
      </c>
      <c r="H102" s="564">
        <v>10.562327378629689</v>
      </c>
      <c r="I102" s="564">
        <v>12.750044659952088</v>
      </c>
      <c r="J102" s="564">
        <v>12.14662229411816</v>
      </c>
      <c r="K102" s="370">
        <f>IF('Products x speed'!E16=0,"",('Products x speed'!E208*10^6/('Products x speed'!E16*$A102)))</f>
        <v>7.8390761412913719</v>
      </c>
      <c r="L102" s="370">
        <f>IF('Products x speed'!F16=0,"",('Products x speed'!F208*10^6/('Products x speed'!F16*$A102)))</f>
        <v>6.6716018564745481</v>
      </c>
      <c r="M102" s="370" t="str">
        <f>IF('Products x speed'!G16=0,"",('Products x speed'!G208*10^6/('Products x speed'!G16*$A102)))</f>
        <v/>
      </c>
      <c r="N102" s="370" t="str">
        <f>IF('Products x speed'!H16=0,"",('Products x speed'!H208*10^6/('Products x speed'!H16*$A102)))</f>
        <v/>
      </c>
      <c r="O102" s="370" t="str">
        <f>IF('Products x speed'!I16=0,"",('Products x speed'!I208*10^6/('Products x speed'!I16*$A102)))</f>
        <v/>
      </c>
      <c r="P102" s="370" t="str">
        <f>IF('Products x speed'!J16=0,"",('Products x speed'!J208*10^6/('Products x speed'!J16*$A102)))</f>
        <v/>
      </c>
      <c r="Q102" s="370" t="str">
        <f>IF('Products x speed'!K16=0,"",('Products x speed'!K208*10^6/('Products x speed'!K16*$A102)))</f>
        <v/>
      </c>
      <c r="R102" s="370" t="str">
        <f>IF('Products x speed'!L16=0,"",('Products x speed'!L208*10^6/('Products x speed'!L16*$A102)))</f>
        <v/>
      </c>
      <c r="S102" s="370" t="str">
        <f>IF('Products x speed'!M16=0,"",('Products x speed'!M208*10^6/('Products x speed'!M16*$A102)))</f>
        <v/>
      </c>
      <c r="T102" s="370" t="str">
        <f>IF('Products x speed'!N16=0,"",('Products x speed'!N208*10^6/('Products x speed'!N16*$A102)))</f>
        <v/>
      </c>
      <c r="U102" s="370" t="str">
        <f>IF('Products x speed'!O16=0,"",('Products x speed'!O208*10^6/('Products x speed'!O16*$A102)))</f>
        <v/>
      </c>
    </row>
    <row r="103" spans="1:21">
      <c r="A103" s="642">
        <v>10</v>
      </c>
      <c r="B103" s="95" t="str">
        <f>'Products x speed'!B17</f>
        <v>10G</v>
      </c>
      <c r="C103" s="96" t="s">
        <v>50</v>
      </c>
      <c r="D103" s="96" t="s">
        <v>37</v>
      </c>
      <c r="E103" s="563">
        <v>21.949942921858643</v>
      </c>
      <c r="F103" s="564">
        <v>16.075519589493304</v>
      </c>
      <c r="G103" s="564">
        <v>14.249466750501512</v>
      </c>
      <c r="H103" s="564">
        <v>10.184443824489581</v>
      </c>
      <c r="I103" s="564">
        <v>9.3993109419468723</v>
      </c>
      <c r="J103" s="564">
        <v>9.1544098465554882</v>
      </c>
      <c r="K103" s="370">
        <f>IF('Products x speed'!E17=0,"",('Products x speed'!E209*10^6/('Products x speed'!E17*$A103)))</f>
        <v>6.757697222104901</v>
      </c>
      <c r="L103" s="370">
        <f>IF('Products x speed'!F17=0,"",('Products x speed'!F209*10^6/('Products x speed'!F17*$A103)))</f>
        <v>5.1799368807617707</v>
      </c>
      <c r="M103" s="370" t="str">
        <f>IF('Products x speed'!G17=0,"",('Products x speed'!G209*10^6/('Products x speed'!G17*$A103)))</f>
        <v/>
      </c>
      <c r="N103" s="370" t="str">
        <f>IF('Products x speed'!H17=0,"",('Products x speed'!H209*10^6/('Products x speed'!H17*$A103)))</f>
        <v/>
      </c>
      <c r="O103" s="370" t="str">
        <f>IF('Products x speed'!I17=0,"",('Products x speed'!I209*10^6/('Products x speed'!I17*$A103)))</f>
        <v/>
      </c>
      <c r="P103" s="370" t="str">
        <f>IF('Products x speed'!J17=0,"",('Products x speed'!J209*10^6/('Products x speed'!J17*$A103)))</f>
        <v/>
      </c>
      <c r="Q103" s="370" t="str">
        <f>IF('Products x speed'!K17=0,"",('Products x speed'!K209*10^6/('Products x speed'!K17*$A103)))</f>
        <v/>
      </c>
      <c r="R103" s="370" t="str">
        <f>IF('Products x speed'!L17=0,"",('Products x speed'!L209*10^6/('Products x speed'!L17*$A103)))</f>
        <v/>
      </c>
      <c r="S103" s="370" t="str">
        <f>IF('Products x speed'!M17=0,"",('Products x speed'!M209*10^6/('Products x speed'!M17*$A103)))</f>
        <v/>
      </c>
      <c r="T103" s="370" t="str">
        <f>IF('Products x speed'!N17=0,"",('Products x speed'!N209*10^6/('Products x speed'!N17*$A103)))</f>
        <v/>
      </c>
      <c r="U103" s="370" t="str">
        <f>IF('Products x speed'!O17=0,"",('Products x speed'!O209*10^6/('Products x speed'!O17*$A103)))</f>
        <v/>
      </c>
    </row>
    <row r="104" spans="1:21">
      <c r="A104" s="642">
        <v>10</v>
      </c>
      <c r="B104" s="95" t="str">
        <f>'Products x speed'!B18</f>
        <v>10G</v>
      </c>
      <c r="C104" s="96" t="s">
        <v>50</v>
      </c>
      <c r="D104" s="96" t="s">
        <v>43</v>
      </c>
      <c r="E104" s="563">
        <v>17.318530244368393</v>
      </c>
      <c r="F104" s="564">
        <v>14.620100776925561</v>
      </c>
      <c r="G104" s="564">
        <v>11.971948263419872</v>
      </c>
      <c r="H104" s="564">
        <v>9.4707702365193303</v>
      </c>
      <c r="I104" s="564">
        <v>6.5595897378862764</v>
      </c>
      <c r="J104" s="564">
        <v>5.4323012474402681</v>
      </c>
      <c r="K104" s="370">
        <f>IF('Products x speed'!E18=0,"",('Products x speed'!E210*10^6/('Products x speed'!E18*$A104)))</f>
        <v>3.846595831142734</v>
      </c>
      <c r="L104" s="370">
        <f>IF('Products x speed'!F18=0,"",('Products x speed'!F210*10^6/('Products x speed'!F18*$A104)))</f>
        <v>3.05</v>
      </c>
      <c r="M104" s="370" t="str">
        <f>IF('Products x speed'!G18=0,"",('Products x speed'!G210*10^6/('Products x speed'!G18*$A104)))</f>
        <v/>
      </c>
      <c r="N104" s="370" t="str">
        <f>IF('Products x speed'!H18=0,"",('Products x speed'!H210*10^6/('Products x speed'!H18*$A104)))</f>
        <v/>
      </c>
      <c r="O104" s="370" t="str">
        <f>IF('Products x speed'!I18=0,"",('Products x speed'!I210*10^6/('Products x speed'!I18*$A104)))</f>
        <v/>
      </c>
      <c r="P104" s="370" t="str">
        <f>IF('Products x speed'!J18=0,"",('Products x speed'!J210*10^6/('Products x speed'!J18*$A104)))</f>
        <v/>
      </c>
      <c r="Q104" s="370" t="str">
        <f>IF('Products x speed'!K18=0,"",('Products x speed'!K210*10^6/('Products x speed'!K18*$A104)))</f>
        <v/>
      </c>
      <c r="R104" s="370" t="str">
        <f>IF('Products x speed'!L18=0,"",('Products x speed'!L210*10^6/('Products x speed'!L18*$A104)))</f>
        <v/>
      </c>
      <c r="S104" s="370" t="str">
        <f>IF('Products x speed'!M18=0,"",('Products x speed'!M210*10^6/('Products x speed'!M18*$A104)))</f>
        <v/>
      </c>
      <c r="T104" s="370" t="str">
        <f>IF('Products x speed'!N18=0,"",('Products x speed'!N210*10^6/('Products x speed'!N18*$A104)))</f>
        <v/>
      </c>
      <c r="U104" s="370" t="str">
        <f>IF('Products x speed'!O18=0,"",('Products x speed'!O210*10^6/('Products x speed'!O18*$A104)))</f>
        <v/>
      </c>
    </row>
    <row r="105" spans="1:21">
      <c r="A105" s="642">
        <v>10</v>
      </c>
      <c r="B105" s="95" t="str">
        <f>'Products x speed'!B19</f>
        <v>10G</v>
      </c>
      <c r="C105" s="96" t="s">
        <v>55</v>
      </c>
      <c r="D105" s="96" t="s">
        <v>39</v>
      </c>
      <c r="E105" s="563">
        <v>45.874914932918529</v>
      </c>
      <c r="F105" s="564">
        <v>37.910166436234448</v>
      </c>
      <c r="G105" s="564">
        <v>27.801267657346035</v>
      </c>
      <c r="H105" s="564">
        <v>24.705890892593853</v>
      </c>
      <c r="I105" s="564">
        <v>27.500914160292453</v>
      </c>
      <c r="J105" s="564">
        <v>18.976906755898383</v>
      </c>
      <c r="K105" s="370">
        <f>IF('Products x speed'!E19=0,"",('Products x speed'!E211*10^6/('Products x speed'!E19*$A105)))</f>
        <v>20.296860771881491</v>
      </c>
      <c r="L105" s="370">
        <f>IF('Products x speed'!F19=0,"",('Products x speed'!F211*10^6/('Products x speed'!F19*$A105)))</f>
        <v>13.947449702400384</v>
      </c>
      <c r="M105" s="370" t="str">
        <f>IF('Products x speed'!G19=0,"",('Products x speed'!G211*10^6/('Products x speed'!G19*$A105)))</f>
        <v/>
      </c>
      <c r="N105" s="370" t="str">
        <f>IF('Products x speed'!H19=0,"",('Products x speed'!H211*10^6/('Products x speed'!H19*$A105)))</f>
        <v/>
      </c>
      <c r="O105" s="370" t="str">
        <f>IF('Products x speed'!I19=0,"",('Products x speed'!I211*10^6/('Products x speed'!I19*$A105)))</f>
        <v/>
      </c>
      <c r="P105" s="370" t="str">
        <f>IF('Products x speed'!J19=0,"",('Products x speed'!J211*10^6/('Products x speed'!J19*$A105)))</f>
        <v/>
      </c>
      <c r="Q105" s="370" t="str">
        <f>IF('Products x speed'!K19=0,"",('Products x speed'!K211*10^6/('Products x speed'!K19*$A105)))</f>
        <v/>
      </c>
      <c r="R105" s="370" t="str">
        <f>IF('Products x speed'!L19=0,"",('Products x speed'!L211*10^6/('Products x speed'!L19*$A105)))</f>
        <v/>
      </c>
      <c r="S105" s="370" t="str">
        <f>IF('Products x speed'!M19=0,"",('Products x speed'!M211*10^6/('Products x speed'!M19*$A105)))</f>
        <v/>
      </c>
      <c r="T105" s="370" t="str">
        <f>IF('Products x speed'!N19=0,"",('Products x speed'!N211*10^6/('Products x speed'!N19*$A105)))</f>
        <v/>
      </c>
      <c r="U105" s="370" t="str">
        <f>IF('Products x speed'!O19=0,"",('Products x speed'!O211*10^6/('Products x speed'!O19*$A105)))</f>
        <v/>
      </c>
    </row>
    <row r="106" spans="1:21">
      <c r="A106" s="642">
        <v>10</v>
      </c>
      <c r="B106" s="95" t="str">
        <f>'Products x speed'!B20</f>
        <v>10G</v>
      </c>
      <c r="C106" s="96" t="s">
        <v>55</v>
      </c>
      <c r="D106" s="96" t="s">
        <v>43</v>
      </c>
      <c r="E106" s="563">
        <v>49.522759992422806</v>
      </c>
      <c r="F106" s="564">
        <v>28.460997703897085</v>
      </c>
      <c r="G106" s="564">
        <v>28.065265440087025</v>
      </c>
      <c r="H106" s="564">
        <v>29.089882800330866</v>
      </c>
      <c r="I106" s="564">
        <v>26.671920773297607</v>
      </c>
      <c r="J106" s="564">
        <v>22.444621372233495</v>
      </c>
      <c r="K106" s="370">
        <f>IF('Products x speed'!E20=0,"",('Products x speed'!E212*10^6/('Products x speed'!E20*$A106)))</f>
        <v>19.120778168956544</v>
      </c>
      <c r="L106" s="370">
        <f>IF('Products x speed'!F20=0,"",('Products x speed'!F212*10^6/('Products x speed'!F20*$A106)))</f>
        <v>15.578241680453386</v>
      </c>
      <c r="M106" s="370" t="str">
        <f>IF('Products x speed'!G20=0,"",('Products x speed'!G212*10^6/('Products x speed'!G20*$A106)))</f>
        <v/>
      </c>
      <c r="N106" s="370" t="str">
        <f>IF('Products x speed'!H20=0,"",('Products x speed'!H212*10^6/('Products x speed'!H20*$A106)))</f>
        <v/>
      </c>
      <c r="O106" s="370" t="str">
        <f>IF('Products x speed'!I20=0,"",('Products x speed'!I212*10^6/('Products x speed'!I20*$A106)))</f>
        <v/>
      </c>
      <c r="P106" s="370" t="str">
        <f>IF('Products x speed'!J20=0,"",('Products x speed'!J212*10^6/('Products x speed'!J20*$A106)))</f>
        <v/>
      </c>
      <c r="Q106" s="370" t="str">
        <f>IF('Products x speed'!K20=0,"",('Products x speed'!K212*10^6/('Products x speed'!K20*$A106)))</f>
        <v/>
      </c>
      <c r="R106" s="370" t="str">
        <f>IF('Products x speed'!L20=0,"",('Products x speed'!L212*10^6/('Products x speed'!L20*$A106)))</f>
        <v/>
      </c>
      <c r="S106" s="370" t="str">
        <f>IF('Products x speed'!M20=0,"",('Products x speed'!M212*10^6/('Products x speed'!M20*$A106)))</f>
        <v/>
      </c>
      <c r="T106" s="370" t="str">
        <f>IF('Products x speed'!N20=0,"",('Products x speed'!N212*10^6/('Products x speed'!N20*$A106)))</f>
        <v/>
      </c>
      <c r="U106" s="370" t="str">
        <f>IF('Products x speed'!O20=0,"",('Products x speed'!O212*10^6/('Products x speed'!O20*$A106)))</f>
        <v/>
      </c>
    </row>
    <row r="107" spans="1:21">
      <c r="A107" s="642">
        <v>10</v>
      </c>
      <c r="B107" s="95" t="str">
        <f>'Products x speed'!B21</f>
        <v>10G</v>
      </c>
      <c r="C107" s="96" t="s">
        <v>57</v>
      </c>
      <c r="D107" s="96" t="s">
        <v>39</v>
      </c>
      <c r="E107" s="563">
        <v>100.59981308411216</v>
      </c>
      <c r="F107" s="564">
        <v>89.19652258693533</v>
      </c>
      <c r="G107" s="564">
        <v>71.370818803180356</v>
      </c>
      <c r="H107" s="564">
        <v>49.034202541247865</v>
      </c>
      <c r="I107" s="564">
        <v>45.201280095262213</v>
      </c>
      <c r="J107" s="564">
        <v>40.142869182236097</v>
      </c>
      <c r="K107" s="370">
        <f>IF('Products x speed'!E21=0,"",('Products x speed'!E213*10^6/('Products x speed'!E21*$A107)))</f>
        <v>27.207487233854959</v>
      </c>
      <c r="L107" s="370">
        <f>IF('Products x speed'!F21=0,"",('Products x speed'!F213*10^6/('Products x speed'!F21*$A107)))</f>
        <v>27.905568350167474</v>
      </c>
      <c r="M107" s="370" t="str">
        <f>IF('Products x speed'!G21=0,"",('Products x speed'!G213*10^6/('Products x speed'!G21*$A107)))</f>
        <v/>
      </c>
      <c r="N107" s="370" t="str">
        <f>IF('Products x speed'!H21=0,"",('Products x speed'!H213*10^6/('Products x speed'!H21*$A107)))</f>
        <v/>
      </c>
      <c r="O107" s="370" t="str">
        <f>IF('Products x speed'!I21=0,"",('Products x speed'!I213*10^6/('Products x speed'!I21*$A107)))</f>
        <v/>
      </c>
      <c r="P107" s="370" t="str">
        <f>IF('Products x speed'!J21=0,"",('Products x speed'!J213*10^6/('Products x speed'!J21*$A107)))</f>
        <v/>
      </c>
      <c r="Q107" s="370" t="str">
        <f>IF('Products x speed'!K21=0,"",('Products x speed'!K213*10^6/('Products x speed'!K21*$A107)))</f>
        <v/>
      </c>
      <c r="R107" s="370" t="str">
        <f>IF('Products x speed'!L21=0,"",('Products x speed'!L213*10^6/('Products x speed'!L21*$A107)))</f>
        <v/>
      </c>
      <c r="S107" s="370" t="str">
        <f>IF('Products x speed'!M21=0,"",('Products x speed'!M213*10^6/('Products x speed'!M21*$A107)))</f>
        <v/>
      </c>
      <c r="T107" s="370" t="str">
        <f>IF('Products x speed'!N21=0,"",('Products x speed'!N213*10^6/('Products x speed'!N21*$A107)))</f>
        <v/>
      </c>
      <c r="U107" s="370" t="str">
        <f>IF('Products x speed'!O21=0,"",('Products x speed'!O213*10^6/('Products x speed'!O21*$A107)))</f>
        <v/>
      </c>
    </row>
    <row r="108" spans="1:21">
      <c r="A108" s="642">
        <v>10</v>
      </c>
      <c r="B108" s="95" t="str">
        <f>'Products x speed'!B22</f>
        <v>10G</v>
      </c>
      <c r="C108" s="96" t="s">
        <v>57</v>
      </c>
      <c r="D108" s="96" t="s">
        <v>43</v>
      </c>
      <c r="E108" s="563">
        <v>90</v>
      </c>
      <c r="F108" s="564">
        <v>72</v>
      </c>
      <c r="G108" s="564">
        <v>70</v>
      </c>
      <c r="H108" s="564">
        <v>68.759579667644189</v>
      </c>
      <c r="I108" s="564">
        <v>61.089275470004111</v>
      </c>
      <c r="J108" s="564">
        <v>43.108286819302243</v>
      </c>
      <c r="K108" s="370">
        <f>IF('Products x speed'!E22=0,"",('Products x speed'!E214*10^6/('Products x speed'!E22*$A108)))</f>
        <v>36.231733736347387</v>
      </c>
      <c r="L108" s="370">
        <f>IF('Products x speed'!F22=0,"",('Products x speed'!F214*10^6/('Products x speed'!F22*$A108)))</f>
        <v>29.614130230693675</v>
      </c>
      <c r="M108" s="370" t="str">
        <f>IF('Products x speed'!G22=0,"",('Products x speed'!G214*10^6/('Products x speed'!G22*$A108)))</f>
        <v/>
      </c>
      <c r="N108" s="370" t="str">
        <f>IF('Products x speed'!H22=0,"",('Products x speed'!H214*10^6/('Products x speed'!H22*$A108)))</f>
        <v/>
      </c>
      <c r="O108" s="370" t="str">
        <f>IF('Products x speed'!I22=0,"",('Products x speed'!I214*10^6/('Products x speed'!I22*$A108)))</f>
        <v/>
      </c>
      <c r="P108" s="370" t="str">
        <f>IF('Products x speed'!J22=0,"",('Products x speed'!J214*10^6/('Products x speed'!J22*$A108)))</f>
        <v/>
      </c>
      <c r="Q108" s="370" t="str">
        <f>IF('Products x speed'!K22=0,"",('Products x speed'!K214*10^6/('Products x speed'!K22*$A108)))</f>
        <v/>
      </c>
      <c r="R108" s="370" t="str">
        <f>IF('Products x speed'!L22=0,"",('Products x speed'!L214*10^6/('Products x speed'!L22*$A108)))</f>
        <v/>
      </c>
      <c r="S108" s="370" t="str">
        <f>IF('Products x speed'!M22=0,"",('Products x speed'!M214*10^6/('Products x speed'!M22*$A108)))</f>
        <v/>
      </c>
      <c r="T108" s="370" t="str">
        <f>IF('Products x speed'!N22=0,"",('Products x speed'!N214*10^6/('Products x speed'!N22*$A108)))</f>
        <v/>
      </c>
      <c r="U108" s="370" t="str">
        <f>IF('Products x speed'!O22=0,"",('Products x speed'!O214*10^6/('Products x speed'!O22*$A108)))</f>
        <v/>
      </c>
    </row>
    <row r="109" spans="1:21">
      <c r="A109" s="642">
        <v>10</v>
      </c>
      <c r="B109" s="91" t="str">
        <f>'Products x speed'!B23</f>
        <v>10G</v>
      </c>
      <c r="C109" s="92" t="s">
        <v>160</v>
      </c>
      <c r="D109" s="92" t="s">
        <v>161</v>
      </c>
      <c r="E109" s="565">
        <v>23.186054938926809</v>
      </c>
      <c r="F109" s="566">
        <v>18.046254106421078</v>
      </c>
      <c r="G109" s="566">
        <v>15.98759050008206</v>
      </c>
      <c r="H109" s="566">
        <v>14.120306156443664</v>
      </c>
      <c r="I109" s="566">
        <v>12.638928513741623</v>
      </c>
      <c r="J109" s="566">
        <v>11.370912284040928</v>
      </c>
      <c r="K109" s="370">
        <f>IF('Products x speed'!E23=0,"",('Products x speed'!E215*10^6/('Products x speed'!E23*$A109)))</f>
        <v>9.9093186017554924</v>
      </c>
      <c r="L109" s="370">
        <f>IF('Products x speed'!F23=0,"",('Products x speed'!F215*10^6/('Products x speed'!F23*$A109)))</f>
        <v>9.4281145957499302</v>
      </c>
      <c r="M109" s="370" t="str">
        <f>IF('Products x speed'!G23=0,"",('Products x speed'!G215*10^6/('Products x speed'!G23*$A109)))</f>
        <v/>
      </c>
      <c r="N109" s="370" t="str">
        <f>IF('Products x speed'!H23=0,"",('Products x speed'!H215*10^6/('Products x speed'!H23*$A109)))</f>
        <v/>
      </c>
      <c r="O109" s="370" t="str">
        <f>IF('Products x speed'!I23=0,"",('Products x speed'!I215*10^6/('Products x speed'!I23*$A109)))</f>
        <v/>
      </c>
      <c r="P109" s="370" t="str">
        <f>IF('Products x speed'!J23=0,"",('Products x speed'!J215*10^6/('Products x speed'!J23*$A109)))</f>
        <v/>
      </c>
      <c r="Q109" s="370" t="str">
        <f>IF('Products x speed'!K23=0,"",('Products x speed'!K215*10^6/('Products x speed'!K23*$A109)))</f>
        <v/>
      </c>
      <c r="R109" s="370" t="str">
        <f>IF('Products x speed'!L23=0,"",('Products x speed'!L215*10^6/('Products x speed'!L23*$A109)))</f>
        <v/>
      </c>
      <c r="S109" s="370" t="str">
        <f>IF('Products x speed'!M23=0,"",('Products x speed'!M215*10^6/('Products x speed'!M23*$A109)))</f>
        <v/>
      </c>
      <c r="T109" s="370" t="str">
        <f>IF('Products x speed'!N23=0,"",('Products x speed'!N215*10^6/('Products x speed'!N23*$A109)))</f>
        <v/>
      </c>
      <c r="U109" s="370" t="str">
        <f>IF('Products x speed'!O23=0,"",('Products x speed'!O215*10^6/('Products x speed'!O23*$A109)))</f>
        <v/>
      </c>
    </row>
    <row r="110" spans="1:21">
      <c r="A110" s="642">
        <v>25</v>
      </c>
      <c r="B110" s="87" t="str">
        <f>'Products x speed'!B24</f>
        <v>25G SR, eSR</v>
      </c>
      <c r="C110" s="238" t="s">
        <v>34</v>
      </c>
      <c r="D110" s="238" t="s">
        <v>109</v>
      </c>
      <c r="E110" s="694">
        <f>(E104+E100)/2*10</f>
        <v>162.15637003398979</v>
      </c>
      <c r="F110" s="694">
        <f t="shared" ref="F110:J110" si="16">(F104+F100)/2*10</f>
        <v>141.32264806838714</v>
      </c>
      <c r="G110" s="694">
        <f t="shared" si="16"/>
        <v>120.92505166178874</v>
      </c>
      <c r="H110" s="694">
        <f t="shared" si="16"/>
        <v>99.146969403854797</v>
      </c>
      <c r="I110" s="694">
        <f t="shared" si="16"/>
        <v>76.947491193631961</v>
      </c>
      <c r="J110" s="694">
        <f t="shared" si="16"/>
        <v>62.781937469032023</v>
      </c>
      <c r="K110" s="124">
        <f>IF('Products x speed'!E24=0,"",('Products x speed'!E216*10^6/('Products x speed'!E24*$A110)))</f>
        <v>7.4857262804366078</v>
      </c>
      <c r="L110" s="124">
        <f>IF('Products x speed'!F24=0,"",('Products x speed'!F216*10^6/('Products x speed'!F24*$A110)))</f>
        <v>5.6444287278986067</v>
      </c>
      <c r="M110" s="124" t="str">
        <f>IF('Products x speed'!G24=0,"",('Products x speed'!G216*10^6/('Products x speed'!G24*$A110)))</f>
        <v/>
      </c>
      <c r="N110" s="124" t="str">
        <f>IF('Products x speed'!H24=0,"",('Products x speed'!H216*10^6/('Products x speed'!H24*$A110)))</f>
        <v/>
      </c>
      <c r="O110" s="124" t="str">
        <f>IF('Products x speed'!I24=0,"",('Products x speed'!I216*10^6/('Products x speed'!I24*$A110)))</f>
        <v/>
      </c>
      <c r="P110" s="124" t="str">
        <f>IF('Products x speed'!J24=0,"",('Products x speed'!J216*10^6/('Products x speed'!J24*$A110)))</f>
        <v/>
      </c>
      <c r="Q110" s="124" t="str">
        <f>IF('Products x speed'!K24=0,"",('Products x speed'!K216*10^6/('Products x speed'!K24*$A110)))</f>
        <v/>
      </c>
      <c r="R110" s="381" t="str">
        <f>IF('Products x speed'!L24=0,"",('Products x speed'!L216*10^6/('Products x speed'!L24*$A110)))</f>
        <v/>
      </c>
      <c r="S110" s="381" t="str">
        <f>IF('Products x speed'!M24=0,"",('Products x speed'!M216*10^6/('Products x speed'!M24*$A110)))</f>
        <v/>
      </c>
      <c r="T110" s="381" t="str">
        <f>IF('Products x speed'!N24=0,"",('Products x speed'!N216*10^6/('Products x speed'!N24*$A110)))</f>
        <v/>
      </c>
      <c r="U110" s="381" t="str">
        <f>IF('Products x speed'!O24=0,"",('Products x speed'!O216*10^6/('Products x speed'!O24*$A110)))</f>
        <v/>
      </c>
    </row>
    <row r="111" spans="1:21">
      <c r="A111" s="642">
        <v>25</v>
      </c>
      <c r="B111" s="95" t="str">
        <f>'Products x speed'!B25</f>
        <v>25G LR</v>
      </c>
      <c r="C111" s="238" t="s">
        <v>50</v>
      </c>
      <c r="D111" s="238" t="s">
        <v>109</v>
      </c>
      <c r="E111" s="563" t="s">
        <v>90</v>
      </c>
      <c r="F111" s="564" t="s">
        <v>90</v>
      </c>
      <c r="G111" s="564" t="s">
        <v>90</v>
      </c>
      <c r="H111" s="564" t="s">
        <v>90</v>
      </c>
      <c r="I111" s="564" t="s">
        <v>90</v>
      </c>
      <c r="J111" s="564" t="s">
        <v>90</v>
      </c>
      <c r="K111" s="126">
        <f>IF('Products x speed'!E25=0,"",('Products x speed'!E217*10^6/('Products x speed'!E25*$A111)))</f>
        <v>18.249613016710644</v>
      </c>
      <c r="L111" s="126">
        <f>IF('Products x speed'!F25=0,"",('Products x speed'!F217*10^6/('Products x speed'!F25*$A111)))</f>
        <v>12.964142267585002</v>
      </c>
      <c r="M111" s="126" t="str">
        <f>IF('Products x speed'!G25=0,"",('Products x speed'!G217*10^6/('Products x speed'!G25*$A111)))</f>
        <v/>
      </c>
      <c r="N111" s="126" t="str">
        <f>IF('Products x speed'!H25=0,"",('Products x speed'!H217*10^6/('Products x speed'!H25*$A111)))</f>
        <v/>
      </c>
      <c r="O111" s="126" t="str">
        <f>IF('Products x speed'!I25=0,"",('Products x speed'!I217*10^6/('Products x speed'!I25*$A111)))</f>
        <v/>
      </c>
      <c r="P111" s="126" t="str">
        <f>IF('Products x speed'!J25=0,"",('Products x speed'!J217*10^6/('Products x speed'!J25*$A111)))</f>
        <v/>
      </c>
      <c r="Q111" s="126" t="str">
        <f>IF('Products x speed'!K25=0,"",('Products x speed'!K217*10^6/('Products x speed'!K25*$A111)))</f>
        <v/>
      </c>
      <c r="R111" s="368" t="str">
        <f>IF('Products x speed'!L25=0,"",('Products x speed'!L217*10^6/('Products x speed'!L25*$A111)))</f>
        <v/>
      </c>
      <c r="S111" s="368" t="str">
        <f>IF('Products x speed'!M25=0,"",('Products x speed'!M217*10^6/('Products x speed'!M25*$A111)))</f>
        <v/>
      </c>
      <c r="T111" s="368" t="str">
        <f>IF('Products x speed'!N25=0,"",('Products x speed'!N217*10^6/('Products x speed'!N25*$A111)))</f>
        <v/>
      </c>
      <c r="U111" s="368" t="str">
        <f>IF('Products x speed'!O25=0,"",('Products x speed'!O217*10^6/('Products x speed'!O25*$A111)))</f>
        <v/>
      </c>
    </row>
    <row r="112" spans="1:21">
      <c r="A112" s="642">
        <v>25</v>
      </c>
      <c r="B112" s="91" t="str">
        <f>'Products x speed'!B26</f>
        <v>25G ER</v>
      </c>
      <c r="C112" s="366" t="s">
        <v>55</v>
      </c>
      <c r="D112" s="238" t="s">
        <v>109</v>
      </c>
      <c r="E112" s="565" t="s">
        <v>90</v>
      </c>
      <c r="F112" s="566" t="s">
        <v>90</v>
      </c>
      <c r="G112" s="566" t="s">
        <v>90</v>
      </c>
      <c r="H112" s="566" t="s">
        <v>90</v>
      </c>
      <c r="I112" s="566" t="s">
        <v>90</v>
      </c>
      <c r="J112" s="566" t="s">
        <v>90</v>
      </c>
      <c r="K112" s="128" t="str">
        <f>IF('Products x speed'!E26=0,"",('Products x speed'!E218*10^6/('Products x speed'!E26*$A112)))</f>
        <v/>
      </c>
      <c r="L112" s="128" t="str">
        <f>IF('Products x speed'!F26=0,"",('Products x speed'!F218*10^6/('Products x speed'!F26*$A112)))</f>
        <v/>
      </c>
      <c r="M112" s="128" t="str">
        <f>IF('Products x speed'!G26=0,"",('Products x speed'!G218*10^6/('Products x speed'!G26*$A112)))</f>
        <v/>
      </c>
      <c r="N112" s="128" t="str">
        <f>IF('Products x speed'!H26=0,"",('Products x speed'!H218*10^6/('Products x speed'!H26*$A112)))</f>
        <v/>
      </c>
      <c r="O112" s="128" t="str">
        <f>IF('Products x speed'!I26=0,"",('Products x speed'!I218*10^6/('Products x speed'!I26*$A112)))</f>
        <v/>
      </c>
      <c r="P112" s="128" t="str">
        <f>IF('Products x speed'!J26=0,"",('Products x speed'!J218*10^6/('Products x speed'!J26*$A112)))</f>
        <v/>
      </c>
      <c r="Q112" s="128" t="str">
        <f>IF('Products x speed'!K26=0,"",('Products x speed'!K218*10^6/('Products x speed'!K26*$A112)))</f>
        <v/>
      </c>
      <c r="R112" s="382" t="str">
        <f>IF('Products x speed'!L26=0,"",('Products x speed'!L218*10^6/('Products x speed'!L26*$A112)))</f>
        <v/>
      </c>
      <c r="S112" s="382" t="str">
        <f>IF('Products x speed'!M26=0,"",('Products x speed'!M218*10^6/('Products x speed'!M26*$A112)))</f>
        <v/>
      </c>
      <c r="T112" s="382" t="str">
        <f>IF('Products x speed'!N26=0,"",('Products x speed'!N218*10^6/('Products x speed'!N26*$A112)))</f>
        <v/>
      </c>
      <c r="U112" s="382" t="str">
        <f>IF('Products x speed'!O26=0,"",('Products x speed'!O218*10^6/('Products x speed'!O26*$A112)))</f>
        <v/>
      </c>
    </row>
    <row r="113" spans="1:22">
      <c r="A113" s="642">
        <v>40</v>
      </c>
      <c r="B113" s="87" t="str">
        <f>'Products x speed'!B27</f>
        <v>40G SR4</v>
      </c>
      <c r="C113" s="88" t="str">
        <f>'Products x speed'!C27</f>
        <v>100 m</v>
      </c>
      <c r="D113" s="88" t="str">
        <f>'Products x speed'!D27</f>
        <v>QSFP+</v>
      </c>
      <c r="E113" s="563">
        <v>16</v>
      </c>
      <c r="F113" s="564">
        <v>7.186692574411718</v>
      </c>
      <c r="G113" s="564">
        <v>5.2569352371264841</v>
      </c>
      <c r="H113" s="564">
        <v>4.7415806558600639</v>
      </c>
      <c r="I113" s="564">
        <v>4.2772281148687288</v>
      </c>
      <c r="J113" s="564">
        <v>2.8627568014306539</v>
      </c>
      <c r="K113" s="126">
        <f>IF('Products x speed'!E27=0,"",('Products x speed'!E219*10^6/('Products x speed'!E27*$A113)))</f>
        <v>2.4148765971891244</v>
      </c>
      <c r="L113" s="126">
        <f>IF('Products x speed'!F27=0,"",('Products x speed'!F219*10^6/('Products x speed'!F27*$A113)))</f>
        <v>2.0094949393981421</v>
      </c>
      <c r="M113" s="126" t="str">
        <f>IF('Products x speed'!G27=0,"",('Products x speed'!G219*10^6/('Products x speed'!G27*$A113)))</f>
        <v/>
      </c>
      <c r="N113" s="126" t="str">
        <f>IF('Products x speed'!H27=0,"",('Products x speed'!H219*10^6/('Products x speed'!H27*$A113)))</f>
        <v/>
      </c>
      <c r="O113" s="126" t="str">
        <f>IF('Products x speed'!I27=0,"",('Products x speed'!I219*10^6/('Products x speed'!I27*$A113)))</f>
        <v/>
      </c>
      <c r="P113" s="126" t="str">
        <f>IF('Products x speed'!J27=0,"",('Products x speed'!J219*10^6/('Products x speed'!J27*$A113)))</f>
        <v/>
      </c>
      <c r="Q113" s="126" t="str">
        <f>IF('Products x speed'!K27=0,"",('Products x speed'!K219*10^6/('Products x speed'!K27*$A113)))</f>
        <v/>
      </c>
      <c r="R113" s="368" t="str">
        <f>IF('Products x speed'!L27=0,"",('Products x speed'!L219*10^6/('Products x speed'!L27*$A113)))</f>
        <v/>
      </c>
      <c r="S113" s="368" t="str">
        <f>IF('Products x speed'!M27=0,"",('Products x speed'!M219*10^6/('Products x speed'!M27*$A113)))</f>
        <v/>
      </c>
      <c r="T113" s="368" t="str">
        <f>IF('Products x speed'!N27=0,"",('Products x speed'!N219*10^6/('Products x speed'!N27*$A113)))</f>
        <v/>
      </c>
      <c r="U113" s="368" t="str">
        <f>IF('Products x speed'!O27=0,"",('Products x speed'!O219*10^6/('Products x speed'!O27*$A113)))</f>
        <v/>
      </c>
    </row>
    <row r="114" spans="1:22">
      <c r="A114" s="642">
        <v>40</v>
      </c>
      <c r="B114" s="95" t="str">
        <f>'Products x speed'!B28</f>
        <v>40G MM duplex</v>
      </c>
      <c r="C114" s="96" t="str">
        <f>'Products x speed'!C28</f>
        <v>100 m</v>
      </c>
      <c r="D114" s="96" t="str">
        <f>'Products x speed'!D28</f>
        <v>QSFP+</v>
      </c>
      <c r="E114" s="563" t="s">
        <v>90</v>
      </c>
      <c r="F114" s="564" t="s">
        <v>90</v>
      </c>
      <c r="G114" s="564" t="s">
        <v>90</v>
      </c>
      <c r="H114" s="564" t="s">
        <v>90</v>
      </c>
      <c r="I114" s="564">
        <v>3.0227272727272729</v>
      </c>
      <c r="J114" s="564">
        <v>2.6704545454545454</v>
      </c>
      <c r="K114" s="126">
        <f>IF('Products x speed'!E28=0,"",('Products x speed'!E220*10^6/('Products x speed'!E28*$A114)))</f>
        <v>6.25</v>
      </c>
      <c r="L114" s="126">
        <f>IF('Products x speed'!F28=0,"",('Products x speed'!F220*10^6/('Products x speed'!F28*$A114)))</f>
        <v>6</v>
      </c>
      <c r="M114" s="126" t="str">
        <f>IF('Products x speed'!G28=0,"",('Products x speed'!G220*10^6/('Products x speed'!G28*$A114)))</f>
        <v/>
      </c>
      <c r="N114" s="126" t="str">
        <f>IF('Products x speed'!H28=0,"",('Products x speed'!H220*10^6/('Products x speed'!H28*$A114)))</f>
        <v/>
      </c>
      <c r="O114" s="126" t="str">
        <f>IF('Products x speed'!I28=0,"",('Products x speed'!I220*10^6/('Products x speed'!I28*$A114)))</f>
        <v/>
      </c>
      <c r="P114" s="126" t="str">
        <f>IF('Products x speed'!J28=0,"",('Products x speed'!J220*10^6/('Products x speed'!J28*$A114)))</f>
        <v/>
      </c>
      <c r="Q114" s="126" t="str">
        <f>IF('Products x speed'!K28=0,"",('Products x speed'!K220*10^6/('Products x speed'!K28*$A114)))</f>
        <v/>
      </c>
      <c r="R114" s="368" t="str">
        <f>IF('Products x speed'!L28=0,"",('Products x speed'!L220*10^6/('Products x speed'!L28*$A114)))</f>
        <v/>
      </c>
      <c r="S114" s="368" t="str">
        <f>IF('Products x speed'!M28=0,"",('Products x speed'!M220*10^6/('Products x speed'!M28*$A114)))</f>
        <v/>
      </c>
      <c r="T114" s="368" t="str">
        <f>IF('Products x speed'!N28=0,"",('Products x speed'!N220*10^6/('Products x speed'!N28*$A114)))</f>
        <v/>
      </c>
      <c r="U114" s="368" t="str">
        <f>IF('Products x speed'!O28=0,"",('Products x speed'!O220*10^6/('Products x speed'!O28*$A114)))</f>
        <v/>
      </c>
    </row>
    <row r="115" spans="1:22">
      <c r="A115" s="642">
        <v>40</v>
      </c>
      <c r="B115" s="95" t="str">
        <f>'Products x speed'!B29</f>
        <v>40G eSR4</v>
      </c>
      <c r="C115" s="96" t="str">
        <f>'Products x speed'!C29</f>
        <v>300 m</v>
      </c>
      <c r="D115" s="96" t="str">
        <f>'Products x speed'!D29</f>
        <v>QSFP+</v>
      </c>
      <c r="E115" s="563" t="s">
        <v>90</v>
      </c>
      <c r="F115" s="564" t="s">
        <v>90</v>
      </c>
      <c r="G115" s="564" t="s">
        <v>90</v>
      </c>
      <c r="H115" s="564" t="s">
        <v>90</v>
      </c>
      <c r="I115" s="564">
        <v>7.5329776155856303</v>
      </c>
      <c r="J115" s="564">
        <v>4.6144862787768171</v>
      </c>
      <c r="K115" s="126">
        <f>IF('Products x speed'!E29=0,"",('Products x speed'!E221*10^6/('Products x speed'!E29*$A115)))</f>
        <v>2.6666536469780473</v>
      </c>
      <c r="L115" s="126">
        <f>IF('Products x speed'!F29=0,"",('Products x speed'!F221*10^6/('Products x speed'!F29*$A115)))</f>
        <v>2.0249820485065428</v>
      </c>
      <c r="M115" s="126" t="str">
        <f>IF('Products x speed'!G29=0,"",('Products x speed'!G221*10^6/('Products x speed'!G29*$A115)))</f>
        <v/>
      </c>
      <c r="N115" s="126" t="str">
        <f>IF('Products x speed'!H29=0,"",('Products x speed'!H221*10^6/('Products x speed'!H29*$A115)))</f>
        <v/>
      </c>
      <c r="O115" s="126" t="str">
        <f>IF('Products x speed'!I29=0,"",('Products x speed'!I221*10^6/('Products x speed'!I29*$A115)))</f>
        <v/>
      </c>
      <c r="P115" s="126" t="str">
        <f>IF('Products x speed'!J29=0,"",('Products x speed'!J221*10^6/('Products x speed'!J29*$A115)))</f>
        <v/>
      </c>
      <c r="Q115" s="126" t="str">
        <f>IF('Products x speed'!K29=0,"",('Products x speed'!K221*10^6/('Products x speed'!K29*$A115)))</f>
        <v/>
      </c>
      <c r="R115" s="368" t="str">
        <f>IF('Products x speed'!L29=0,"",('Products x speed'!L221*10^6/('Products x speed'!L29*$A115)))</f>
        <v/>
      </c>
      <c r="S115" s="368" t="str">
        <f>IF('Products x speed'!M29=0,"",('Products x speed'!M221*10^6/('Products x speed'!M29*$A115)))</f>
        <v/>
      </c>
      <c r="T115" s="368" t="str">
        <f>IF('Products x speed'!N29=0,"",('Products x speed'!N221*10^6/('Products x speed'!N29*$A115)))</f>
        <v/>
      </c>
      <c r="U115" s="368" t="str">
        <f>IF('Products x speed'!O29=0,"",('Products x speed'!O221*10^6/('Products x speed'!O29*$A115)))</f>
        <v/>
      </c>
    </row>
    <row r="116" spans="1:22">
      <c r="A116" s="642">
        <v>40</v>
      </c>
      <c r="B116" s="95" t="str">
        <f>'Products x speed'!B30</f>
        <v xml:space="preserve">40G PSM4 </v>
      </c>
      <c r="C116" s="96" t="str">
        <f>'Products x speed'!C30</f>
        <v>500 m</v>
      </c>
      <c r="D116" s="96" t="str">
        <f>'Products x speed'!D30</f>
        <v>QSFP+</v>
      </c>
      <c r="E116" s="563" t="s">
        <v>90</v>
      </c>
      <c r="F116" s="564" t="s">
        <v>90</v>
      </c>
      <c r="G116" s="564" t="s">
        <v>90</v>
      </c>
      <c r="H116" s="564" t="s">
        <v>90</v>
      </c>
      <c r="I116" s="564">
        <v>8.3375081428571427</v>
      </c>
      <c r="J116" s="564">
        <v>7.3062785546492055</v>
      </c>
      <c r="K116" s="126">
        <f>IF('Products x speed'!E30=0,"",('Products x speed'!E222*10^6/('Products x speed'!E30*$A116)))</f>
        <v>6.3297671318767739</v>
      </c>
      <c r="L116" s="126">
        <f>IF('Products x speed'!F30=0,"",('Products x speed'!F222*10^6/('Products x speed'!F30*$A116)))</f>
        <v>6.5697637865849687</v>
      </c>
      <c r="M116" s="126" t="str">
        <f>IF('Products x speed'!G30=0,"",('Products x speed'!G222*10^6/('Products x speed'!G30*$A116)))</f>
        <v/>
      </c>
      <c r="N116" s="126" t="str">
        <f>IF('Products x speed'!H30=0,"",('Products x speed'!H222*10^6/('Products x speed'!H30*$A116)))</f>
        <v/>
      </c>
      <c r="O116" s="126" t="str">
        <f>IF('Products x speed'!I30=0,"",('Products x speed'!I222*10^6/('Products x speed'!I30*$A116)))</f>
        <v/>
      </c>
      <c r="P116" s="126" t="str">
        <f>IF('Products x speed'!J30=0,"",('Products x speed'!J222*10^6/('Products x speed'!J30*$A116)))</f>
        <v/>
      </c>
      <c r="Q116" s="126" t="str">
        <f>IF('Products x speed'!K30=0,"",('Products x speed'!K222*10^6/('Products x speed'!K30*$A116)))</f>
        <v/>
      </c>
      <c r="R116" s="368" t="str">
        <f>IF('Products x speed'!L30=0,"",('Products x speed'!L222*10^6/('Products x speed'!L30*$A116)))</f>
        <v/>
      </c>
      <c r="S116" s="368" t="str">
        <f>IF('Products x speed'!M30=0,"",('Products x speed'!M222*10^6/('Products x speed'!M30*$A116)))</f>
        <v/>
      </c>
      <c r="T116" s="368" t="str">
        <f>IF('Products x speed'!N30=0,"",('Products x speed'!N222*10^6/('Products x speed'!N30*$A116)))</f>
        <v/>
      </c>
      <c r="U116" s="368" t="str">
        <f>IF('Products x speed'!O30=0,"",('Products x speed'!O222*10^6/('Products x speed'!O30*$A116)))</f>
        <v/>
      </c>
    </row>
    <row r="117" spans="1:22">
      <c r="A117" s="642">
        <v>40</v>
      </c>
      <c r="B117" s="95" t="str">
        <f>'Products x speed'!B31</f>
        <v>40G (FR)</v>
      </c>
      <c r="C117" s="96" t="str">
        <f>'Products x speed'!C31</f>
        <v>2 km</v>
      </c>
      <c r="D117" s="96" t="str">
        <f>'Products x speed'!D31</f>
        <v>CFP</v>
      </c>
      <c r="E117" s="563" t="s">
        <v>90</v>
      </c>
      <c r="F117" s="564" t="s">
        <v>90</v>
      </c>
      <c r="G117" s="564">
        <v>188.98425314143944</v>
      </c>
      <c r="H117" s="564">
        <v>174.85484962406014</v>
      </c>
      <c r="I117" s="564">
        <v>131.36853256997671</v>
      </c>
      <c r="J117" s="564">
        <v>133.43195681591757</v>
      </c>
      <c r="K117" s="126">
        <f>IF('Products x speed'!E31=0,"",('Products x speed'!E223*10^6/('Products x speed'!E31*$A117)))</f>
        <v>114.24737353420382</v>
      </c>
      <c r="L117" s="126">
        <f>IF('Products x speed'!F31=0,"",('Products x speed'!F223*10^6/('Products x speed'!F31*$A117)))</f>
        <v>131.29203021598681</v>
      </c>
      <c r="M117" s="126" t="str">
        <f>IF('Products x speed'!G31=0,"",('Products x speed'!G223*10^6/('Products x speed'!G31*$A117)))</f>
        <v/>
      </c>
      <c r="N117" s="126" t="str">
        <f>IF('Products x speed'!H31=0,"",('Products x speed'!H223*10^6/('Products x speed'!H31*$A117)))</f>
        <v/>
      </c>
      <c r="O117" s="126" t="str">
        <f>IF('Products x speed'!I31=0,"",('Products x speed'!I223*10^6/('Products x speed'!I31*$A117)))</f>
        <v/>
      </c>
      <c r="P117" s="126" t="str">
        <f>IF('Products x speed'!J31=0,"",('Products x speed'!J223*10^6/('Products x speed'!J31*$A117)))</f>
        <v/>
      </c>
      <c r="Q117" s="126" t="str">
        <f>IF('Products x speed'!K31=0,"",('Products x speed'!K223*10^6/('Products x speed'!K31*$A117)))</f>
        <v/>
      </c>
      <c r="R117" s="368" t="str">
        <f>IF('Products x speed'!L31=0,"",('Products x speed'!L223*10^6/('Products x speed'!L31*$A117)))</f>
        <v/>
      </c>
      <c r="S117" s="368" t="str">
        <f>IF('Products x speed'!M31=0,"",('Products x speed'!M223*10^6/('Products x speed'!M31*$A117)))</f>
        <v/>
      </c>
      <c r="T117" s="368" t="str">
        <f>IF('Products x speed'!N31=0,"",('Products x speed'!N223*10^6/('Products x speed'!N31*$A117)))</f>
        <v/>
      </c>
      <c r="U117" s="368" t="str">
        <f>IF('Products x speed'!O31=0,"",('Products x speed'!O223*10^6/('Products x speed'!O31*$A117)))</f>
        <v/>
      </c>
    </row>
    <row r="118" spans="1:22">
      <c r="A118" s="642">
        <v>40</v>
      </c>
      <c r="B118" s="95" t="str">
        <f>'Products x speed'!B32</f>
        <v>40G (LR4 subspec)</v>
      </c>
      <c r="C118" s="96" t="str">
        <f>'Products x speed'!C32</f>
        <v>2 km</v>
      </c>
      <c r="D118" s="96" t="str">
        <f>'Products x speed'!D32</f>
        <v>QSFP+</v>
      </c>
      <c r="E118" s="563" t="s">
        <v>90</v>
      </c>
      <c r="F118" s="564" t="s">
        <v>90</v>
      </c>
      <c r="G118" s="564">
        <v>22.994880546075084</v>
      </c>
      <c r="H118" s="564">
        <v>16.3</v>
      </c>
      <c r="I118" s="564">
        <v>12.289921790292748</v>
      </c>
      <c r="J118" s="564">
        <v>11.078376873965714</v>
      </c>
      <c r="K118" s="126">
        <f>IF('Products x speed'!E32=0,"",('Products x speed'!E224*10^6/('Products x speed'!E32*$A118)))</f>
        <v>9.440013802372988</v>
      </c>
      <c r="L118" s="126">
        <f>IF('Products x speed'!F32=0,"",('Products x speed'!F224*10^6/('Products x speed'!F32*$A118)))</f>
        <v>8.5881368172711685</v>
      </c>
      <c r="M118" s="126" t="str">
        <f>IF('Products x speed'!G32=0,"",('Products x speed'!G224*10^6/('Products x speed'!G32*$A118)))</f>
        <v/>
      </c>
      <c r="N118" s="126" t="str">
        <f>IF('Products x speed'!H32=0,"",('Products x speed'!H224*10^6/('Products x speed'!H32*$A118)))</f>
        <v/>
      </c>
      <c r="O118" s="126" t="str">
        <f>IF('Products x speed'!I32=0,"",('Products x speed'!I224*10^6/('Products x speed'!I32*$A118)))</f>
        <v/>
      </c>
      <c r="P118" s="126" t="str">
        <f>IF('Products x speed'!J32=0,"",('Products x speed'!J224*10^6/('Products x speed'!J32*$A118)))</f>
        <v/>
      </c>
      <c r="Q118" s="126" t="str">
        <f>IF('Products x speed'!K32=0,"",('Products x speed'!K224*10^6/('Products x speed'!K32*$A118)))</f>
        <v/>
      </c>
      <c r="R118" s="368" t="str">
        <f>IF('Products x speed'!L32=0,"",('Products x speed'!L224*10^6/('Products x speed'!L32*$A118)))</f>
        <v/>
      </c>
      <c r="S118" s="368" t="str">
        <f>IF('Products x speed'!M32=0,"",('Products x speed'!M224*10^6/('Products x speed'!M32*$A118)))</f>
        <v/>
      </c>
      <c r="T118" s="368" t="str">
        <f>IF('Products x speed'!N32=0,"",('Products x speed'!N224*10^6/('Products x speed'!N32*$A118)))</f>
        <v/>
      </c>
      <c r="U118" s="368" t="str">
        <f>IF('Products x speed'!O32=0,"",('Products x speed'!O224*10^6/('Products x speed'!O32*$A118)))</f>
        <v/>
      </c>
    </row>
    <row r="119" spans="1:22">
      <c r="A119" s="642">
        <v>40</v>
      </c>
      <c r="B119" s="95" t="str">
        <f>'Products x speed'!B33</f>
        <v>40G</v>
      </c>
      <c r="C119" s="96" t="str">
        <f>'Products x speed'!C33</f>
        <v>10 km</v>
      </c>
      <c r="D119" s="96" t="str">
        <f>'Products x speed'!D33</f>
        <v>CFP</v>
      </c>
      <c r="E119" s="563">
        <v>80.784136641723492</v>
      </c>
      <c r="F119" s="564">
        <v>77.777449856733526</v>
      </c>
      <c r="G119" s="564">
        <v>52.069595336519832</v>
      </c>
      <c r="H119" s="564">
        <v>45.140192582025676</v>
      </c>
      <c r="I119" s="564">
        <v>36.971624726397984</v>
      </c>
      <c r="J119" s="564">
        <v>29.358141050842292</v>
      </c>
      <c r="K119" s="126">
        <f>IF('Products x speed'!E33=0,"",('Products x speed'!E225*10^6/('Products x speed'!E33*$A119)))</f>
        <v>29.374138267499919</v>
      </c>
      <c r="L119" s="126">
        <f>IF('Products x speed'!F33=0,"",('Products x speed'!F225*10^6/('Products x speed'!F33*$A119)))</f>
        <v>33.77249392830776</v>
      </c>
      <c r="M119" s="126" t="str">
        <f>IF('Products x speed'!G33=0,"",('Products x speed'!G225*10^6/('Products x speed'!G33*$A119)))</f>
        <v/>
      </c>
      <c r="N119" s="126" t="str">
        <f>IF('Products x speed'!H33=0,"",('Products x speed'!H225*10^6/('Products x speed'!H33*$A119)))</f>
        <v/>
      </c>
      <c r="O119" s="126" t="str">
        <f>IF('Products x speed'!I33=0,"",('Products x speed'!I225*10^6/('Products x speed'!I33*$A119)))</f>
        <v/>
      </c>
      <c r="P119" s="126" t="str">
        <f>IF('Products x speed'!J33=0,"",('Products x speed'!J225*10^6/('Products x speed'!J33*$A119)))</f>
        <v/>
      </c>
      <c r="Q119" s="126" t="str">
        <f>IF('Products x speed'!K33=0,"",('Products x speed'!K225*10^6/('Products x speed'!K33*$A119)))</f>
        <v/>
      </c>
      <c r="R119" s="368" t="str">
        <f>IF('Products x speed'!L33=0,"",('Products x speed'!L225*10^6/('Products x speed'!L33*$A119)))</f>
        <v/>
      </c>
      <c r="S119" s="368" t="str">
        <f>IF('Products x speed'!M33=0,"",('Products x speed'!M225*10^6/('Products x speed'!M33*$A119)))</f>
        <v/>
      </c>
      <c r="T119" s="368" t="str">
        <f>IF('Products x speed'!N33=0,"",('Products x speed'!N225*10^6/('Products x speed'!N33*$A119)))</f>
        <v/>
      </c>
      <c r="U119" s="368" t="str">
        <f>IF('Products x speed'!O33=0,"",('Products x speed'!O225*10^6/('Products x speed'!O33*$A119)))</f>
        <v/>
      </c>
    </row>
    <row r="120" spans="1:22">
      <c r="A120" s="642">
        <v>40</v>
      </c>
      <c r="B120" s="95" t="str">
        <f>'Products x speed'!B34</f>
        <v>40G</v>
      </c>
      <c r="C120" s="96" t="str">
        <f>'Products x speed'!C34</f>
        <v>10 km</v>
      </c>
      <c r="D120" s="96" t="str">
        <f>'Products x speed'!D34</f>
        <v>QSFP+</v>
      </c>
      <c r="E120" s="563" t="s">
        <v>90</v>
      </c>
      <c r="F120" s="564" t="s">
        <v>90</v>
      </c>
      <c r="G120" s="564">
        <v>29.975964630225079</v>
      </c>
      <c r="H120" s="564">
        <v>36.096197608539143</v>
      </c>
      <c r="I120" s="564">
        <v>19.706712652216499</v>
      </c>
      <c r="J120" s="564">
        <v>14.650078967418724</v>
      </c>
      <c r="K120" s="126">
        <f>IF('Products x speed'!E34=0,"",('Products x speed'!E226*10^6/('Products x speed'!E34*$A120)))</f>
        <v>10.693185722192586</v>
      </c>
      <c r="L120" s="126">
        <f>IF('Products x speed'!F34=0,"",('Products x speed'!F226*10^6/('Products x speed'!F34*$A120)))</f>
        <v>10.034168127229407</v>
      </c>
      <c r="M120" s="126" t="str">
        <f>IF('Products x speed'!G34=0,"",('Products x speed'!G226*10^6/('Products x speed'!G34*$A120)))</f>
        <v/>
      </c>
      <c r="N120" s="126" t="str">
        <f>IF('Products x speed'!H34=0,"",('Products x speed'!H226*10^6/('Products x speed'!H34*$A120)))</f>
        <v/>
      </c>
      <c r="O120" s="126" t="str">
        <f>IF('Products x speed'!I34=0,"",('Products x speed'!I226*10^6/('Products x speed'!I34*$A120)))</f>
        <v/>
      </c>
      <c r="P120" s="126" t="str">
        <f>IF('Products x speed'!J34=0,"",('Products x speed'!J226*10^6/('Products x speed'!J34*$A120)))</f>
        <v/>
      </c>
      <c r="Q120" s="126" t="str">
        <f>IF('Products x speed'!K34=0,"",('Products x speed'!K226*10^6/('Products x speed'!K34*$A120)))</f>
        <v/>
      </c>
      <c r="R120" s="368" t="str">
        <f>IF('Products x speed'!L34=0,"",('Products x speed'!L226*10^6/('Products x speed'!L34*$A120)))</f>
        <v/>
      </c>
      <c r="S120" s="368" t="str">
        <f>IF('Products x speed'!M34=0,"",('Products x speed'!M226*10^6/('Products x speed'!M34*$A120)))</f>
        <v/>
      </c>
      <c r="T120" s="368" t="str">
        <f>IF('Products x speed'!N34=0,"",('Products x speed'!N226*10^6/('Products x speed'!N34*$A120)))</f>
        <v/>
      </c>
      <c r="U120" s="368" t="str">
        <f>IF('Products x speed'!O34=0,"",('Products x speed'!O226*10^6/('Products x speed'!O34*$A120)))</f>
        <v/>
      </c>
    </row>
    <row r="121" spans="1:22">
      <c r="A121" s="642">
        <v>40</v>
      </c>
      <c r="B121" s="91" t="str">
        <f>'Products x speed'!B35</f>
        <v>40G</v>
      </c>
      <c r="C121" s="92" t="str">
        <f>'Products x speed'!C35</f>
        <v>40 km</v>
      </c>
      <c r="D121" s="92" t="str">
        <f>'Products x speed'!D35</f>
        <v>QSFP+</v>
      </c>
      <c r="E121" s="563" t="s">
        <v>90</v>
      </c>
      <c r="F121" s="564">
        <v>200</v>
      </c>
      <c r="G121" s="564">
        <v>125</v>
      </c>
      <c r="H121" s="564">
        <v>110</v>
      </c>
      <c r="I121" s="564">
        <v>62.5</v>
      </c>
      <c r="J121" s="564">
        <v>52.653694253849253</v>
      </c>
      <c r="K121" s="126">
        <f>IF('Products x speed'!E35=0,"",('Products x speed'!E227*10^6/('Products x speed'!E35*$A121)))</f>
        <v>41.826430810599277</v>
      </c>
      <c r="L121" s="126">
        <f>IF('Products x speed'!F35=0,"",('Products x speed'!F227*10^6/('Products x speed'!F35*$A121)))</f>
        <v>36.480825703225037</v>
      </c>
      <c r="M121" s="126" t="str">
        <f>IF('Products x speed'!G35=0,"",('Products x speed'!G227*10^6/('Products x speed'!G35*$A121)))</f>
        <v/>
      </c>
      <c r="N121" s="126" t="str">
        <f>IF('Products x speed'!H35=0,"",('Products x speed'!H227*10^6/('Products x speed'!H35*$A121)))</f>
        <v/>
      </c>
      <c r="O121" s="126" t="str">
        <f>IF('Products x speed'!I35=0,"",('Products x speed'!I227*10^6/('Products x speed'!I35*$A121)))</f>
        <v/>
      </c>
      <c r="P121" s="126" t="str">
        <f>IF('Products x speed'!J35=0,"",('Products x speed'!J227*10^6/('Products x speed'!J35*$A121)))</f>
        <v/>
      </c>
      <c r="Q121" s="126" t="str">
        <f>IF('Products x speed'!K35=0,"",('Products x speed'!K227*10^6/('Products x speed'!K35*$A121)))</f>
        <v/>
      </c>
      <c r="R121" s="368" t="str">
        <f>IF('Products x speed'!L35=0,"",('Products x speed'!L227*10^6/('Products x speed'!L35*$A121)))</f>
        <v/>
      </c>
      <c r="S121" s="368" t="str">
        <f>IF('Products x speed'!M35=0,"",('Products x speed'!M227*10^6/('Products x speed'!M35*$A121)))</f>
        <v/>
      </c>
      <c r="T121" s="368" t="str">
        <f>IF('Products x speed'!N35=0,"",('Products x speed'!N227*10^6/('Products x speed'!N35*$A121)))</f>
        <v/>
      </c>
      <c r="U121" s="368" t="str">
        <f>IF('Products x speed'!O35=0,"",('Products x speed'!O227*10^6/('Products x speed'!O35*$A121)))</f>
        <v/>
      </c>
    </row>
    <row r="122" spans="1:22" s="181" customFormat="1">
      <c r="A122" s="643">
        <v>50</v>
      </c>
      <c r="B122" s="95" t="str">
        <f>'Products x speed'!B36</f>
        <v xml:space="preserve">50G </v>
      </c>
      <c r="C122" s="96" t="s">
        <v>34</v>
      </c>
      <c r="D122" s="96" t="s">
        <v>42</v>
      </c>
      <c r="E122" s="561" t="s">
        <v>90</v>
      </c>
      <c r="F122" s="562" t="s">
        <v>90</v>
      </c>
      <c r="G122" s="562" t="s">
        <v>90</v>
      </c>
      <c r="H122" s="562" t="s">
        <v>90</v>
      </c>
      <c r="I122" s="562" t="s">
        <v>90</v>
      </c>
      <c r="J122" s="562" t="s">
        <v>90</v>
      </c>
      <c r="K122" s="124" t="str">
        <f>IF('Products x speed'!E36=0,"",('Products x speed'!E228*10^6/('Products x speed'!E36*$A122)))</f>
        <v/>
      </c>
      <c r="L122" s="124" t="str">
        <f>IF('Products x speed'!F36=0,"",('Products x speed'!F228*10^6/('Products x speed'!F36*$A122)))</f>
        <v/>
      </c>
      <c r="M122" s="124" t="str">
        <f>IF('Products x speed'!G36=0,"",('Products x speed'!G228*10^6/('Products x speed'!G36*$A122)))</f>
        <v/>
      </c>
      <c r="N122" s="124" t="str">
        <f>IF('Products x speed'!H36=0,"",('Products x speed'!H228*10^6/('Products x speed'!H36*$A122)))</f>
        <v/>
      </c>
      <c r="O122" s="124" t="str">
        <f>IF('Products x speed'!I36=0,"",('Products x speed'!I228*10^6/('Products x speed'!I36*$A122)))</f>
        <v/>
      </c>
      <c r="P122" s="124" t="str">
        <f>IF('Products x speed'!J36=0,"",('Products x speed'!J228*10^6/('Products x speed'!J36*$A122)))</f>
        <v/>
      </c>
      <c r="Q122" s="124" t="str">
        <f>IF('Products x speed'!K36=0,"",('Products x speed'!K228*10^6/('Products x speed'!K36*$A122)))</f>
        <v/>
      </c>
      <c r="R122" s="381" t="str">
        <f>IF('Products x speed'!L36=0,"",('Products x speed'!L228*10^6/('Products x speed'!L36*$A122)))</f>
        <v/>
      </c>
      <c r="S122" s="381" t="str">
        <f>IF('Products x speed'!M36=0,"",('Products x speed'!M228*10^6/('Products x speed'!M36*$A122)))</f>
        <v/>
      </c>
      <c r="T122" s="381" t="str">
        <f>IF('Products x speed'!N36=0,"",('Products x speed'!N228*10^6/('Products x speed'!N36*$A122)))</f>
        <v/>
      </c>
      <c r="U122" s="381" t="str">
        <f>IF('Products x speed'!O36=0,"",('Products x speed'!O228*10^6/('Products x speed'!O36*$A122)))</f>
        <v/>
      </c>
      <c r="V122" s="117"/>
    </row>
    <row r="123" spans="1:22" s="181" customFormat="1">
      <c r="A123" s="643">
        <v>50</v>
      </c>
      <c r="B123" s="95" t="str">
        <f>'Products x speed'!B37</f>
        <v xml:space="preserve">50G </v>
      </c>
      <c r="C123" s="96" t="s">
        <v>47</v>
      </c>
      <c r="D123" s="330" t="s">
        <v>42</v>
      </c>
      <c r="E123" s="563" t="s">
        <v>90</v>
      </c>
      <c r="F123" s="564" t="s">
        <v>90</v>
      </c>
      <c r="G123" s="564" t="s">
        <v>90</v>
      </c>
      <c r="H123" s="564" t="s">
        <v>90</v>
      </c>
      <c r="I123" s="564" t="s">
        <v>90</v>
      </c>
      <c r="J123" s="564" t="s">
        <v>90</v>
      </c>
      <c r="K123" s="126" t="str">
        <f>IF('Products x speed'!E37=0,"",('Products x speed'!E229*10^6/('Products x speed'!E37*$A123)))</f>
        <v/>
      </c>
      <c r="L123" s="126" t="str">
        <f>IF('Products x speed'!F37=0,"",('Products x speed'!F229*10^6/('Products x speed'!F37*$A123)))</f>
        <v/>
      </c>
      <c r="M123" s="126" t="str">
        <f>IF('Products x speed'!G37=0,"",('Products x speed'!G229*10^6/('Products x speed'!G37*$A123)))</f>
        <v/>
      </c>
      <c r="N123" s="126" t="str">
        <f>IF('Products x speed'!H37=0,"",('Products x speed'!H229*10^6/('Products x speed'!H37*$A123)))</f>
        <v/>
      </c>
      <c r="O123" s="126" t="str">
        <f>IF('Products x speed'!I37=0,"",('Products x speed'!I229*10^6/('Products x speed'!I37*$A123)))</f>
        <v/>
      </c>
      <c r="P123" s="126" t="str">
        <f>IF('Products x speed'!J37=0,"",('Products x speed'!J229*10^6/('Products x speed'!J37*$A123)))</f>
        <v/>
      </c>
      <c r="Q123" s="126" t="str">
        <f>IF('Products x speed'!K37=0,"",('Products x speed'!K229*10^6/('Products x speed'!K37*$A123)))</f>
        <v/>
      </c>
      <c r="R123" s="368" t="str">
        <f>IF('Products x speed'!L37=0,"",('Products x speed'!L229*10^6/('Products x speed'!L37*$A123)))</f>
        <v/>
      </c>
      <c r="S123" s="368" t="str">
        <f>IF('Products x speed'!M37=0,"",('Products x speed'!M229*10^6/('Products x speed'!M37*$A123)))</f>
        <v/>
      </c>
      <c r="T123" s="368" t="str">
        <f>IF('Products x speed'!N37=0,"",('Products x speed'!N229*10^6/('Products x speed'!N37*$A123)))</f>
        <v/>
      </c>
      <c r="U123" s="368" t="str">
        <f>IF('Products x speed'!O37=0,"",('Products x speed'!O229*10^6/('Products x speed'!O37*$A123)))</f>
        <v/>
      </c>
      <c r="V123" s="117"/>
    </row>
    <row r="124" spans="1:22" s="181" customFormat="1">
      <c r="A124" s="643">
        <v>50</v>
      </c>
      <c r="B124" s="95" t="str">
        <f>'Products x speed'!B38</f>
        <v xml:space="preserve">50G </v>
      </c>
      <c r="C124" s="96" t="s">
        <v>50</v>
      </c>
      <c r="D124" s="96" t="s">
        <v>42</v>
      </c>
      <c r="E124" s="563" t="s">
        <v>90</v>
      </c>
      <c r="F124" s="564" t="s">
        <v>90</v>
      </c>
      <c r="G124" s="564" t="s">
        <v>90</v>
      </c>
      <c r="H124" s="564" t="s">
        <v>90</v>
      </c>
      <c r="I124" s="564" t="s">
        <v>90</v>
      </c>
      <c r="J124" s="564" t="s">
        <v>90</v>
      </c>
      <c r="K124" s="126" t="str">
        <f>IF('Products x speed'!E38=0,"",('Products x speed'!E230*10^6/('Products x speed'!E38*$A124)))</f>
        <v/>
      </c>
      <c r="L124" s="126" t="str">
        <f>IF('Products x speed'!F38=0,"",('Products x speed'!F230*10^6/('Products x speed'!F38*$A124)))</f>
        <v/>
      </c>
      <c r="M124" s="126" t="str">
        <f>IF('Products x speed'!G38=0,"",('Products x speed'!G230*10^6/('Products x speed'!G38*$A124)))</f>
        <v/>
      </c>
      <c r="N124" s="126" t="str">
        <f>IF('Products x speed'!H38=0,"",('Products x speed'!H230*10^6/('Products x speed'!H38*$A124)))</f>
        <v/>
      </c>
      <c r="O124" s="126" t="str">
        <f>IF('Products x speed'!I38=0,"",('Products x speed'!I230*10^6/('Products x speed'!I38*$A124)))</f>
        <v/>
      </c>
      <c r="P124" s="126" t="str">
        <f>IF('Products x speed'!J38=0,"",('Products x speed'!J230*10^6/('Products x speed'!J38*$A124)))</f>
        <v/>
      </c>
      <c r="Q124" s="126" t="str">
        <f>IF('Products x speed'!K38=0,"",('Products x speed'!K230*10^6/('Products x speed'!K38*$A124)))</f>
        <v/>
      </c>
      <c r="R124" s="368" t="str">
        <f>IF('Products x speed'!L38=0,"",('Products x speed'!L230*10^6/('Products x speed'!L38*$A124)))</f>
        <v/>
      </c>
      <c r="S124" s="368" t="str">
        <f>IF('Products x speed'!M38=0,"",('Products x speed'!M230*10^6/('Products x speed'!M38*$A124)))</f>
        <v/>
      </c>
      <c r="T124" s="368" t="str">
        <f>IF('Products x speed'!N38=0,"",('Products x speed'!N230*10^6/('Products x speed'!N38*$A124)))</f>
        <v/>
      </c>
      <c r="U124" s="368" t="str">
        <f>IF('Products x speed'!O38=0,"",('Products x speed'!O230*10^6/('Products x speed'!O38*$A124)))</f>
        <v/>
      </c>
      <c r="V124" s="117"/>
    </row>
    <row r="125" spans="1:22" s="181" customFormat="1">
      <c r="A125" s="643">
        <v>50</v>
      </c>
      <c r="B125" s="95" t="str">
        <f>'Products x speed'!B39</f>
        <v xml:space="preserve">50G </v>
      </c>
      <c r="C125" s="330" t="s">
        <v>55</v>
      </c>
      <c r="D125" s="96" t="s">
        <v>42</v>
      </c>
      <c r="E125" s="563" t="s">
        <v>90</v>
      </c>
      <c r="F125" s="564" t="s">
        <v>90</v>
      </c>
      <c r="G125" s="564" t="s">
        <v>90</v>
      </c>
      <c r="H125" s="564" t="s">
        <v>90</v>
      </c>
      <c r="I125" s="564" t="s">
        <v>90</v>
      </c>
      <c r="J125" s="564" t="s">
        <v>90</v>
      </c>
      <c r="K125" s="126" t="str">
        <f>IF('Products x speed'!E39=0,"",('Products x speed'!E231*10^6/('Products x speed'!E39*50)))</f>
        <v/>
      </c>
      <c r="L125" s="126" t="str">
        <f>IF('Products x speed'!F39=0,"",('Products x speed'!F231*10^6/('Products x speed'!F39*50)))</f>
        <v/>
      </c>
      <c r="M125" s="126" t="str">
        <f>IF('Products x speed'!G39=0,"",('Products x speed'!G231*10^6/('Products x speed'!G39*50)))</f>
        <v/>
      </c>
      <c r="N125" s="126" t="str">
        <f>IF('Products x speed'!H39=0,"",('Products x speed'!H231*10^6/('Products x speed'!H39*50)))</f>
        <v/>
      </c>
      <c r="O125" s="126" t="str">
        <f>IF('Products x speed'!I39=0,"",('Products x speed'!I231*10^6/('Products x speed'!I39*50)))</f>
        <v/>
      </c>
      <c r="P125" s="126" t="str">
        <f>IF('Products x speed'!J39=0,"",('Products x speed'!J231*10^6/('Products x speed'!J39*50)))</f>
        <v/>
      </c>
      <c r="Q125" s="126" t="str">
        <f>IF('Products x speed'!K39=0,"",('Products x speed'!K231*10^6/('Products x speed'!K39*50)))</f>
        <v/>
      </c>
      <c r="R125" s="368" t="str">
        <f>IF('Products x speed'!L39=0,"",('Products x speed'!L231*10^6/('Products x speed'!L39*50)))</f>
        <v/>
      </c>
      <c r="S125" s="368" t="str">
        <f>IF('Products x speed'!M39=0,"",('Products x speed'!M231*10^6/('Products x speed'!M39*50)))</f>
        <v/>
      </c>
      <c r="T125" s="368" t="str">
        <f>IF('Products x speed'!N39=0,"",('Products x speed'!N231*10^6/('Products x speed'!N39*50)))</f>
        <v/>
      </c>
      <c r="U125" s="368" t="str">
        <f>IF('Products x speed'!O39=0,"",('Products x speed'!O231*10^6/('Products x speed'!O39*50)))</f>
        <v/>
      </c>
      <c r="V125" s="117"/>
    </row>
    <row r="126" spans="1:22" s="181" customFormat="1">
      <c r="A126" s="643">
        <v>50</v>
      </c>
      <c r="B126" s="91" t="str">
        <f>'Products x speed'!B40</f>
        <v xml:space="preserve">50G </v>
      </c>
      <c r="C126" s="494" t="s">
        <v>57</v>
      </c>
      <c r="D126" s="92" t="s">
        <v>42</v>
      </c>
      <c r="E126" s="565" t="s">
        <v>90</v>
      </c>
      <c r="F126" s="566" t="s">
        <v>90</v>
      </c>
      <c r="G126" s="566" t="s">
        <v>90</v>
      </c>
      <c r="H126" s="566" t="s">
        <v>90</v>
      </c>
      <c r="I126" s="566" t="s">
        <v>90</v>
      </c>
      <c r="J126" s="566" t="s">
        <v>90</v>
      </c>
      <c r="K126" s="128" t="str">
        <f>IF('Products x speed'!E40=0,"",('Products x speed'!E232*10^6/('Products x speed'!E40*50)))</f>
        <v/>
      </c>
      <c r="L126" s="128" t="str">
        <f>IF('Products x speed'!F40=0,"",('Products x speed'!F232*10^6/('Products x speed'!F40*50)))</f>
        <v/>
      </c>
      <c r="M126" s="128" t="str">
        <f>IF('Products x speed'!G40=0,"",('Products x speed'!G232*10^6/('Products x speed'!G40*50)))</f>
        <v/>
      </c>
      <c r="N126" s="128" t="str">
        <f>IF('Products x speed'!H40=0,"",('Products x speed'!H232*10^6/('Products x speed'!H40*50)))</f>
        <v/>
      </c>
      <c r="O126" s="128" t="str">
        <f>IF('Products x speed'!I40=0,"",('Products x speed'!I232*10^6/('Products x speed'!I40*50)))</f>
        <v/>
      </c>
      <c r="P126" s="128" t="str">
        <f>IF('Products x speed'!J40=0,"",('Products x speed'!J232*10^6/('Products x speed'!J40*50)))</f>
        <v/>
      </c>
      <c r="Q126" s="128" t="str">
        <f>IF('Products x speed'!K40=0,"",('Products x speed'!K232*10^6/('Products x speed'!K40*50)))</f>
        <v/>
      </c>
      <c r="R126" s="382" t="str">
        <f>IF('Products x speed'!L40=0,"",('Products x speed'!L232*10^6/('Products x speed'!L40*50)))</f>
        <v/>
      </c>
      <c r="S126" s="382" t="str">
        <f>IF('Products x speed'!M40=0,"",('Products x speed'!M232*10^6/('Products x speed'!M40*50)))</f>
        <v/>
      </c>
      <c r="T126" s="382" t="str">
        <f>IF('Products x speed'!N40=0,"",('Products x speed'!N232*10^6/('Products x speed'!N40*50)))</f>
        <v/>
      </c>
      <c r="U126" s="382" t="str">
        <f>IF('Products x speed'!O40=0,"",('Products x speed'!O232*10^6/('Products x speed'!O40*50)))</f>
        <v/>
      </c>
      <c r="V126" s="117"/>
    </row>
    <row r="127" spans="1:22">
      <c r="A127" s="642">
        <v>100</v>
      </c>
      <c r="B127" s="95" t="str">
        <f>'Products x speed'!B41</f>
        <v>100G SR4</v>
      </c>
      <c r="C127" s="96" t="str">
        <f>'Products x speed'!C41</f>
        <v>100 m</v>
      </c>
      <c r="D127" s="96" t="str">
        <f>'Products x speed'!D41</f>
        <v>CFP</v>
      </c>
      <c r="E127" s="563" t="s">
        <v>90</v>
      </c>
      <c r="F127" s="564" t="s">
        <v>90</v>
      </c>
      <c r="G127" s="564">
        <v>23.897826358525922</v>
      </c>
      <c r="H127" s="564">
        <v>18.815171215351814</v>
      </c>
      <c r="I127" s="564">
        <v>18.039118145620023</v>
      </c>
      <c r="J127" s="564">
        <v>17.02889970674488</v>
      </c>
      <c r="K127" s="126">
        <f>IF('Products x speed'!E41=0,"",('Products x speed'!E233*10^6/('Products x speed'!E41*$A127)))</f>
        <v>14.227039686825053</v>
      </c>
      <c r="L127" s="370">
        <f>IF('Products x speed'!F41=0,"",('Products x speed'!F233*10^6/('Products x speed'!F41*$A127)))</f>
        <v>12.733986691740203</v>
      </c>
      <c r="M127" s="370" t="str">
        <f>IF('Products x speed'!G41=0,"",('Products x speed'!G233*10^6/('Products x speed'!G41*$A127)))</f>
        <v/>
      </c>
      <c r="N127" s="370" t="str">
        <f>IF('Products x speed'!H41=0,"",('Products x speed'!H233*10^6/('Products x speed'!H41*$A127)))</f>
        <v/>
      </c>
      <c r="O127" s="370" t="str">
        <f>IF('Products x speed'!I41=0,"",('Products x speed'!I233*10^6/('Products x speed'!I41*$A127)))</f>
        <v/>
      </c>
      <c r="P127" s="370" t="str">
        <f>IF('Products x speed'!J41=0,"",('Products x speed'!J233*10^6/('Products x speed'!J41*$A127)))</f>
        <v/>
      </c>
      <c r="Q127" s="370" t="str">
        <f>IF('Products x speed'!K41=0,"",('Products x speed'!K233*10^6/('Products x speed'!K41*$A127)))</f>
        <v/>
      </c>
      <c r="R127" s="368" t="str">
        <f>IF('Products x speed'!L41=0,"",('Products x speed'!L233*10^6/('Products x speed'!L41*$A127)))</f>
        <v/>
      </c>
      <c r="S127" s="368" t="str">
        <f>IF('Products x speed'!M41=0,"",('Products x speed'!M233*10^6/('Products x speed'!M41*$A127)))</f>
        <v/>
      </c>
      <c r="T127" s="368" t="str">
        <f>IF('Products x speed'!N41=0,"",('Products x speed'!N233*10^6/('Products x speed'!N41*$A127)))</f>
        <v/>
      </c>
      <c r="U127" s="368" t="str">
        <f>IF('Products x speed'!O41=0,"",('Products x speed'!O233*10^6/('Products x speed'!O41*$A127)))</f>
        <v/>
      </c>
    </row>
    <row r="128" spans="1:22">
      <c r="A128" s="642">
        <v>100</v>
      </c>
      <c r="B128" s="95" t="str">
        <f>'Products x speed'!B42</f>
        <v>100G SR4</v>
      </c>
      <c r="C128" s="96" t="str">
        <f>'Products x speed'!C42</f>
        <v>100 m</v>
      </c>
      <c r="D128" s="96" t="str">
        <f>'Products x speed'!D42</f>
        <v>CFP2/4</v>
      </c>
      <c r="E128" s="563" t="s">
        <v>90</v>
      </c>
      <c r="F128" s="564" t="s">
        <v>90</v>
      </c>
      <c r="G128" s="564" t="s">
        <v>90</v>
      </c>
      <c r="H128" s="564" t="s">
        <v>90</v>
      </c>
      <c r="I128" s="564" t="s">
        <v>90</v>
      </c>
      <c r="J128" s="564">
        <v>13.44281603659357</v>
      </c>
      <c r="K128" s="126">
        <f>IF('Products x speed'!E42=0,"",('Products x speed'!E234*10^6/('Products x speed'!E42*$A128)))</f>
        <v>12.047629951912068</v>
      </c>
      <c r="L128" s="370">
        <f>IF('Products x speed'!F42=0,"",('Products x speed'!F234*10^6/('Products x speed'!F42*$A128)))</f>
        <v>10.92608197443808</v>
      </c>
      <c r="M128" s="370" t="str">
        <f>IF('Products x speed'!G42=0,"",('Products x speed'!G234*10^6/('Products x speed'!G42*$A128)))</f>
        <v/>
      </c>
      <c r="N128" s="370" t="str">
        <f>IF('Products x speed'!H42=0,"",('Products x speed'!H234*10^6/('Products x speed'!H42*$A128)))</f>
        <v/>
      </c>
      <c r="O128" s="370" t="str">
        <f>IF('Products x speed'!I42=0,"",('Products x speed'!I234*10^6/('Products x speed'!I42*$A128)))</f>
        <v/>
      </c>
      <c r="P128" s="370" t="str">
        <f>IF('Products x speed'!J42=0,"",('Products x speed'!J234*10^6/('Products x speed'!J42*$A128)))</f>
        <v/>
      </c>
      <c r="Q128" s="370" t="str">
        <f>IF('Products x speed'!K42=0,"",('Products x speed'!K234*10^6/('Products x speed'!K42*$A128)))</f>
        <v/>
      </c>
      <c r="R128" s="368" t="str">
        <f>IF('Products x speed'!L42=0,"",('Products x speed'!L234*10^6/('Products x speed'!L42*$A128)))</f>
        <v/>
      </c>
      <c r="S128" s="368" t="str">
        <f>IF('Products x speed'!M42=0,"",('Products x speed'!M234*10^6/('Products x speed'!M42*$A128)))</f>
        <v/>
      </c>
      <c r="T128" s="368" t="str">
        <f>IF('Products x speed'!N42=0,"",('Products x speed'!N234*10^6/('Products x speed'!N42*$A128)))</f>
        <v/>
      </c>
      <c r="U128" s="368" t="str">
        <f>IF('Products x speed'!O42=0,"",('Products x speed'!O234*10^6/('Products x speed'!O42*$A128)))</f>
        <v/>
      </c>
    </row>
    <row r="129" spans="1:21">
      <c r="A129" s="642">
        <v>100</v>
      </c>
      <c r="B129" s="95" t="str">
        <f>'Products x speed'!B43</f>
        <v>100G SR4</v>
      </c>
      <c r="C129" s="96" t="str">
        <f>'Products x speed'!C43</f>
        <v>100 m</v>
      </c>
      <c r="D129" s="96" t="str">
        <f>'Products x speed'!D43</f>
        <v>QSFP28</v>
      </c>
      <c r="E129" s="563" t="s">
        <v>90</v>
      </c>
      <c r="F129" s="564" t="s">
        <v>90</v>
      </c>
      <c r="G129" s="564" t="s">
        <v>90</v>
      </c>
      <c r="H129" s="564" t="s">
        <v>90</v>
      </c>
      <c r="I129" s="564">
        <v>9.5</v>
      </c>
      <c r="J129" s="564">
        <v>8.2501787283914449</v>
      </c>
      <c r="K129" s="370">
        <f>IF('Products x speed'!E43=0,"",('Products x speed'!E235*10^6/('Products x speed'!E43*$A129)))</f>
        <v>2.5809426618771827</v>
      </c>
      <c r="L129" s="370">
        <f>IF('Products x speed'!F43=0,"",('Products x speed'!F235*10^6/('Products x speed'!F43*$A129)))</f>
        <v>1.8202277386466108</v>
      </c>
      <c r="M129" s="370" t="str">
        <f>IF('Products x speed'!G43=0,"",('Products x speed'!G235*10^6/('Products x speed'!G43*$A129)))</f>
        <v/>
      </c>
      <c r="N129" s="370" t="str">
        <f>IF('Products x speed'!H43=0,"",('Products x speed'!H235*10^6/('Products x speed'!H43*$A129)))</f>
        <v/>
      </c>
      <c r="O129" s="370" t="str">
        <f>IF('Products x speed'!I43=0,"",('Products x speed'!I235*10^6/('Products x speed'!I43*$A129)))</f>
        <v/>
      </c>
      <c r="P129" s="370" t="str">
        <f>IF('Products x speed'!J43=0,"",('Products x speed'!J235*10^6/('Products x speed'!J43*$A129)))</f>
        <v/>
      </c>
      <c r="Q129" s="370" t="str">
        <f>IF('Products x speed'!K43=0,"",('Products x speed'!K235*10^6/('Products x speed'!K43*$A129)))</f>
        <v/>
      </c>
      <c r="R129" s="368" t="str">
        <f>IF('Products x speed'!L43=0,"",('Products x speed'!L235*10^6/('Products x speed'!L43*$A129)))</f>
        <v/>
      </c>
      <c r="S129" s="368" t="str">
        <f>IF('Products x speed'!M43=0,"",('Products x speed'!M235*10^6/('Products x speed'!M43*$A129)))</f>
        <v/>
      </c>
      <c r="T129" s="368" t="str">
        <f>IF('Products x speed'!N43=0,"",('Products x speed'!N235*10^6/('Products x speed'!N43*$A129)))</f>
        <v/>
      </c>
      <c r="U129" s="368" t="str">
        <f>IF('Products x speed'!O43=0,"",('Products x speed'!O235*10^6/('Products x speed'!O43*$A129)))</f>
        <v/>
      </c>
    </row>
    <row r="130" spans="1:21">
      <c r="A130" s="642">
        <v>100</v>
      </c>
      <c r="B130" s="95" t="str">
        <f>'Products x speed'!B44</f>
        <v>100G SR2</v>
      </c>
      <c r="C130" s="96" t="str">
        <f>'Products x speed'!C44</f>
        <v>100 m</v>
      </c>
      <c r="D130" s="96" t="str">
        <f>'Products x speed'!D44</f>
        <v>All</v>
      </c>
      <c r="E130" s="563" t="s">
        <v>90</v>
      </c>
      <c r="F130" s="564" t="s">
        <v>90</v>
      </c>
      <c r="G130" s="564" t="s">
        <v>90</v>
      </c>
      <c r="H130" s="564" t="s">
        <v>90</v>
      </c>
      <c r="I130" s="564" t="s">
        <v>90</v>
      </c>
      <c r="J130" s="564" t="s">
        <v>90</v>
      </c>
      <c r="K130" s="370" t="str">
        <f>IF('Products x speed'!E44=0,"",('Products x speed'!E236*10^6/('Products x speed'!E44*$A130)))</f>
        <v/>
      </c>
      <c r="L130" s="370" t="str">
        <f>IF('Products x speed'!F44=0,"",('Products x speed'!F236*10^6/('Products x speed'!F44*$A130)))</f>
        <v/>
      </c>
      <c r="M130" s="370" t="str">
        <f>IF('Products x speed'!G44=0,"",('Products x speed'!G236*10^6/('Products x speed'!G44*$A130)))</f>
        <v/>
      </c>
      <c r="N130" s="370" t="str">
        <f>IF('Products x speed'!H44=0,"",('Products x speed'!H236*10^6/('Products x speed'!H44*$A130)))</f>
        <v/>
      </c>
      <c r="O130" s="370" t="str">
        <f>IF('Products x speed'!I44=0,"",('Products x speed'!I236*10^6/('Products x speed'!I44*$A130)))</f>
        <v/>
      </c>
      <c r="P130" s="370" t="str">
        <f>IF('Products x speed'!J44=0,"",('Products x speed'!J236*10^6/('Products x speed'!J44*$A130)))</f>
        <v/>
      </c>
      <c r="Q130" s="370" t="str">
        <f>IF('Products x speed'!K44=0,"",('Products x speed'!K236*10^6/('Products x speed'!K44*$A130)))</f>
        <v/>
      </c>
      <c r="R130" s="368" t="str">
        <f>IF('Products x speed'!L44=0,"",('Products x speed'!L236*10^6/('Products x speed'!L44*$A130)))</f>
        <v/>
      </c>
      <c r="S130" s="368" t="str">
        <f>IF('Products x speed'!M44=0,"",('Products x speed'!M236*10^6/('Products x speed'!M44*$A130)))</f>
        <v/>
      </c>
      <c r="T130" s="368" t="str">
        <f>IF('Products x speed'!N44=0,"",('Products x speed'!N236*10^6/('Products x speed'!N44*$A130)))</f>
        <v/>
      </c>
      <c r="U130" s="368" t="str">
        <f>IF('Products x speed'!O44=0,"",('Products x speed'!O236*10^6/('Products x speed'!O44*$A130)))</f>
        <v/>
      </c>
    </row>
    <row r="131" spans="1:21">
      <c r="A131" s="642">
        <v>100</v>
      </c>
      <c r="B131" s="95" t="str">
        <f>'Products x speed'!B45</f>
        <v>100G MM Duplex</v>
      </c>
      <c r="C131" s="96" t="str">
        <f>'Products x speed'!C45</f>
        <v>100 - 300 m</v>
      </c>
      <c r="D131" s="96" t="str">
        <f>'Products x speed'!D45</f>
        <v>QSFP28</v>
      </c>
      <c r="E131" s="563"/>
      <c r="F131" s="564"/>
      <c r="G131" s="564"/>
      <c r="H131" s="564"/>
      <c r="I131" s="564" t="s">
        <v>90</v>
      </c>
      <c r="J131" s="564" t="s">
        <v>90</v>
      </c>
      <c r="K131" s="370" t="str">
        <f>IF('Products x speed'!E45=0,"",('Products x speed'!E237*10^6/('Products x speed'!E45*$A131)))</f>
        <v/>
      </c>
      <c r="L131" s="370" t="str">
        <f>IF('Products x speed'!F45=0,"",('Products x speed'!F237*10^6/('Products x speed'!F45*$A131)))</f>
        <v/>
      </c>
      <c r="M131" s="370" t="str">
        <f>IF('Products x speed'!G45=0,"",('Products x speed'!G237*10^6/('Products x speed'!G45*$A131)))</f>
        <v/>
      </c>
      <c r="N131" s="370" t="str">
        <f>IF('Products x speed'!H45=0,"",('Products x speed'!H237*10^6/('Products x speed'!H45*$A131)))</f>
        <v/>
      </c>
      <c r="O131" s="370" t="str">
        <f>IF('Products x speed'!I45=0,"",('Products x speed'!I237*10^6/('Products x speed'!I45*$A131)))</f>
        <v/>
      </c>
      <c r="P131" s="370" t="str">
        <f>IF('Products x speed'!J45=0,"",('Products x speed'!J237*10^6/('Products x speed'!J45*$A131)))</f>
        <v/>
      </c>
      <c r="Q131" s="370" t="str">
        <f>IF('Products x speed'!K45=0,"",('Products x speed'!K237*10^6/('Products x speed'!K45*$A131)))</f>
        <v/>
      </c>
      <c r="R131" s="368" t="str">
        <f>IF('Products x speed'!L45=0,"",('Products x speed'!L237*10^6/('Products x speed'!L45*$A131)))</f>
        <v/>
      </c>
      <c r="S131" s="368" t="str">
        <f>IF('Products x speed'!M45=0,"",('Products x speed'!M237*10^6/('Products x speed'!M45*$A131)))</f>
        <v/>
      </c>
      <c r="T131" s="368" t="str">
        <f>IF('Products x speed'!N45=0,"",('Products x speed'!N237*10^6/('Products x speed'!N45*$A131)))</f>
        <v/>
      </c>
      <c r="U131" s="368" t="str">
        <f>IF('Products x speed'!O45=0,"",('Products x speed'!O237*10^6/('Products x speed'!O45*$A131)))</f>
        <v/>
      </c>
    </row>
    <row r="132" spans="1:21">
      <c r="A132" s="642">
        <v>100</v>
      </c>
      <c r="B132" s="95" t="str">
        <f>'Products x speed'!B46</f>
        <v>100G eSR4</v>
      </c>
      <c r="C132" s="96" t="str">
        <f>'Products x speed'!C46</f>
        <v>300 m</v>
      </c>
      <c r="D132" s="96" t="str">
        <f>'Products x speed'!D46</f>
        <v>QSFP28</v>
      </c>
      <c r="E132" s="563"/>
      <c r="F132" s="564"/>
      <c r="G132" s="564"/>
      <c r="H132" s="564"/>
      <c r="I132" s="564" t="s">
        <v>90</v>
      </c>
      <c r="J132" s="564" t="s">
        <v>90</v>
      </c>
      <c r="K132" s="370" t="str">
        <f>IF('Products x speed'!E46=0,"",('Products x speed'!E238*10^6/('Products x speed'!E46*$A132)))</f>
        <v/>
      </c>
      <c r="L132" s="370" t="str">
        <f>IF('Products x speed'!F46=0,"",('Products x speed'!F238*10^6/('Products x speed'!F46*$A132)))</f>
        <v/>
      </c>
      <c r="M132" s="370" t="str">
        <f>IF('Products x speed'!G46=0,"",('Products x speed'!G238*10^6/('Products x speed'!G46*$A132)))</f>
        <v/>
      </c>
      <c r="N132" s="370" t="str">
        <f>IF('Products x speed'!H46=0,"",('Products x speed'!H238*10^6/('Products x speed'!H46*$A132)))</f>
        <v/>
      </c>
      <c r="O132" s="370" t="str">
        <f>IF('Products x speed'!I46=0,"",('Products x speed'!I238*10^6/('Products x speed'!I46*$A132)))</f>
        <v/>
      </c>
      <c r="P132" s="370" t="str">
        <f>IF('Products x speed'!J46=0,"",('Products x speed'!J238*10^6/('Products x speed'!J46*$A132)))</f>
        <v/>
      </c>
      <c r="Q132" s="370" t="str">
        <f>IF('Products x speed'!K46=0,"",('Products x speed'!K238*10^6/('Products x speed'!K46*$A132)))</f>
        <v/>
      </c>
      <c r="R132" s="368" t="str">
        <f>IF('Products x speed'!L46=0,"",('Products x speed'!L238*10^6/('Products x speed'!L46*$A132)))</f>
        <v/>
      </c>
      <c r="S132" s="368" t="str">
        <f>IF('Products x speed'!M46=0,"",('Products x speed'!M238*10^6/('Products x speed'!M46*$A132)))</f>
        <v/>
      </c>
      <c r="T132" s="368" t="str">
        <f>IF('Products x speed'!N46=0,"",('Products x speed'!N238*10^6/('Products x speed'!N46*$A132)))</f>
        <v/>
      </c>
      <c r="U132" s="368" t="str">
        <f>IF('Products x speed'!O46=0,"",('Products x speed'!O238*10^6/('Products x speed'!O46*$A132)))</f>
        <v/>
      </c>
    </row>
    <row r="133" spans="1:21">
      <c r="A133" s="642">
        <v>100</v>
      </c>
      <c r="B133" s="95" t="str">
        <f>'Products x speed'!B47</f>
        <v>100G PSM4</v>
      </c>
      <c r="C133" s="96" t="str">
        <f>'Products x speed'!C47</f>
        <v>500 m</v>
      </c>
      <c r="D133" s="96" t="str">
        <f>'Products x speed'!D47</f>
        <v>QSFP28</v>
      </c>
      <c r="E133" s="563" t="s">
        <v>90</v>
      </c>
      <c r="F133" s="564" t="s">
        <v>90</v>
      </c>
      <c r="G133" s="564" t="s">
        <v>90</v>
      </c>
      <c r="H133" s="564" t="s">
        <v>90</v>
      </c>
      <c r="I133" s="564">
        <v>0</v>
      </c>
      <c r="J133" s="564">
        <v>0</v>
      </c>
      <c r="K133" s="370">
        <f>IF('Products x speed'!E47=0,"",('Products x speed'!E239*10^6/('Products x speed'!E47*$A133)))</f>
        <v>3.3741687156790023</v>
      </c>
      <c r="L133" s="370">
        <f>IF('Products x speed'!F47=0,"",('Products x speed'!F239*10^6/('Products x speed'!F47*$A133)))</f>
        <v>2.2265569307558186</v>
      </c>
      <c r="M133" s="370" t="str">
        <f>IF('Products x speed'!G47=0,"",('Products x speed'!G239*10^6/('Products x speed'!G47*$A133)))</f>
        <v/>
      </c>
      <c r="N133" s="370" t="str">
        <f>IF('Products x speed'!H47=0,"",('Products x speed'!H239*10^6/('Products x speed'!H47*$A133)))</f>
        <v/>
      </c>
      <c r="O133" s="370" t="str">
        <f>IF('Products x speed'!I47=0,"",('Products x speed'!I239*10^6/('Products x speed'!I47*$A133)))</f>
        <v/>
      </c>
      <c r="P133" s="370" t="str">
        <f>IF('Products x speed'!J47=0,"",('Products x speed'!J239*10^6/('Products x speed'!J47*$A133)))</f>
        <v/>
      </c>
      <c r="Q133" s="370" t="str">
        <f>IF('Products x speed'!K47=0,"",('Products x speed'!K239*10^6/('Products x speed'!K47*$A133)))</f>
        <v/>
      </c>
      <c r="R133" s="368" t="str">
        <f>IF('Products x speed'!L47=0,"",('Products x speed'!L239*10^6/('Products x speed'!L47*$A133)))</f>
        <v/>
      </c>
      <c r="S133" s="368" t="str">
        <f>IF('Products x speed'!M47=0,"",('Products x speed'!M239*10^6/('Products x speed'!M47*$A133)))</f>
        <v/>
      </c>
      <c r="T133" s="368" t="str">
        <f>IF('Products x speed'!N47=0,"",('Products x speed'!N239*10^6/('Products x speed'!N47*$A133)))</f>
        <v/>
      </c>
      <c r="U133" s="368" t="str">
        <f>IF('Products x speed'!O47=0,"",('Products x speed'!O239*10^6/('Products x speed'!O47*$A133)))</f>
        <v/>
      </c>
    </row>
    <row r="134" spans="1:21">
      <c r="A134" s="642">
        <v>100</v>
      </c>
      <c r="B134" s="95" t="str">
        <f>'Products x speed'!B48</f>
        <v>100G DR</v>
      </c>
      <c r="C134" s="96" t="str">
        <f>'Products x speed'!C48</f>
        <v>500m</v>
      </c>
      <c r="D134" s="96" t="str">
        <f>'Products x speed'!D48</f>
        <v>QSFP28</v>
      </c>
      <c r="E134" s="563" t="s">
        <v>90</v>
      </c>
      <c r="F134" s="564" t="s">
        <v>90</v>
      </c>
      <c r="G134" s="564" t="s">
        <v>90</v>
      </c>
      <c r="H134" s="564" t="s">
        <v>90</v>
      </c>
      <c r="I134" s="564" t="s">
        <v>90</v>
      </c>
      <c r="J134" s="564" t="s">
        <v>90</v>
      </c>
      <c r="K134" s="370" t="str">
        <f>IF('Products x speed'!E48=0,"",('Products x speed'!E240*10^6/('Products x speed'!E48*$A134)))</f>
        <v/>
      </c>
      <c r="L134" s="370" t="str">
        <f>IF('Products x speed'!F48=0,"",('Products x speed'!F240*10^6/('Products x speed'!F48*$A134)))</f>
        <v/>
      </c>
      <c r="M134" s="370" t="str">
        <f>IF('Products x speed'!G48=0,"",('Products x speed'!G240*10^6/('Products x speed'!G48*$A134)))</f>
        <v/>
      </c>
      <c r="N134" s="370" t="str">
        <f>IF('Products x speed'!H48=0,"",('Products x speed'!H240*10^6/('Products x speed'!H48*$A134)))</f>
        <v/>
      </c>
      <c r="O134" s="370" t="str">
        <f>IF('Products x speed'!I48=0,"",('Products x speed'!I240*10^6/('Products x speed'!I48*$A134)))</f>
        <v/>
      </c>
      <c r="P134" s="370" t="str">
        <f>IF('Products x speed'!J48=0,"",('Products x speed'!J240*10^6/('Products x speed'!J48*$A134)))</f>
        <v/>
      </c>
      <c r="Q134" s="370" t="str">
        <f>IF('Products x speed'!K48=0,"",('Products x speed'!K240*10^6/('Products x speed'!K48*$A134)))</f>
        <v/>
      </c>
      <c r="R134" s="368" t="str">
        <f>IF('Products x speed'!L48=0,"",('Products x speed'!L240*10^6/('Products x speed'!L48*$A134)))</f>
        <v/>
      </c>
      <c r="S134" s="368" t="str">
        <f>IF('Products x speed'!M48=0,"",('Products x speed'!M240*10^6/('Products x speed'!M48*$A134)))</f>
        <v/>
      </c>
      <c r="T134" s="368" t="str">
        <f>IF('Products x speed'!N48=0,"",('Products x speed'!N240*10^6/('Products x speed'!N48*$A134)))</f>
        <v/>
      </c>
      <c r="U134" s="368" t="str">
        <f>IF('Products x speed'!O48=0,"",('Products x speed'!O240*10^6/('Products x speed'!O48*$A134)))</f>
        <v/>
      </c>
    </row>
    <row r="135" spans="1:21">
      <c r="A135" s="642">
        <v>100</v>
      </c>
      <c r="B135" s="95" t="str">
        <f>'Products x speed'!B49</f>
        <v>100G CWDM4-subspec</v>
      </c>
      <c r="C135" s="96" t="str">
        <f>'Products x speed'!C49</f>
        <v>500 m</v>
      </c>
      <c r="D135" s="96" t="str">
        <f>'Products x speed'!D49</f>
        <v>QSFP28</v>
      </c>
      <c r="E135" s="563" t="s">
        <v>90</v>
      </c>
      <c r="F135" s="564" t="s">
        <v>90</v>
      </c>
      <c r="G135" s="564" t="s">
        <v>90</v>
      </c>
      <c r="H135" s="564" t="s">
        <v>90</v>
      </c>
      <c r="I135" s="564" t="s">
        <v>90</v>
      </c>
      <c r="J135" s="564" t="s">
        <v>90</v>
      </c>
      <c r="K135" s="370">
        <f>IF('Products x speed'!E49=0,"",('Products x speed'!E241*10^6/('Products x speed'!E49*$A135)))</f>
        <v>6.25</v>
      </c>
      <c r="L135" s="370">
        <f>IF('Products x speed'!F49=0,"",('Products x speed'!F241*10^6/('Products x speed'!F49*$A135)))</f>
        <v>4.5</v>
      </c>
      <c r="M135" s="370" t="str">
        <f>IF('Products x speed'!G49=0,"",('Products x speed'!G241*10^6/('Products x speed'!G49*$A135)))</f>
        <v/>
      </c>
      <c r="N135" s="370" t="str">
        <f>IF('Products x speed'!H49=0,"",('Products x speed'!H241*10^6/('Products x speed'!H49*$A135)))</f>
        <v/>
      </c>
      <c r="O135" s="370" t="str">
        <f>IF('Products x speed'!I49=0,"",('Products x speed'!I241*10^6/('Products x speed'!I49*$A135)))</f>
        <v/>
      </c>
      <c r="P135" s="370" t="str">
        <f>IF('Products x speed'!J49=0,"",('Products x speed'!J241*10^6/('Products x speed'!J49*$A135)))</f>
        <v/>
      </c>
      <c r="Q135" s="370" t="str">
        <f>IF('Products x speed'!K49=0,"",('Products x speed'!K241*10^6/('Products x speed'!K49*$A135)))</f>
        <v/>
      </c>
      <c r="R135" s="368" t="str">
        <f>IF('Products x speed'!L49=0,"",('Products x speed'!L241*10^6/('Products x speed'!L49*$A135)))</f>
        <v/>
      </c>
      <c r="S135" s="368" t="str">
        <f>IF('Products x speed'!M49=0,"",('Products x speed'!M241*10^6/('Products x speed'!M49*$A135)))</f>
        <v/>
      </c>
      <c r="T135" s="368" t="str">
        <f>IF('Products x speed'!N49=0,"",('Products x speed'!N241*10^6/('Products x speed'!N49*$A135)))</f>
        <v/>
      </c>
      <c r="U135" s="368" t="str">
        <f>IF('Products x speed'!O49=0,"",('Products x speed'!O241*10^6/('Products x speed'!O49*$A135)))</f>
        <v/>
      </c>
    </row>
    <row r="136" spans="1:21">
      <c r="A136" s="642">
        <v>100</v>
      </c>
      <c r="B136" s="95" t="str">
        <f>'Products x speed'!B50</f>
        <v>100G CWDM4</v>
      </c>
      <c r="C136" s="96" t="str">
        <f>'Products x speed'!C50</f>
        <v>2 km</v>
      </c>
      <c r="D136" s="96" t="str">
        <f>'Products x speed'!D50</f>
        <v>QSFP28</v>
      </c>
      <c r="E136" s="563" t="s">
        <v>90</v>
      </c>
      <c r="F136" s="564" t="s">
        <v>90</v>
      </c>
      <c r="G136" s="564" t="s">
        <v>90</v>
      </c>
      <c r="H136" s="564" t="s">
        <v>90</v>
      </c>
      <c r="I136" s="564" t="s">
        <v>90</v>
      </c>
      <c r="J136" s="564">
        <v>14</v>
      </c>
      <c r="K136" s="126">
        <f>IF('Products x speed'!E50=0,"",('Products x speed'!E242*10^6/('Products x speed'!E50*$A136)))</f>
        <v>8.25</v>
      </c>
      <c r="L136" s="370">
        <f>IF('Products x speed'!F50=0,"",('Products x speed'!F242*10^6/('Products x speed'!F50*$A136)))</f>
        <v>6.5</v>
      </c>
      <c r="M136" s="370" t="str">
        <f>IF('Products x speed'!G50=0,"",('Products x speed'!G242*10^6/('Products x speed'!G50*$A136)))</f>
        <v/>
      </c>
      <c r="N136" s="370" t="str">
        <f>IF('Products x speed'!H50=0,"",('Products x speed'!H242*10^6/('Products x speed'!H50*$A136)))</f>
        <v/>
      </c>
      <c r="O136" s="370" t="str">
        <f>IF('Products x speed'!I50=0,"",('Products x speed'!I242*10^6/('Products x speed'!I50*$A136)))</f>
        <v/>
      </c>
      <c r="P136" s="370" t="str">
        <f>IF('Products x speed'!J50=0,"",('Products x speed'!J242*10^6/('Products x speed'!J50*$A136)))</f>
        <v/>
      </c>
      <c r="Q136" s="370" t="str">
        <f>IF('Products x speed'!K50=0,"",('Products x speed'!K242*10^6/('Products x speed'!K50*$A136)))</f>
        <v/>
      </c>
      <c r="R136" s="368" t="str">
        <f>IF('Products x speed'!L50=0,"",('Products x speed'!L242*10^6/('Products x speed'!L50*$A136)))</f>
        <v/>
      </c>
      <c r="S136" s="368" t="str">
        <f>IF('Products x speed'!M50=0,"",('Products x speed'!M242*10^6/('Products x speed'!M50*$A136)))</f>
        <v/>
      </c>
      <c r="T136" s="368" t="str">
        <f>IF('Products x speed'!N50=0,"",('Products x speed'!N242*10^6/('Products x speed'!N50*$A136)))</f>
        <v/>
      </c>
      <c r="U136" s="368" t="str">
        <f>IF('Products x speed'!O50=0,"",('Products x speed'!O242*10^6/('Products x speed'!O50*$A136)))</f>
        <v/>
      </c>
    </row>
    <row r="137" spans="1:21">
      <c r="A137" s="642">
        <v>100</v>
      </c>
      <c r="B137" s="95" t="str">
        <f>'Products x speed'!B51</f>
        <v>100G FR, DR+</v>
      </c>
      <c r="C137" s="96" t="str">
        <f>'Products x speed'!C51</f>
        <v>2 km</v>
      </c>
      <c r="D137" s="96" t="str">
        <f>'Products x speed'!D51</f>
        <v>QSFP28</v>
      </c>
      <c r="E137" s="563" t="s">
        <v>90</v>
      </c>
      <c r="F137" s="564" t="s">
        <v>90</v>
      </c>
      <c r="G137" s="564" t="s">
        <v>90</v>
      </c>
      <c r="H137" s="564" t="s">
        <v>90</v>
      </c>
      <c r="I137" s="564" t="s">
        <v>90</v>
      </c>
      <c r="J137" s="564" t="s">
        <v>90</v>
      </c>
      <c r="K137" s="126" t="str">
        <f>IF('Products x speed'!E51=0,"",('Products x speed'!E243*10^6/('Products x speed'!E51*$A137)))</f>
        <v/>
      </c>
      <c r="L137" s="370" t="str">
        <f>IF('Products x speed'!F51=0,"",('Products x speed'!F243*10^6/('Products x speed'!F51*$A137)))</f>
        <v/>
      </c>
      <c r="M137" s="370" t="str">
        <f>IF('Products x speed'!G51=0,"",('Products x speed'!G243*10^6/('Products x speed'!G51*$A137)))</f>
        <v/>
      </c>
      <c r="N137" s="370" t="str">
        <f>IF('Products x speed'!H51=0,"",('Products x speed'!H243*10^6/('Products x speed'!H51*$A137)))</f>
        <v/>
      </c>
      <c r="O137" s="370" t="str">
        <f>IF('Products x speed'!I51=0,"",('Products x speed'!I243*10^6/('Products x speed'!I51*$A137)))</f>
        <v/>
      </c>
      <c r="P137" s="370" t="str">
        <f>IF('Products x speed'!J51=0,"",('Products x speed'!J243*10^6/('Products x speed'!J51*$A137)))</f>
        <v/>
      </c>
      <c r="Q137" s="370" t="str">
        <f>IF('Products x speed'!K51=0,"",('Products x speed'!K243*10^6/('Products x speed'!K51*$A137)))</f>
        <v/>
      </c>
      <c r="R137" s="368" t="str">
        <f>IF('Products x speed'!L51=0,"",('Products x speed'!L243*10^6/('Products x speed'!L51*$A137)))</f>
        <v/>
      </c>
      <c r="S137" s="368" t="str">
        <f>IF('Products x speed'!M51=0,"",('Products x speed'!M243*10^6/('Products x speed'!M51*$A137)))</f>
        <v/>
      </c>
      <c r="T137" s="368" t="str">
        <f>IF('Products x speed'!N51=0,"",('Products x speed'!N243*10^6/('Products x speed'!N51*$A137)))</f>
        <v/>
      </c>
      <c r="U137" s="368" t="str">
        <f>IF('Products x speed'!O51=0,"",('Products x speed'!O243*10^6/('Products x speed'!O51*$A137)))</f>
        <v/>
      </c>
    </row>
    <row r="138" spans="1:21">
      <c r="A138" s="642">
        <v>100</v>
      </c>
      <c r="B138" s="95" t="str">
        <f>'Products x speed'!B52</f>
        <v>100G LR4</v>
      </c>
      <c r="C138" s="96" t="str">
        <f>'Products x speed'!C52</f>
        <v>10 km</v>
      </c>
      <c r="D138" s="96" t="str">
        <f>'Products x speed'!D52</f>
        <v>CFP</v>
      </c>
      <c r="E138" s="563">
        <v>262.22519083969468</v>
      </c>
      <c r="F138" s="564">
        <v>223.61202964182792</v>
      </c>
      <c r="G138" s="564">
        <v>136.50492489270385</v>
      </c>
      <c r="H138" s="564">
        <v>101.78582887438024</v>
      </c>
      <c r="I138" s="564">
        <v>68.921181122138364</v>
      </c>
      <c r="J138" s="564">
        <v>47.323499987345386</v>
      </c>
      <c r="K138" s="126">
        <f>IF('Products x speed'!E52=0,"",('Products x speed'!E244*10^6/('Products x speed'!E52*$A138)))</f>
        <v>35.278709620331334</v>
      </c>
      <c r="L138" s="370">
        <f>IF('Products x speed'!F52=0,"",('Products x speed'!F244*10^6/('Products x speed'!F52*$A138)))</f>
        <v>27.680701132780364</v>
      </c>
      <c r="M138" s="370" t="str">
        <f>IF('Products x speed'!G52=0,"",('Products x speed'!G244*10^6/('Products x speed'!G52*$A138)))</f>
        <v/>
      </c>
      <c r="N138" s="370" t="str">
        <f>IF('Products x speed'!H52=0,"",('Products x speed'!H244*10^6/('Products x speed'!H52*$A138)))</f>
        <v/>
      </c>
      <c r="O138" s="370" t="str">
        <f>IF('Products x speed'!I52=0,"",('Products x speed'!I244*10^6/('Products x speed'!I52*$A138)))</f>
        <v/>
      </c>
      <c r="P138" s="370" t="str">
        <f>IF('Products x speed'!J52=0,"",('Products x speed'!J244*10^6/('Products x speed'!J52*$A138)))</f>
        <v/>
      </c>
      <c r="Q138" s="370" t="str">
        <f>IF('Products x speed'!K52=0,"",('Products x speed'!K244*10^6/('Products x speed'!K52*$A138)))</f>
        <v/>
      </c>
      <c r="R138" s="368" t="str">
        <f>IF('Products x speed'!L52=0,"",('Products x speed'!L244*10^6/('Products x speed'!L52*$A138)))</f>
        <v/>
      </c>
      <c r="S138" s="368" t="str">
        <f>IF('Products x speed'!M52=0,"",('Products x speed'!M244*10^6/('Products x speed'!M52*$A138)))</f>
        <v/>
      </c>
      <c r="T138" s="368" t="str">
        <f>IF('Products x speed'!N52=0,"",('Products x speed'!N244*10^6/('Products x speed'!N52*$A138)))</f>
        <v/>
      </c>
      <c r="U138" s="368" t="str">
        <f>IF('Products x speed'!O52=0,"",('Products x speed'!O244*10^6/('Products x speed'!O52*$A138)))</f>
        <v/>
      </c>
    </row>
    <row r="139" spans="1:21">
      <c r="A139" s="642">
        <v>100</v>
      </c>
      <c r="B139" s="95" t="str">
        <f>'Products x speed'!B53</f>
        <v>100G LR4</v>
      </c>
      <c r="C139" s="96" t="str">
        <f>'Products x speed'!C53</f>
        <v>10 km</v>
      </c>
      <c r="D139" s="330" t="str">
        <f>'Products x speed'!D53</f>
        <v>CFP2/4</v>
      </c>
      <c r="E139" s="563" t="s">
        <v>90</v>
      </c>
      <c r="F139" s="564" t="s">
        <v>90</v>
      </c>
      <c r="G139" s="564" t="s">
        <v>90</v>
      </c>
      <c r="H139" s="564">
        <v>123.08948069241012</v>
      </c>
      <c r="I139" s="564">
        <v>58.038538159350431</v>
      </c>
      <c r="J139" s="564">
        <v>43.04984187973956</v>
      </c>
      <c r="K139" s="126">
        <f>IF('Products x speed'!E53=0,"",('Products x speed'!E245*10^6/('Products x speed'!E53*$A139)))</f>
        <v>28.825268681316725</v>
      </c>
      <c r="L139" s="370">
        <f>IF('Products x speed'!F53=0,"",('Products x speed'!F245*10^6/('Products x speed'!F53*$A139)))</f>
        <v>21.403307221126155</v>
      </c>
      <c r="M139" s="370" t="str">
        <f>IF('Products x speed'!G53=0,"",('Products x speed'!G245*10^6/('Products x speed'!G53*$A139)))</f>
        <v/>
      </c>
      <c r="N139" s="370" t="str">
        <f>IF('Products x speed'!H53=0,"",('Products x speed'!H245*10^6/('Products x speed'!H53*$A139)))</f>
        <v/>
      </c>
      <c r="O139" s="370" t="str">
        <f>IF('Products x speed'!I53=0,"",('Products x speed'!I245*10^6/('Products x speed'!I53*$A139)))</f>
        <v/>
      </c>
      <c r="P139" s="370" t="str">
        <f>IF('Products x speed'!J53=0,"",('Products x speed'!J245*10^6/('Products x speed'!J53*$A139)))</f>
        <v/>
      </c>
      <c r="Q139" s="370" t="str">
        <f>IF('Products x speed'!K53=0,"",('Products x speed'!K245*10^6/('Products x speed'!K53*$A139)))</f>
        <v/>
      </c>
      <c r="R139" s="368" t="str">
        <f>IF('Products x speed'!L53=0,"",('Products x speed'!L245*10^6/('Products x speed'!L53*$A139)))</f>
        <v/>
      </c>
      <c r="S139" s="368" t="str">
        <f>IF('Products x speed'!M53=0,"",('Products x speed'!M245*10^6/('Products x speed'!M53*$A139)))</f>
        <v/>
      </c>
      <c r="T139" s="368" t="str">
        <f>IF('Products x speed'!N53=0,"",('Products x speed'!N245*10^6/('Products x speed'!N53*$A139)))</f>
        <v/>
      </c>
      <c r="U139" s="368" t="str">
        <f>IF('Products x speed'!O53=0,"",('Products x speed'!O245*10^6/('Products x speed'!O53*$A139)))</f>
        <v/>
      </c>
    </row>
    <row r="140" spans="1:21">
      <c r="A140" s="642">
        <v>100</v>
      </c>
      <c r="B140" s="95" t="str">
        <f>'Products x speed'!B54</f>
        <v>100G LR4 and LR1</v>
      </c>
      <c r="C140" s="96" t="str">
        <f>'Products x speed'!C54</f>
        <v>10 km</v>
      </c>
      <c r="D140" s="96" t="str">
        <f>'Products x speed'!D54</f>
        <v>QSFP28</v>
      </c>
      <c r="E140" s="563" t="s">
        <v>90</v>
      </c>
      <c r="F140" s="564" t="s">
        <v>90</v>
      </c>
      <c r="G140" s="564" t="s">
        <v>90</v>
      </c>
      <c r="H140" s="564" t="s">
        <v>90</v>
      </c>
      <c r="I140" s="564" t="s">
        <v>90</v>
      </c>
      <c r="J140" s="564">
        <v>27.779039760536037</v>
      </c>
      <c r="K140" s="126">
        <f>IF('Products x speed'!E54=0,"",('Products x speed'!E246*10^6/('Products x speed'!E54*$A140)))</f>
        <v>19.381501024552811</v>
      </c>
      <c r="L140" s="370">
        <f>IF('Products x speed'!F54=0,"",('Products x speed'!F246*10^6/('Products x speed'!F54*$A140)))</f>
        <v>12</v>
      </c>
      <c r="M140" s="370" t="str">
        <f>IF('Products x speed'!G54=0,"",('Products x speed'!G246*10^6/('Products x speed'!G54*$A140)))</f>
        <v/>
      </c>
      <c r="N140" s="370" t="str">
        <f>IF('Products x speed'!H54=0,"",('Products x speed'!H246*10^6/('Products x speed'!H54*$A140)))</f>
        <v/>
      </c>
      <c r="O140" s="370" t="str">
        <f>IF('Products x speed'!I54=0,"",('Products x speed'!I246*10^6/('Products x speed'!I54*$A140)))</f>
        <v/>
      </c>
      <c r="P140" s="370" t="str">
        <f>IF('Products x speed'!J54=0,"",('Products x speed'!J246*10^6/('Products x speed'!J54*$A140)))</f>
        <v/>
      </c>
      <c r="Q140" s="370" t="str">
        <f>IF('Products x speed'!K54=0,"",('Products x speed'!K246*10^6/('Products x speed'!K54*$A140)))</f>
        <v/>
      </c>
      <c r="R140" s="368" t="str">
        <f>IF('Products x speed'!L54=0,"",('Products x speed'!L246*10^6/('Products x speed'!L54*$A140)))</f>
        <v/>
      </c>
      <c r="S140" s="368" t="str">
        <f>IF('Products x speed'!M54=0,"",('Products x speed'!M246*10^6/('Products x speed'!M54*$A140)))</f>
        <v/>
      </c>
      <c r="T140" s="368" t="str">
        <f>IF('Products x speed'!N54=0,"",('Products x speed'!N246*10^6/('Products x speed'!N54*$A140)))</f>
        <v/>
      </c>
      <c r="U140" s="368" t="str">
        <f>IF('Products x speed'!O54=0,"",('Products x speed'!O246*10^6/('Products x speed'!O54*$A140)))</f>
        <v/>
      </c>
    </row>
    <row r="141" spans="1:21">
      <c r="A141" s="642">
        <v>100</v>
      </c>
      <c r="B141" s="95" t="str">
        <f>'Products x speed'!B55</f>
        <v>100G 4WDM10</v>
      </c>
      <c r="C141" s="96" t="str">
        <f>'Products x speed'!C55</f>
        <v>10 km</v>
      </c>
      <c r="D141" s="96" t="str">
        <f>'Products x speed'!D55</f>
        <v>QSFP28</v>
      </c>
      <c r="E141" s="563" t="s">
        <v>90</v>
      </c>
      <c r="F141" s="564" t="s">
        <v>90</v>
      </c>
      <c r="G141" s="564" t="s">
        <v>90</v>
      </c>
      <c r="H141" s="564" t="s">
        <v>90</v>
      </c>
      <c r="I141" s="564" t="s">
        <v>90</v>
      </c>
      <c r="J141" s="564" t="s">
        <v>90</v>
      </c>
      <c r="K141" s="126" t="str">
        <f>IF('Products x speed'!E55=0,"",('Products x speed'!E247*10^6/('Products x speed'!E55*$A141)))</f>
        <v/>
      </c>
      <c r="L141" s="370">
        <f>IF('Products x speed'!F55=0,"",('Products x speed'!F247*10^6/('Products x speed'!F55*$A141)))</f>
        <v>5</v>
      </c>
      <c r="M141" s="370" t="str">
        <f>IF('Products x speed'!G55=0,"",('Products x speed'!G247*10^6/('Products x speed'!G55*$A141)))</f>
        <v/>
      </c>
      <c r="N141" s="370" t="str">
        <f>IF('Products x speed'!H55=0,"",('Products x speed'!H247*10^6/('Products x speed'!H55*$A141)))</f>
        <v/>
      </c>
      <c r="O141" s="370" t="str">
        <f>IF('Products x speed'!I55=0,"",('Products x speed'!I247*10^6/('Products x speed'!I55*$A141)))</f>
        <v/>
      </c>
      <c r="P141" s="370" t="str">
        <f>IF('Products x speed'!J55=0,"",('Products x speed'!J247*10^6/('Products x speed'!J55*$A141)))</f>
        <v/>
      </c>
      <c r="Q141" s="370" t="str">
        <f>IF('Products x speed'!K55=0,"",('Products x speed'!K247*10^6/('Products x speed'!K55*$A141)))</f>
        <v/>
      </c>
      <c r="R141" s="368" t="str">
        <f>IF('Products x speed'!L55=0,"",('Products x speed'!L247*10^6/('Products x speed'!L55*$A141)))</f>
        <v/>
      </c>
      <c r="S141" s="368" t="str">
        <f>IF('Products x speed'!M55=0,"",('Products x speed'!M247*10^6/('Products x speed'!M55*$A141)))</f>
        <v/>
      </c>
      <c r="T141" s="368" t="str">
        <f>IF('Products x speed'!N55=0,"",('Products x speed'!N247*10^6/('Products x speed'!N55*$A141)))</f>
        <v/>
      </c>
      <c r="U141" s="368" t="str">
        <f>IF('Products x speed'!O55=0,"",('Products x speed'!O247*10^6/('Products x speed'!O55*$A141)))</f>
        <v/>
      </c>
    </row>
    <row r="142" spans="1:21">
      <c r="A142" s="642">
        <v>100</v>
      </c>
      <c r="B142" s="95" t="str">
        <f>'Products x speed'!B56</f>
        <v>100G 4WDM20</v>
      </c>
      <c r="C142" s="96" t="str">
        <f>'Products x speed'!C56</f>
        <v>20 km</v>
      </c>
      <c r="D142" s="96" t="str">
        <f>'Products x speed'!D56</f>
        <v>QSFP28</v>
      </c>
      <c r="E142" s="563"/>
      <c r="F142" s="564"/>
      <c r="G142" s="564"/>
      <c r="H142" s="564"/>
      <c r="I142" s="564" t="s">
        <v>90</v>
      </c>
      <c r="J142" s="564" t="s">
        <v>90</v>
      </c>
      <c r="K142" s="126" t="str">
        <f>IF('Products x speed'!E56=0,"",('Products x speed'!E248*10^6/('Products x speed'!E56*$A142)))</f>
        <v/>
      </c>
      <c r="L142" s="370" t="str">
        <f>IF('Products x speed'!F56=0,"",('Products x speed'!F248*10^6/('Products x speed'!F56*$A142)))</f>
        <v/>
      </c>
      <c r="M142" s="370" t="str">
        <f>IF('Products x speed'!G56=0,"",('Products x speed'!G248*10^6/('Products x speed'!G56*$A142)))</f>
        <v/>
      </c>
      <c r="N142" s="370" t="str">
        <f>IF('Products x speed'!H56=0,"",('Products x speed'!H248*10^6/('Products x speed'!H56*$A142)))</f>
        <v/>
      </c>
      <c r="O142" s="370" t="str">
        <f>IF('Products x speed'!I56=0,"",('Products x speed'!I248*10^6/('Products x speed'!I56*$A142)))</f>
        <v/>
      </c>
      <c r="P142" s="370" t="str">
        <f>IF('Products x speed'!J56=0,"",('Products x speed'!J248*10^6/('Products x speed'!J56*$A142)))</f>
        <v/>
      </c>
      <c r="Q142" s="370" t="str">
        <f>IF('Products x speed'!K56=0,"",('Products x speed'!K248*10^6/('Products x speed'!K56*$A142)))</f>
        <v/>
      </c>
      <c r="R142" s="368" t="str">
        <f>IF('Products x speed'!L56=0,"",('Products x speed'!L248*10^6/('Products x speed'!L56*$A142)))</f>
        <v/>
      </c>
      <c r="S142" s="368" t="str">
        <f>IF('Products x speed'!M56=0,"",('Products x speed'!M248*10^6/('Products x speed'!M56*$A142)))</f>
        <v/>
      </c>
      <c r="T142" s="368" t="str">
        <f>IF('Products x speed'!N56=0,"",('Products x speed'!N248*10^6/('Products x speed'!N56*$A142)))</f>
        <v/>
      </c>
      <c r="U142" s="368" t="str">
        <f>IF('Products x speed'!O56=0,"",('Products x speed'!O248*10^6/('Products x speed'!O56*$A142)))</f>
        <v/>
      </c>
    </row>
    <row r="143" spans="1:21">
      <c r="A143" s="642">
        <v>100</v>
      </c>
      <c r="B143" s="95" t="str">
        <f>'Products x speed'!B57</f>
        <v>100G ER4-Lite</v>
      </c>
      <c r="C143" s="96" t="str">
        <f>'Products x speed'!C57</f>
        <v>30 km</v>
      </c>
      <c r="D143" s="96" t="str">
        <f>'Products x speed'!D57</f>
        <v>QSFP28</v>
      </c>
      <c r="E143" s="563"/>
      <c r="F143" s="564"/>
      <c r="G143" s="564"/>
      <c r="H143" s="564"/>
      <c r="I143" s="564" t="s">
        <v>90</v>
      </c>
      <c r="J143" s="564" t="s">
        <v>90</v>
      </c>
      <c r="K143" s="126" t="str">
        <f>IF('Products x speed'!E57=0,"",('Products x speed'!E249*10^6/('Products x speed'!E57*$A143)))</f>
        <v/>
      </c>
      <c r="L143" s="370">
        <f>IF('Products x speed'!F57=0,"",('Products x speed'!F249*10^6/('Products x speed'!F57*$A143)))</f>
        <v>34.872423945044162</v>
      </c>
      <c r="M143" s="370" t="str">
        <f>IF('Products x speed'!G57=0,"",('Products x speed'!G249*10^6/('Products x speed'!G57*$A143)))</f>
        <v/>
      </c>
      <c r="N143" s="370" t="str">
        <f>IF('Products x speed'!H57=0,"",('Products x speed'!H249*10^6/('Products x speed'!H57*$A143)))</f>
        <v/>
      </c>
      <c r="O143" s="370" t="str">
        <f>IF('Products x speed'!I57=0,"",('Products x speed'!I249*10^6/('Products x speed'!I57*$A143)))</f>
        <v/>
      </c>
      <c r="P143" s="370" t="str">
        <f>IF('Products x speed'!J57=0,"",('Products x speed'!J249*10^6/('Products x speed'!J57*$A143)))</f>
        <v/>
      </c>
      <c r="Q143" s="370" t="str">
        <f>IF('Products x speed'!K57=0,"",('Products x speed'!K249*10^6/('Products x speed'!K57*$A143)))</f>
        <v/>
      </c>
      <c r="R143" s="368" t="str">
        <f>IF('Products x speed'!L57=0,"",('Products x speed'!L249*10^6/('Products x speed'!L57*$A143)))</f>
        <v/>
      </c>
      <c r="S143" s="368" t="str">
        <f>IF('Products x speed'!M57=0,"",('Products x speed'!M249*10^6/('Products x speed'!M57*$A143)))</f>
        <v/>
      </c>
      <c r="T143" s="368" t="str">
        <f>IF('Products x speed'!N57=0,"",('Products x speed'!N249*10^6/('Products x speed'!N57*$A143)))</f>
        <v/>
      </c>
      <c r="U143" s="368" t="str">
        <f>IF('Products x speed'!O57=0,"",('Products x speed'!O249*10^6/('Products x speed'!O57*$A143)))</f>
        <v/>
      </c>
    </row>
    <row r="144" spans="1:21">
      <c r="A144" s="642">
        <v>100</v>
      </c>
      <c r="B144" s="95" t="str">
        <f>'Products x speed'!B58</f>
        <v>100G ER4</v>
      </c>
      <c r="C144" s="96" t="str">
        <f>'Products x speed'!C58</f>
        <v>40 km</v>
      </c>
      <c r="D144" s="96" t="str">
        <f>'Products x speed'!D58</f>
        <v>QSFP28</v>
      </c>
      <c r="E144" s="563"/>
      <c r="F144" s="564"/>
      <c r="G144" s="564"/>
      <c r="H144" s="564"/>
      <c r="I144" s="564" t="s">
        <v>90</v>
      </c>
      <c r="J144" s="564" t="s">
        <v>90</v>
      </c>
      <c r="K144" s="126">
        <f>IF('Products x speed'!E58=0,"",('Products x speed'!E250*10^6/('Products x speed'!E58*$A144)))</f>
        <v>89.923604525403434</v>
      </c>
      <c r="L144" s="370">
        <f>IF('Products x speed'!F58=0,"",('Products x speed'!F250*10^6/('Products x speed'!F58*$A144)))</f>
        <v>66.754855675304157</v>
      </c>
      <c r="M144" s="370" t="str">
        <f>IF('Products x speed'!G58=0,"",('Products x speed'!G250*10^6/('Products x speed'!G58*$A144)))</f>
        <v/>
      </c>
      <c r="N144" s="370" t="str">
        <f>IF('Products x speed'!H58=0,"",('Products x speed'!H250*10^6/('Products x speed'!H58*$A144)))</f>
        <v/>
      </c>
      <c r="O144" s="370" t="str">
        <f>IF('Products x speed'!I58=0,"",('Products x speed'!I250*10^6/('Products x speed'!I58*$A144)))</f>
        <v/>
      </c>
      <c r="P144" s="370" t="str">
        <f>IF('Products x speed'!J58=0,"",('Products x speed'!J250*10^6/('Products x speed'!J58*$A144)))</f>
        <v/>
      </c>
      <c r="Q144" s="370" t="str">
        <f>IF('Products x speed'!K58=0,"",('Products x speed'!K250*10^6/('Products x speed'!K58*$A144)))</f>
        <v/>
      </c>
      <c r="R144" s="368" t="str">
        <f>IF('Products x speed'!L58=0,"",('Products x speed'!L250*10^6/('Products x speed'!L58*$A144)))</f>
        <v/>
      </c>
      <c r="S144" s="368" t="str">
        <f>IF('Products x speed'!M58=0,"",('Products x speed'!M250*10^6/('Products x speed'!M58*$A144)))</f>
        <v/>
      </c>
      <c r="T144" s="368" t="str">
        <f>IF('Products x speed'!N58=0,"",('Products x speed'!N250*10^6/('Products x speed'!N58*$A144)))</f>
        <v/>
      </c>
      <c r="U144" s="368" t="str">
        <f>IF('Products x speed'!O58=0,"",('Products x speed'!O250*10^6/('Products x speed'!O58*$A144)))</f>
        <v/>
      </c>
    </row>
    <row r="145" spans="1:21">
      <c r="A145" s="642">
        <v>100</v>
      </c>
      <c r="B145" s="95" t="str">
        <f>'Products x speed'!B59</f>
        <v>100G ZR4</v>
      </c>
      <c r="C145" s="96" t="str">
        <f>'Products x speed'!C59</f>
        <v>80 km</v>
      </c>
      <c r="D145" s="96" t="str">
        <f>'Products x speed'!D59</f>
        <v>QSFP28</v>
      </c>
      <c r="E145" s="563" t="s">
        <v>90</v>
      </c>
      <c r="F145" s="564" t="s">
        <v>90</v>
      </c>
      <c r="G145" s="564" t="s">
        <v>90</v>
      </c>
      <c r="H145" s="564" t="s">
        <v>90</v>
      </c>
      <c r="I145" s="564" t="s">
        <v>90</v>
      </c>
      <c r="J145" s="564">
        <v>78.003211991434696</v>
      </c>
      <c r="K145" s="126" t="str">
        <f>IF('Products x speed'!E59=0,"",('Products x speed'!E251*10^6/('Products x speed'!E59*$A145)))</f>
        <v/>
      </c>
      <c r="L145" s="370" t="str">
        <f>IF('Products x speed'!F59=0,"",('Products x speed'!F251*10^6/('Products x speed'!F59*$A145)))</f>
        <v/>
      </c>
      <c r="M145" s="370" t="str">
        <f>IF('Products x speed'!G59=0,"",('Products x speed'!G251*10^6/('Products x speed'!G59*$A145)))</f>
        <v/>
      </c>
      <c r="N145" s="370" t="str">
        <f>IF('Products x speed'!H59=0,"",('Products x speed'!H251*10^6/('Products x speed'!H59*$A145)))</f>
        <v/>
      </c>
      <c r="O145" s="370" t="str">
        <f>IF('Products x speed'!I59=0,"",('Products x speed'!I251*10^6/('Products x speed'!I59*$A145)))</f>
        <v/>
      </c>
      <c r="P145" s="370" t="str">
        <f>IF('Products x speed'!J59=0,"",('Products x speed'!J251*10^6/('Products x speed'!J59*$A145)))</f>
        <v/>
      </c>
      <c r="Q145" s="370" t="str">
        <f>IF('Products x speed'!K59=0,"",('Products x speed'!K251*10^6/('Products x speed'!K59*$A145)))</f>
        <v/>
      </c>
      <c r="R145" s="368" t="str">
        <f>IF('Products x speed'!L59=0,"",('Products x speed'!L251*10^6/('Products x speed'!L59*$A145)))</f>
        <v/>
      </c>
      <c r="S145" s="368" t="str">
        <f>IF('Products x speed'!M59=0,"",('Products x speed'!M251*10^6/('Products x speed'!M59*$A145)))</f>
        <v/>
      </c>
      <c r="T145" s="368" t="str">
        <f>IF('Products x speed'!N59=0,"",('Products x speed'!N251*10^6/('Products x speed'!N59*$A145)))</f>
        <v/>
      </c>
      <c r="U145" s="368" t="str">
        <f>IF('Products x speed'!O59=0,"",('Products x speed'!O251*10^6/('Products x speed'!O59*$A145)))</f>
        <v/>
      </c>
    </row>
    <row r="146" spans="1:21" ht="15.45" customHeight="1">
      <c r="A146" s="642">
        <v>200</v>
      </c>
      <c r="B146" s="87" t="str">
        <f>'Products x speed'!B60</f>
        <v>200G SR4</v>
      </c>
      <c r="C146" s="88" t="str">
        <f>'Products x speed'!C60</f>
        <v>100 m</v>
      </c>
      <c r="D146" s="89" t="str">
        <f>'Products x speed'!D60</f>
        <v>QSFP56</v>
      </c>
      <c r="E146" s="562" t="s">
        <v>90</v>
      </c>
      <c r="F146" s="562" t="s">
        <v>90</v>
      </c>
      <c r="G146" s="562" t="s">
        <v>90</v>
      </c>
      <c r="H146" s="562" t="s">
        <v>90</v>
      </c>
      <c r="I146" s="562" t="s">
        <v>90</v>
      </c>
      <c r="J146" s="562" t="s">
        <v>90</v>
      </c>
      <c r="K146" s="359" t="str">
        <f>IF('Products x speed'!E60=0,"",('Products x speed'!E252*10^6/('Products x speed'!E60*$A146)))</f>
        <v/>
      </c>
      <c r="L146" s="381" t="str">
        <f>IF('Products x speed'!F60=0,"",('Products x speed'!F252*10^6/('Products x speed'!F60*$A146)))</f>
        <v/>
      </c>
      <c r="M146" s="381" t="str">
        <f>IF('Products x speed'!G60=0,"",('Products x speed'!G252*10^6/('Products x speed'!G60*$A146)))</f>
        <v/>
      </c>
      <c r="N146" s="381" t="str">
        <f>IF('Products x speed'!H60=0,"",('Products x speed'!H252*10^6/('Products x speed'!H60*$A146)))</f>
        <v/>
      </c>
      <c r="O146" s="381" t="str">
        <f>IF('Products x speed'!I60=0,"",('Products x speed'!I252*10^6/('Products x speed'!I60*$A146)))</f>
        <v/>
      </c>
      <c r="P146" s="381" t="str">
        <f>IF('Products x speed'!J60=0,"",('Products x speed'!J252*10^6/('Products x speed'!J60*$A146)))</f>
        <v/>
      </c>
      <c r="Q146" s="381" t="str">
        <f>IF('Products x speed'!K60=0,"",('Products x speed'!K252*10^6/('Products x speed'!K60*$A146)))</f>
        <v/>
      </c>
      <c r="R146" s="381" t="str">
        <f>IF('Products x speed'!L60=0,"",('Products x speed'!L252*10^6/('Products x speed'!L60*$A146)))</f>
        <v/>
      </c>
      <c r="S146" s="381" t="str">
        <f>IF('Products x speed'!M60=0,"",('Products x speed'!M252*10^6/('Products x speed'!M60*$A146)))</f>
        <v/>
      </c>
      <c r="T146" s="381" t="str">
        <f>IF('Products x speed'!N60=0,"",('Products x speed'!N252*10^6/('Products x speed'!N60*$A146)))</f>
        <v/>
      </c>
      <c r="U146" s="381" t="str">
        <f>IF('Products x speed'!O60=0,"",('Products x speed'!O252*10^6/('Products x speed'!O60*$A146)))</f>
        <v/>
      </c>
    </row>
    <row r="147" spans="1:21" ht="15.45" customHeight="1">
      <c r="A147" s="642">
        <v>200</v>
      </c>
      <c r="B147" s="95" t="str">
        <f>'Products x speed'!B61</f>
        <v>200G DR</v>
      </c>
      <c r="C147" s="96" t="str">
        <f>'Products x speed'!C61</f>
        <v>500 m</v>
      </c>
      <c r="D147" s="97" t="str">
        <f>'Products x speed'!D61</f>
        <v>TBD</v>
      </c>
      <c r="E147" s="564" t="s">
        <v>90</v>
      </c>
      <c r="F147" s="564" t="s">
        <v>90</v>
      </c>
      <c r="G147" s="564" t="s">
        <v>90</v>
      </c>
      <c r="H147" s="564" t="s">
        <v>90</v>
      </c>
      <c r="I147" s="564" t="s">
        <v>90</v>
      </c>
      <c r="J147" s="564" t="s">
        <v>90</v>
      </c>
      <c r="K147" s="367" t="str">
        <f>IF('Products x speed'!E61=0,"",('Products x speed'!E253*10^6/('Products x speed'!E61*$A147)))</f>
        <v/>
      </c>
      <c r="L147" s="368" t="str">
        <f>IF('Products x speed'!F61=0,"",('Products x speed'!F253*10^6/('Products x speed'!F61*$A147)))</f>
        <v/>
      </c>
      <c r="M147" s="368" t="str">
        <f>IF('Products x speed'!G61=0,"",('Products x speed'!G253*10^6/('Products x speed'!G61*$A147)))</f>
        <v/>
      </c>
      <c r="N147" s="368" t="str">
        <f>IF('Products x speed'!H61=0,"",('Products x speed'!H253*10^6/('Products x speed'!H61*$A147)))</f>
        <v/>
      </c>
      <c r="O147" s="368" t="str">
        <f>IF('Products x speed'!I61=0,"",('Products x speed'!I253*10^6/('Products x speed'!I61*$A147)))</f>
        <v/>
      </c>
      <c r="P147" s="368" t="str">
        <f>IF('Products x speed'!J61=0,"",('Products x speed'!J253*10^6/('Products x speed'!J61*$A147)))</f>
        <v/>
      </c>
      <c r="Q147" s="368" t="str">
        <f>IF('Products x speed'!K61=0,"",('Products x speed'!K253*10^6/('Products x speed'!K61*$A147)))</f>
        <v/>
      </c>
      <c r="R147" s="368" t="str">
        <f>IF('Products x speed'!L61=0,"",('Products x speed'!L253*10^6/('Products x speed'!L61*$A147)))</f>
        <v/>
      </c>
      <c r="S147" s="368" t="str">
        <f>IF('Products x speed'!M61=0,"",('Products x speed'!M253*10^6/('Products x speed'!M61*$A147)))</f>
        <v/>
      </c>
      <c r="T147" s="368" t="str">
        <f>IF('Products x speed'!N61=0,"",('Products x speed'!N253*10^6/('Products x speed'!N61*$A147)))</f>
        <v/>
      </c>
      <c r="U147" s="368" t="str">
        <f>IF('Products x speed'!O61=0,"",('Products x speed'!O253*10^6/('Products x speed'!O61*$A147)))</f>
        <v/>
      </c>
    </row>
    <row r="148" spans="1:21" ht="15.45" customHeight="1">
      <c r="A148" s="642">
        <v>200</v>
      </c>
      <c r="B148" s="95" t="str">
        <f>'Products x speed'!B62</f>
        <v>200G FR4</v>
      </c>
      <c r="C148" s="96" t="str">
        <f>'Products x speed'!C62</f>
        <v>3 km</v>
      </c>
      <c r="D148" s="97" t="str">
        <f>'Products x speed'!D62</f>
        <v>QSFP56</v>
      </c>
      <c r="E148" s="564" t="s">
        <v>90</v>
      </c>
      <c r="F148" s="564" t="s">
        <v>90</v>
      </c>
      <c r="G148" s="564" t="s">
        <v>90</v>
      </c>
      <c r="H148" s="564" t="s">
        <v>90</v>
      </c>
      <c r="I148" s="564" t="s">
        <v>90</v>
      </c>
      <c r="J148" s="564" t="s">
        <v>90</v>
      </c>
      <c r="K148" s="367" t="str">
        <f>IF('Products x speed'!E62=0,"",('Products x speed'!E254*10^6/('Products x speed'!E62*$A148)))</f>
        <v/>
      </c>
      <c r="L148" s="368" t="str">
        <f>IF('Products x speed'!F62=0,"",('Products x speed'!F254*10^6/('Products x speed'!F62*$A148)))</f>
        <v/>
      </c>
      <c r="M148" s="368" t="str">
        <f>IF('Products x speed'!G62=0,"",('Products x speed'!G254*10^6/('Products x speed'!G62*$A148)))</f>
        <v/>
      </c>
      <c r="N148" s="368" t="str">
        <f>IF('Products x speed'!H62=0,"",('Products x speed'!H254*10^6/('Products x speed'!H62*$A148)))</f>
        <v/>
      </c>
      <c r="O148" s="368" t="str">
        <f>IF('Products x speed'!I62=0,"",('Products x speed'!I254*10^6/('Products x speed'!I62*$A148)))</f>
        <v/>
      </c>
      <c r="P148" s="368" t="str">
        <f>IF('Products x speed'!J62=0,"",('Products x speed'!J254*10^6/('Products x speed'!J62*$A148)))</f>
        <v/>
      </c>
      <c r="Q148" s="368" t="str">
        <f>IF('Products x speed'!K62=0,"",('Products x speed'!K254*10^6/('Products x speed'!K62*$A148)))</f>
        <v/>
      </c>
      <c r="R148" s="368" t="str">
        <f>IF('Products x speed'!L62=0,"",('Products x speed'!L254*10^6/('Products x speed'!L62*$A148)))</f>
        <v/>
      </c>
      <c r="S148" s="368" t="str">
        <f>IF('Products x speed'!M62=0,"",('Products x speed'!M254*10^6/('Products x speed'!M62*$A148)))</f>
        <v/>
      </c>
      <c r="T148" s="368" t="str">
        <f>IF('Products x speed'!N62=0,"",('Products x speed'!N254*10^6/('Products x speed'!N62*$A148)))</f>
        <v/>
      </c>
      <c r="U148" s="368" t="str">
        <f>IF('Products x speed'!O62=0,"",('Products x speed'!O254*10^6/('Products x speed'!O62*$A148)))</f>
        <v/>
      </c>
    </row>
    <row r="149" spans="1:21" ht="15.45" customHeight="1">
      <c r="A149" s="642">
        <v>200</v>
      </c>
      <c r="B149" s="95" t="str">
        <f>'Products x speed'!B63</f>
        <v>200G LR</v>
      </c>
      <c r="C149" s="96" t="str">
        <f>'Products x speed'!C63</f>
        <v>10 km</v>
      </c>
      <c r="D149" s="97" t="str">
        <f>'Products x speed'!D63</f>
        <v>TBD</v>
      </c>
      <c r="E149" s="564" t="s">
        <v>90</v>
      </c>
      <c r="F149" s="564" t="s">
        <v>90</v>
      </c>
      <c r="G149" s="564" t="s">
        <v>90</v>
      </c>
      <c r="H149" s="564" t="s">
        <v>90</v>
      </c>
      <c r="I149" s="564" t="s">
        <v>90</v>
      </c>
      <c r="J149" s="564" t="s">
        <v>90</v>
      </c>
      <c r="K149" s="367" t="str">
        <f>IF('Products x speed'!E63=0,"",('Products x speed'!E255*10^6/('Products x speed'!E63*$A149)))</f>
        <v/>
      </c>
      <c r="L149" s="368" t="str">
        <f>IF('Products x speed'!F63=0,"",('Products x speed'!F255*10^6/('Products x speed'!F63*$A149)))</f>
        <v/>
      </c>
      <c r="M149" s="368" t="str">
        <f>IF('Products x speed'!G63=0,"",('Products x speed'!G255*10^6/('Products x speed'!G63*$A149)))</f>
        <v/>
      </c>
      <c r="N149" s="368" t="str">
        <f>IF('Products x speed'!H63=0,"",('Products x speed'!H255*10^6/('Products x speed'!H63*$A149)))</f>
        <v/>
      </c>
      <c r="O149" s="368" t="str">
        <f>IF('Products x speed'!I63=0,"",('Products x speed'!I255*10^6/('Products x speed'!I63*$A149)))</f>
        <v/>
      </c>
      <c r="P149" s="368" t="str">
        <f>IF('Products x speed'!J63=0,"",('Products x speed'!J255*10^6/('Products x speed'!J63*$A149)))</f>
        <v/>
      </c>
      <c r="Q149" s="368" t="str">
        <f>IF('Products x speed'!K63=0,"",('Products x speed'!K255*10^6/('Products x speed'!K63*$A149)))</f>
        <v/>
      </c>
      <c r="R149" s="368" t="str">
        <f>IF('Products x speed'!L63=0,"",('Products x speed'!L255*10^6/('Products x speed'!L63*$A149)))</f>
        <v/>
      </c>
      <c r="S149" s="368" t="str">
        <f>IF('Products x speed'!M63=0,"",('Products x speed'!M255*10^6/('Products x speed'!M63*$A149)))</f>
        <v/>
      </c>
      <c r="T149" s="368" t="str">
        <f>IF('Products x speed'!N63=0,"",('Products x speed'!N255*10^6/('Products x speed'!N63*$A149)))</f>
        <v/>
      </c>
      <c r="U149" s="368" t="str">
        <f>IF('Products x speed'!O63=0,"",('Products x speed'!O255*10^6/('Products x speed'!O63*$A149)))</f>
        <v/>
      </c>
    </row>
    <row r="150" spans="1:21" ht="15.45" customHeight="1">
      <c r="A150" s="642">
        <v>200</v>
      </c>
      <c r="B150" s="91" t="str">
        <f>'Products x speed'!B64</f>
        <v>200G ER4</v>
      </c>
      <c r="C150" s="92" t="str">
        <f>'Products x speed'!C64</f>
        <v>40 km</v>
      </c>
      <c r="D150" s="93" t="str">
        <f>'Products x speed'!D64</f>
        <v>TBD</v>
      </c>
      <c r="E150" s="566" t="s">
        <v>90</v>
      </c>
      <c r="F150" s="566" t="s">
        <v>90</v>
      </c>
      <c r="G150" s="566" t="s">
        <v>90</v>
      </c>
      <c r="H150" s="566" t="s">
        <v>90</v>
      </c>
      <c r="I150" s="566" t="s">
        <v>90</v>
      </c>
      <c r="J150" s="566" t="s">
        <v>90</v>
      </c>
      <c r="K150" s="360" t="str">
        <f>IF('Products x speed'!E64=0,"",('Products x speed'!E256*10^6/('Products x speed'!E64*$A150)))</f>
        <v/>
      </c>
      <c r="L150" s="382" t="str">
        <f>IF('Products x speed'!F64=0,"",('Products x speed'!F256*10^6/('Products x speed'!F64*$A150)))</f>
        <v/>
      </c>
      <c r="M150" s="382" t="str">
        <f>IF('Products x speed'!G64=0,"",('Products x speed'!G256*10^6/('Products x speed'!G64*$A150)))</f>
        <v/>
      </c>
      <c r="N150" s="382" t="str">
        <f>IF('Products x speed'!H64=0,"",('Products x speed'!H256*10^6/('Products x speed'!H64*$A150)))</f>
        <v/>
      </c>
      <c r="O150" s="382" t="str">
        <f>IF('Products x speed'!I64=0,"",('Products x speed'!I256*10^6/('Products x speed'!I64*$A150)))</f>
        <v/>
      </c>
      <c r="P150" s="382" t="str">
        <f>IF('Products x speed'!J64=0,"",('Products x speed'!J256*10^6/('Products x speed'!J64*$A150)))</f>
        <v/>
      </c>
      <c r="Q150" s="382" t="str">
        <f>IF('Products x speed'!K64=0,"",('Products x speed'!K256*10^6/('Products x speed'!K64*$A150)))</f>
        <v/>
      </c>
      <c r="R150" s="382" t="str">
        <f>IF('Products x speed'!L64=0,"",('Products x speed'!L256*10^6/('Products x speed'!L64*$A150)))</f>
        <v/>
      </c>
      <c r="S150" s="382" t="str">
        <f>IF('Products x speed'!M64=0,"",('Products x speed'!M256*10^6/('Products x speed'!M64*$A150)))</f>
        <v/>
      </c>
      <c r="T150" s="382" t="str">
        <f>IF('Products x speed'!N64=0,"",('Products x speed'!N256*10^6/('Products x speed'!N64*$A150)))</f>
        <v/>
      </c>
      <c r="U150" s="382" t="str">
        <f>IF('Products x speed'!O64=0,"",('Products x speed'!O256*10^6/('Products x speed'!O64*$A150)))</f>
        <v/>
      </c>
    </row>
    <row r="151" spans="1:21" ht="15.45" customHeight="1">
      <c r="A151" s="642">
        <v>400</v>
      </c>
      <c r="B151" s="87" t="str">
        <f>'Products x speed'!B65</f>
        <v>2x200 (400G-SR8)</v>
      </c>
      <c r="C151" s="88" t="str">
        <f>'Products x speed'!C65</f>
        <v>100 m</v>
      </c>
      <c r="D151" s="89" t="str">
        <f>'Products x speed'!D65</f>
        <v>OSFP, QSFP-DD</v>
      </c>
      <c r="E151" s="562" t="s">
        <v>90</v>
      </c>
      <c r="F151" s="562" t="s">
        <v>90</v>
      </c>
      <c r="G151" s="562" t="s">
        <v>90</v>
      </c>
      <c r="H151" s="562" t="s">
        <v>90</v>
      </c>
      <c r="I151" s="562" t="s">
        <v>90</v>
      </c>
      <c r="J151" s="562" t="s">
        <v>90</v>
      </c>
      <c r="K151" s="359" t="str">
        <f>IF('Products x speed'!E65=0,"",('Products x speed'!E257*10^6/('Products x speed'!E65*$A151)))</f>
        <v/>
      </c>
      <c r="L151" s="381" t="str">
        <f>IF('Products x speed'!F65=0,"",('Products x speed'!F257*10^6/('Products x speed'!F65*$A151)))</f>
        <v/>
      </c>
      <c r="M151" s="381" t="str">
        <f>IF('Products x speed'!G65=0,"",('Products x speed'!G257*10^6/('Products x speed'!G65*$A151)))</f>
        <v/>
      </c>
      <c r="N151" s="381" t="str">
        <f>IF('Products x speed'!H65=0,"",('Products x speed'!H257*10^6/('Products x speed'!H65*$A151)))</f>
        <v/>
      </c>
      <c r="O151" s="381" t="str">
        <f>IF('Products x speed'!I65=0,"",('Products x speed'!I257*10^6/('Products x speed'!I65*$A151)))</f>
        <v/>
      </c>
      <c r="P151" s="381" t="str">
        <f>IF('Products x speed'!J65=0,"",('Products x speed'!J257*10^6/('Products x speed'!J65*$A151)))</f>
        <v/>
      </c>
      <c r="Q151" s="381" t="str">
        <f>IF('Products x speed'!K65=0,"",('Products x speed'!K257*10^6/('Products x speed'!K65*$A151)))</f>
        <v/>
      </c>
      <c r="R151" s="381" t="str">
        <f>IF('Products x speed'!L65=0,"",('Products x speed'!L257*10^6/('Products x speed'!L65*$A151)))</f>
        <v/>
      </c>
      <c r="S151" s="381" t="str">
        <f>IF('Products x speed'!M65=0,"",('Products x speed'!M257*10^6/('Products x speed'!M65*$A151)))</f>
        <v/>
      </c>
      <c r="T151" s="381" t="str">
        <f>IF('Products x speed'!N65=0,"",('Products x speed'!N257*10^6/('Products x speed'!N65*$A151)))</f>
        <v/>
      </c>
      <c r="U151" s="381" t="str">
        <f>IF('Products x speed'!O65=0,"",('Products x speed'!O257*10^6/('Products x speed'!O65*$A151)))</f>
        <v/>
      </c>
    </row>
    <row r="152" spans="1:21" ht="15.45" customHeight="1">
      <c r="A152" s="642">
        <v>400</v>
      </c>
      <c r="B152" s="95" t="str">
        <f>'Products x speed'!B66</f>
        <v>400G SR4</v>
      </c>
      <c r="C152" s="96" t="str">
        <f>'Products x speed'!C66</f>
        <v>100 m</v>
      </c>
      <c r="D152" s="97" t="str">
        <f>'Products x speed'!D66</f>
        <v>OSFP112, QSFP112</v>
      </c>
      <c r="E152" s="564" t="s">
        <v>90</v>
      </c>
      <c r="F152" s="564" t="s">
        <v>90</v>
      </c>
      <c r="G152" s="564" t="s">
        <v>90</v>
      </c>
      <c r="H152" s="564" t="s">
        <v>90</v>
      </c>
      <c r="I152" s="564" t="s">
        <v>90</v>
      </c>
      <c r="J152" s="564" t="s">
        <v>90</v>
      </c>
      <c r="K152" s="367" t="str">
        <f>IF('Products x speed'!E66=0,"",('Products x speed'!E258*10^6/('Products x speed'!E66*$A152)))</f>
        <v/>
      </c>
      <c r="L152" s="368" t="str">
        <f>IF('Products x speed'!F66=0,"",('Products x speed'!F258*10^6/('Products x speed'!F66*$A152)))</f>
        <v/>
      </c>
      <c r="M152" s="368" t="str">
        <f>IF('Products x speed'!G66=0,"",('Products x speed'!G258*10^6/('Products x speed'!G66*$A152)))</f>
        <v/>
      </c>
      <c r="N152" s="368" t="str">
        <f>IF('Products x speed'!H66=0,"",('Products x speed'!H258*10^6/('Products x speed'!H66*$A152)))</f>
        <v/>
      </c>
      <c r="O152" s="368" t="str">
        <f>IF('Products x speed'!I66=0,"",('Products x speed'!I258*10^6/('Products x speed'!I66*$A152)))</f>
        <v/>
      </c>
      <c r="P152" s="368" t="str">
        <f>IF('Products x speed'!J66=0,"",('Products x speed'!J258*10^6/('Products x speed'!J66*$A152)))</f>
        <v/>
      </c>
      <c r="Q152" s="368" t="str">
        <f>IF('Products x speed'!K66=0,"",('Products x speed'!K258*10^6/('Products x speed'!K66*$A152)))</f>
        <v/>
      </c>
      <c r="R152" s="368" t="str">
        <f>IF('Products x speed'!L66=0,"",('Products x speed'!L258*10^6/('Products x speed'!L66*$A152)))</f>
        <v/>
      </c>
      <c r="S152" s="368" t="str">
        <f>IF('Products x speed'!M66=0,"",('Products x speed'!M258*10^6/('Products x speed'!M66*$A152)))</f>
        <v/>
      </c>
      <c r="T152" s="368" t="str">
        <f>IF('Products x speed'!N66=0,"",('Products x speed'!N258*10^6/('Products x speed'!N66*$A152)))</f>
        <v/>
      </c>
      <c r="U152" s="368" t="str">
        <f>IF('Products x speed'!O66=0,"",('Products x speed'!O258*10^6/('Products x speed'!O66*$A152)))</f>
        <v/>
      </c>
    </row>
    <row r="153" spans="1:21" ht="15.45" customHeight="1">
      <c r="A153" s="642">
        <v>400</v>
      </c>
      <c r="B153" s="95" t="str">
        <f>'Products x speed'!B67</f>
        <v>400G DR4</v>
      </c>
      <c r="C153" s="96" t="str">
        <f>'Products x speed'!C67</f>
        <v>500 m</v>
      </c>
      <c r="D153" s="97" t="str">
        <f>'Products x speed'!D67</f>
        <v>OSFP, QSFP-DD, QSFP112</v>
      </c>
      <c r="E153" s="564" t="s">
        <v>90</v>
      </c>
      <c r="F153" s="564" t="s">
        <v>90</v>
      </c>
      <c r="G153" s="564" t="s">
        <v>90</v>
      </c>
      <c r="H153" s="564" t="s">
        <v>90</v>
      </c>
      <c r="I153" s="564" t="s">
        <v>90</v>
      </c>
      <c r="J153" s="564" t="s">
        <v>90</v>
      </c>
      <c r="K153" s="367" t="str">
        <f>IF('Products x speed'!E67=0,"",('Products x speed'!E259*10^6/('Products x speed'!E67*$A153)))</f>
        <v/>
      </c>
      <c r="L153" s="368" t="str">
        <f>IF('Products x speed'!F67=0,"",('Products x speed'!F259*10^6/('Products x speed'!F67*$A153)))</f>
        <v/>
      </c>
      <c r="M153" s="368" t="str">
        <f>IF('Products x speed'!G67=0,"",('Products x speed'!G259*10^6/('Products x speed'!G67*$A153)))</f>
        <v/>
      </c>
      <c r="N153" s="368" t="str">
        <f>IF('Products x speed'!H67=0,"",('Products x speed'!H259*10^6/('Products x speed'!H67*$A153)))</f>
        <v/>
      </c>
      <c r="O153" s="368" t="str">
        <f>IF('Products x speed'!I67=0,"",('Products x speed'!I259*10^6/('Products x speed'!I67*$A153)))</f>
        <v/>
      </c>
      <c r="P153" s="368" t="str">
        <f>IF('Products x speed'!J67=0,"",('Products x speed'!J259*10^6/('Products x speed'!J67*$A153)))</f>
        <v/>
      </c>
      <c r="Q153" s="368" t="str">
        <f>IF('Products x speed'!K67=0,"",('Products x speed'!K259*10^6/('Products x speed'!K67*$A153)))</f>
        <v/>
      </c>
      <c r="R153" s="368" t="str">
        <f>IF('Products x speed'!L67=0,"",('Products x speed'!L259*10^6/('Products x speed'!L67*$A153)))</f>
        <v/>
      </c>
      <c r="S153" s="368" t="str">
        <f>IF('Products x speed'!M67=0,"",('Products x speed'!M259*10^6/('Products x speed'!M67*$A153)))</f>
        <v/>
      </c>
      <c r="T153" s="368" t="str">
        <f>IF('Products x speed'!N67=0,"",('Products x speed'!N259*10^6/('Products x speed'!N67*$A153)))</f>
        <v/>
      </c>
      <c r="U153" s="368" t="str">
        <f>IF('Products x speed'!O67=0,"",('Products x speed'!O259*10^6/('Products x speed'!O67*$A153)))</f>
        <v/>
      </c>
    </row>
    <row r="154" spans="1:21" ht="15.45" customHeight="1">
      <c r="A154" s="642">
        <v>400</v>
      </c>
      <c r="B154" s="95" t="str">
        <f>'Products x speed'!B68</f>
        <v>2x(200G FR4)</v>
      </c>
      <c r="C154" s="96" t="str">
        <f>'Products x speed'!C68</f>
        <v>2 km</v>
      </c>
      <c r="D154" s="97" t="str">
        <f>'Products x speed'!D68</f>
        <v>OSFP</v>
      </c>
      <c r="E154" s="564" t="s">
        <v>90</v>
      </c>
      <c r="F154" s="564" t="s">
        <v>90</v>
      </c>
      <c r="G154" s="564" t="s">
        <v>90</v>
      </c>
      <c r="H154" s="564" t="s">
        <v>90</v>
      </c>
      <c r="I154" s="564" t="s">
        <v>90</v>
      </c>
      <c r="J154" s="564" t="s">
        <v>90</v>
      </c>
      <c r="K154" s="367" t="str">
        <f>IF('Products x speed'!E68=0,"",('Products x speed'!E260*10^6/('Products x speed'!E68*$A154)))</f>
        <v/>
      </c>
      <c r="L154" s="368" t="str">
        <f>IF('Products x speed'!F68=0,"",('Products x speed'!F260*10^6/('Products x speed'!F68*$A154)))</f>
        <v/>
      </c>
      <c r="M154" s="368" t="str">
        <f>IF('Products x speed'!G68=0,"",('Products x speed'!G260*10^6/('Products x speed'!G68*$A154)))</f>
        <v/>
      </c>
      <c r="N154" s="368" t="str">
        <f>IF('Products x speed'!H68=0,"",('Products x speed'!H260*10^6/('Products x speed'!H68*$A154)))</f>
        <v/>
      </c>
      <c r="O154" s="368" t="str">
        <f>IF('Products x speed'!I68=0,"",('Products x speed'!I260*10^6/('Products x speed'!I68*$A154)))</f>
        <v/>
      </c>
      <c r="P154" s="368" t="str">
        <f>IF('Products x speed'!J68=0,"",('Products x speed'!J260*10^6/('Products x speed'!J68*$A154)))</f>
        <v/>
      </c>
      <c r="Q154" s="368" t="str">
        <f>IF('Products x speed'!K68=0,"",('Products x speed'!K260*10^6/('Products x speed'!K68*$A154)))</f>
        <v/>
      </c>
      <c r="R154" s="368" t="str">
        <f>IF('Products x speed'!L68=0,"",('Products x speed'!L260*10^6/('Products x speed'!L68*$A154)))</f>
        <v/>
      </c>
      <c r="S154" s="368" t="str">
        <f>IF('Products x speed'!M68=0,"",('Products x speed'!M260*10^6/('Products x speed'!M68*$A154)))</f>
        <v/>
      </c>
      <c r="T154" s="368" t="str">
        <f>IF('Products x speed'!N68=0,"",('Products x speed'!N260*10^6/('Products x speed'!N68*$A154)))</f>
        <v/>
      </c>
      <c r="U154" s="368" t="str">
        <f>IF('Products x speed'!O68=0,"",('Products x speed'!O260*10^6/('Products x speed'!O68*$A154)))</f>
        <v/>
      </c>
    </row>
    <row r="155" spans="1:21" ht="15.45" customHeight="1">
      <c r="A155" s="642">
        <v>400</v>
      </c>
      <c r="B155" s="95" t="str">
        <f>'Products x speed'!B69</f>
        <v>400G FR4</v>
      </c>
      <c r="C155" s="96" t="str">
        <f>'Products x speed'!C69</f>
        <v>2 km</v>
      </c>
      <c r="D155" s="97" t="str">
        <f>'Products x speed'!D69</f>
        <v>OSFP, QSFP-DD, QSFP112</v>
      </c>
      <c r="E155" s="564" t="s">
        <v>90</v>
      </c>
      <c r="F155" s="564" t="s">
        <v>90</v>
      </c>
      <c r="G155" s="564" t="s">
        <v>90</v>
      </c>
      <c r="H155" s="564" t="s">
        <v>90</v>
      </c>
      <c r="I155" s="564" t="s">
        <v>90</v>
      </c>
      <c r="J155" s="564" t="s">
        <v>90</v>
      </c>
      <c r="K155" s="367" t="str">
        <f>IF('Products x speed'!E69=0,"",('Products x speed'!E261*10^6/('Products x speed'!E69*$A155)))</f>
        <v/>
      </c>
      <c r="L155" s="368">
        <f>IF('Products x speed'!F69=0,"",('Products x speed'!F261*10^6/('Products x speed'!F69*$A155)))</f>
        <v>29.035714285714285</v>
      </c>
      <c r="M155" s="368" t="str">
        <f>IF('Products x speed'!G69=0,"",('Products x speed'!G261*10^6/('Products x speed'!G69*$A155)))</f>
        <v/>
      </c>
      <c r="N155" s="368" t="str">
        <f>IF('Products x speed'!H69=0,"",('Products x speed'!H261*10^6/('Products x speed'!H69*$A155)))</f>
        <v/>
      </c>
      <c r="O155" s="368" t="str">
        <f>IF('Products x speed'!I69=0,"",('Products x speed'!I261*10^6/('Products x speed'!I69*$A155)))</f>
        <v/>
      </c>
      <c r="P155" s="368" t="str">
        <f>IF('Products x speed'!J69=0,"",('Products x speed'!J261*10^6/('Products x speed'!J69*$A155)))</f>
        <v/>
      </c>
      <c r="Q155" s="368" t="str">
        <f>IF('Products x speed'!K69=0,"",('Products x speed'!K261*10^6/('Products x speed'!K69*$A155)))</f>
        <v/>
      </c>
      <c r="R155" s="368" t="str">
        <f>IF('Products x speed'!L69=0,"",('Products x speed'!L261*10^6/('Products x speed'!L69*$A155)))</f>
        <v/>
      </c>
      <c r="S155" s="368" t="str">
        <f>IF('Products x speed'!M69=0,"",('Products x speed'!M261*10^6/('Products x speed'!M69*$A155)))</f>
        <v/>
      </c>
      <c r="T155" s="368" t="str">
        <f>IF('Products x speed'!N69=0,"",('Products x speed'!N261*10^6/('Products x speed'!N69*$A155)))</f>
        <v/>
      </c>
      <c r="U155" s="368" t="str">
        <f>IF('Products x speed'!O69=0,"",('Products x speed'!O261*10^6/('Products x speed'!O69*$A155)))</f>
        <v/>
      </c>
    </row>
    <row r="156" spans="1:21" ht="15.45" customHeight="1">
      <c r="A156" s="642">
        <v>400</v>
      </c>
      <c r="B156" s="95" t="str">
        <f>'Products x speed'!B70</f>
        <v>400G LR8, LR4</v>
      </c>
      <c r="C156" s="96" t="str">
        <f>'Products x speed'!C70</f>
        <v>10 km</v>
      </c>
      <c r="D156" s="97" t="str">
        <f>'Products x speed'!D70</f>
        <v>OSFP, QSFP-DD, QSFP112</v>
      </c>
      <c r="E156" s="564" t="s">
        <v>90</v>
      </c>
      <c r="F156" s="564" t="s">
        <v>90</v>
      </c>
      <c r="G156" s="564" t="s">
        <v>90</v>
      </c>
      <c r="H156" s="564" t="s">
        <v>90</v>
      </c>
      <c r="I156" s="564" t="s">
        <v>90</v>
      </c>
      <c r="J156" s="564" t="s">
        <v>90</v>
      </c>
      <c r="K156" s="367" t="str">
        <f>IF('Products x speed'!E70=0,"",('Products x speed'!E262*10^6/('Products x speed'!E70*$A156)))</f>
        <v/>
      </c>
      <c r="L156" s="368">
        <f>IF('Products x speed'!F70=0,"",('Products x speed'!F262*10^6/('Products x speed'!F70*$A156)))</f>
        <v>38.628048780487802</v>
      </c>
      <c r="M156" s="368" t="str">
        <f>IF('Products x speed'!G70=0,"",('Products x speed'!G262*10^6/('Products x speed'!G70*$A156)))</f>
        <v/>
      </c>
      <c r="N156" s="368" t="str">
        <f>IF('Products x speed'!H70=0,"",('Products x speed'!H262*10^6/('Products x speed'!H70*$A156)))</f>
        <v/>
      </c>
      <c r="O156" s="368" t="str">
        <f>IF('Products x speed'!I70=0,"",('Products x speed'!I262*10^6/('Products x speed'!I70*$A156)))</f>
        <v/>
      </c>
      <c r="P156" s="368" t="str">
        <f>IF('Products x speed'!J70=0,"",('Products x speed'!J262*10^6/('Products x speed'!J70*$A156)))</f>
        <v/>
      </c>
      <c r="Q156" s="368" t="str">
        <f>IF('Products x speed'!K70=0,"",('Products x speed'!K262*10^6/('Products x speed'!K70*$A156)))</f>
        <v/>
      </c>
      <c r="R156" s="368" t="str">
        <f>IF('Products x speed'!L70=0,"",('Products x speed'!L262*10^6/('Products x speed'!L70*$A156)))</f>
        <v/>
      </c>
      <c r="S156" s="368" t="str">
        <f>IF('Products x speed'!M70=0,"",('Products x speed'!M262*10^6/('Products x speed'!M70*$A156)))</f>
        <v/>
      </c>
      <c r="T156" s="368" t="str">
        <f>IF('Products x speed'!N70=0,"",('Products x speed'!N262*10^6/('Products x speed'!N70*$A156)))</f>
        <v/>
      </c>
      <c r="U156" s="368" t="str">
        <f>IF('Products x speed'!O70=0,"",('Products x speed'!O262*10^6/('Products x speed'!O70*$A156)))</f>
        <v/>
      </c>
    </row>
    <row r="157" spans="1:21" ht="15.45" customHeight="1">
      <c r="A157" s="642">
        <v>400</v>
      </c>
      <c r="B157" s="91" t="str">
        <f>'Products x speed'!B71</f>
        <v>400G ER4</v>
      </c>
      <c r="C157" s="92" t="str">
        <f>'Products x speed'!C71</f>
        <v>40 km</v>
      </c>
      <c r="D157" s="93" t="str">
        <f>'Products x speed'!D71</f>
        <v>TBD</v>
      </c>
      <c r="E157" s="566" t="s">
        <v>90</v>
      </c>
      <c r="F157" s="566" t="s">
        <v>90</v>
      </c>
      <c r="G157" s="566" t="s">
        <v>90</v>
      </c>
      <c r="H157" s="566" t="s">
        <v>90</v>
      </c>
      <c r="I157" s="566" t="s">
        <v>90</v>
      </c>
      <c r="J157" s="566" t="s">
        <v>90</v>
      </c>
      <c r="K157" s="360" t="str">
        <f>IF('Products x speed'!E71=0,"",('Products x speed'!E263*10^6/('Products x speed'!E71*$A157)))</f>
        <v/>
      </c>
      <c r="L157" s="382" t="str">
        <f>IF('Products x speed'!F71=0,"",('Products x speed'!F263*10^6/('Products x speed'!F71*$A157)))</f>
        <v/>
      </c>
      <c r="M157" s="382" t="str">
        <f>IF('Products x speed'!G71=0,"",('Products x speed'!G263*10^6/('Products x speed'!G71*$A157)))</f>
        <v/>
      </c>
      <c r="N157" s="382" t="str">
        <f>IF('Products x speed'!H71=0,"",('Products x speed'!H263*10^6/('Products x speed'!H71*$A157)))</f>
        <v/>
      </c>
      <c r="O157" s="382" t="str">
        <f>IF('Products x speed'!I71=0,"",('Products x speed'!I263*10^6/('Products x speed'!I71*$A157)))</f>
        <v/>
      </c>
      <c r="P157" s="382" t="str">
        <f>IF('Products x speed'!J71=0,"",('Products x speed'!J263*10^6/('Products x speed'!J71*$A157)))</f>
        <v/>
      </c>
      <c r="Q157" s="382" t="str">
        <f>IF('Products x speed'!K71=0,"",('Products x speed'!K263*10^6/('Products x speed'!K71*$A157)))</f>
        <v/>
      </c>
      <c r="R157" s="382" t="str">
        <f>IF('Products x speed'!L71=0,"",('Products x speed'!L263*10^6/('Products x speed'!L71*$A157)))</f>
        <v/>
      </c>
      <c r="S157" s="382" t="str">
        <f>IF('Products x speed'!M71=0,"",('Products x speed'!M263*10^6/('Products x speed'!M71*$A157)))</f>
        <v/>
      </c>
      <c r="T157" s="382" t="str">
        <f>IF('Products x speed'!N71=0,"",('Products x speed'!N263*10^6/('Products x speed'!N71*$A157)))</f>
        <v/>
      </c>
      <c r="U157" s="382" t="str">
        <f>IF('Products x speed'!O71=0,"",('Products x speed'!O263*10^6/('Products x speed'!O71*$A157)))</f>
        <v/>
      </c>
    </row>
    <row r="158" spans="1:21" ht="15.45" customHeight="1">
      <c r="A158" s="642">
        <v>800</v>
      </c>
      <c r="B158" s="87" t="str">
        <f>'Products x speed'!B72</f>
        <v>800G SR8</v>
      </c>
      <c r="C158" s="88" t="str">
        <f>'Products x speed'!C72</f>
        <v>50 m</v>
      </c>
      <c r="D158" s="89" t="str">
        <f>'Products x speed'!D72</f>
        <v>OSFP, QSFP-DD800</v>
      </c>
      <c r="E158" s="562" t="s">
        <v>90</v>
      </c>
      <c r="F158" s="562" t="s">
        <v>90</v>
      </c>
      <c r="G158" s="562" t="s">
        <v>90</v>
      </c>
      <c r="H158" s="562" t="s">
        <v>90</v>
      </c>
      <c r="I158" s="562" t="s">
        <v>90</v>
      </c>
      <c r="J158" s="562" t="s">
        <v>90</v>
      </c>
      <c r="K158" s="359" t="str">
        <f>IF('Products x speed'!E72=0,"",('Products x speed'!E264*10^6/('Products x speed'!E72*$A158)))</f>
        <v/>
      </c>
      <c r="L158" s="381" t="str">
        <f>IF('Products x speed'!F72=0,"",('Products x speed'!F264*10^6/('Products x speed'!F72*$A158)))</f>
        <v/>
      </c>
      <c r="M158" s="381" t="str">
        <f>IF('Products x speed'!G72=0,"",('Products x speed'!G264*10^6/('Products x speed'!G72*$A158)))</f>
        <v/>
      </c>
      <c r="N158" s="381" t="str">
        <f>IF('Products x speed'!H72=0,"",('Products x speed'!H264*10^6/('Products x speed'!H72*$A158)))</f>
        <v/>
      </c>
      <c r="O158" s="381" t="str">
        <f>IF('Products x speed'!I72=0,"",('Products x speed'!I264*10^6/('Products x speed'!I72*$A158)))</f>
        <v/>
      </c>
      <c r="P158" s="381" t="str">
        <f>IF('Products x speed'!J72=0,"",('Products x speed'!J264*10^6/('Products x speed'!J72*$A158)))</f>
        <v/>
      </c>
      <c r="Q158" s="381" t="str">
        <f>IF('Products x speed'!K72=0,"",('Products x speed'!K264*10^6/('Products x speed'!K72*$A158)))</f>
        <v/>
      </c>
      <c r="R158" s="381" t="str">
        <f>IF('Products x speed'!L72=0,"",('Products x speed'!L264*10^6/('Products x speed'!L72*$A158)))</f>
        <v/>
      </c>
      <c r="S158" s="381" t="str">
        <f>IF('Products x speed'!M72=0,"",('Products x speed'!M264*10^6/('Products x speed'!M72*$A158)))</f>
        <v/>
      </c>
      <c r="T158" s="381" t="str">
        <f>IF('Products x speed'!N72=0,"",('Products x speed'!N264*10^6/('Products x speed'!N72*$A158)))</f>
        <v/>
      </c>
      <c r="U158" s="381" t="str">
        <f>IF('Products x speed'!O72=0,"",('Products x speed'!O264*10^6/('Products x speed'!O72*$A158)))</f>
        <v/>
      </c>
    </row>
    <row r="159" spans="1:21" ht="15.45" customHeight="1">
      <c r="A159" s="642">
        <v>800</v>
      </c>
      <c r="B159" s="95" t="str">
        <f>'Products x speed'!B73</f>
        <v>800G DR8, DR4</v>
      </c>
      <c r="C159" s="96" t="str">
        <f>'Products x speed'!C73</f>
        <v>500 m</v>
      </c>
      <c r="D159" s="97" t="str">
        <f>'Products x speed'!D73</f>
        <v>OSFP, QSFP-DD800</v>
      </c>
      <c r="E159" s="564" t="s">
        <v>90</v>
      </c>
      <c r="F159" s="564" t="s">
        <v>90</v>
      </c>
      <c r="G159" s="564" t="s">
        <v>90</v>
      </c>
      <c r="H159" s="564" t="s">
        <v>90</v>
      </c>
      <c r="I159" s="564" t="s">
        <v>90</v>
      </c>
      <c r="J159" s="564" t="s">
        <v>90</v>
      </c>
      <c r="K159" s="367" t="str">
        <f>IF('Products x speed'!E73=0,"",('Products x speed'!E265*10^6/('Products x speed'!E73*$A159)))</f>
        <v/>
      </c>
      <c r="L159" s="368" t="str">
        <f>IF('Products x speed'!F73=0,"",('Products x speed'!F265*10^6/('Products x speed'!F73*$A159)))</f>
        <v/>
      </c>
      <c r="M159" s="368" t="str">
        <f>IF('Products x speed'!G73=0,"",('Products x speed'!G265*10^6/('Products x speed'!G73*$A159)))</f>
        <v/>
      </c>
      <c r="N159" s="368" t="str">
        <f>IF('Products x speed'!H73=0,"",('Products x speed'!H265*10^6/('Products x speed'!H73*$A159)))</f>
        <v/>
      </c>
      <c r="O159" s="368" t="str">
        <f>IF('Products x speed'!I73=0,"",('Products x speed'!I265*10^6/('Products x speed'!I73*$A159)))</f>
        <v/>
      </c>
      <c r="P159" s="368" t="str">
        <f>IF('Products x speed'!J73=0,"",('Products x speed'!J265*10^6/('Products x speed'!J73*$A159)))</f>
        <v/>
      </c>
      <c r="Q159" s="368" t="str">
        <f>IF('Products x speed'!K73=0,"",('Products x speed'!K265*10^6/('Products x speed'!K73*$A159)))</f>
        <v/>
      </c>
      <c r="R159" s="368" t="str">
        <f>IF('Products x speed'!L73=0,"",('Products x speed'!L265*10^6/('Products x speed'!L73*$A159)))</f>
        <v/>
      </c>
      <c r="S159" s="368" t="str">
        <f>IF('Products x speed'!M73=0,"",('Products x speed'!M265*10^6/('Products x speed'!M73*$A159)))</f>
        <v/>
      </c>
      <c r="T159" s="368" t="str">
        <f>IF('Products x speed'!N73=0,"",('Products x speed'!N265*10^6/('Products x speed'!N73*$A159)))</f>
        <v/>
      </c>
      <c r="U159" s="368" t="str">
        <f>IF('Products x speed'!O73=0,"",('Products x speed'!O265*10^6/('Products x speed'!O73*$A159)))</f>
        <v/>
      </c>
    </row>
    <row r="160" spans="1:21" ht="15.45" customHeight="1">
      <c r="A160" s="642">
        <v>800</v>
      </c>
      <c r="B160" s="95" t="str">
        <f>'Products x speed'!B74</f>
        <v>2x(400G FR4), 800G FR4</v>
      </c>
      <c r="C160" s="96" t="str">
        <f>'Products x speed'!C74</f>
        <v>2 km</v>
      </c>
      <c r="D160" s="97" t="str">
        <f>'Products x speed'!D74</f>
        <v>OSFP, QSFP-DD800</v>
      </c>
      <c r="E160" s="564" t="s">
        <v>90</v>
      </c>
      <c r="F160" s="564" t="s">
        <v>90</v>
      </c>
      <c r="G160" s="564" t="s">
        <v>90</v>
      </c>
      <c r="H160" s="564" t="s">
        <v>90</v>
      </c>
      <c r="I160" s="564" t="s">
        <v>90</v>
      </c>
      <c r="J160" s="564" t="s">
        <v>90</v>
      </c>
      <c r="K160" s="367" t="str">
        <f>IF('Products x speed'!E74=0,"",('Products x speed'!E266*10^6/('Products x speed'!E74*$A160)))</f>
        <v/>
      </c>
      <c r="L160" s="368" t="str">
        <f>IF('Products x speed'!F74=0,"",('Products x speed'!F266*10^6/('Products x speed'!F74*$A160)))</f>
        <v/>
      </c>
      <c r="M160" s="368" t="str">
        <f>IF('Products x speed'!G74=0,"",('Products x speed'!G266*10^6/('Products x speed'!G74*$A160)))</f>
        <v/>
      </c>
      <c r="N160" s="368" t="str">
        <f>IF('Products x speed'!H74=0,"",('Products x speed'!H266*10^6/('Products x speed'!H74*$A160)))</f>
        <v/>
      </c>
      <c r="O160" s="368" t="str">
        <f>IF('Products x speed'!I74=0,"",('Products x speed'!I266*10^6/('Products x speed'!I74*$A160)))</f>
        <v/>
      </c>
      <c r="P160" s="368" t="str">
        <f>IF('Products x speed'!J74=0,"",('Products x speed'!J266*10^6/('Products x speed'!J74*$A160)))</f>
        <v/>
      </c>
      <c r="Q160" s="368" t="str">
        <f>IF('Products x speed'!K74=0,"",('Products x speed'!K266*10^6/('Products x speed'!K74*$A160)))</f>
        <v/>
      </c>
      <c r="R160" s="368" t="str">
        <f>IF('Products x speed'!L74=0,"",('Products x speed'!L266*10^6/('Products x speed'!L74*$A160)))</f>
        <v/>
      </c>
      <c r="S160" s="368" t="str">
        <f>IF('Products x speed'!M74=0,"",('Products x speed'!M266*10^6/('Products x speed'!M74*$A160)))</f>
        <v/>
      </c>
      <c r="T160" s="368" t="str">
        <f>IF('Products x speed'!N74=0,"",('Products x speed'!N266*10^6/('Products x speed'!N74*$A160)))</f>
        <v/>
      </c>
      <c r="U160" s="368" t="str">
        <f>IF('Products x speed'!O74=0,"",('Products x speed'!O266*10^6/('Products x speed'!O74*$A160)))</f>
        <v/>
      </c>
    </row>
    <row r="161" spans="1:21" ht="15.45" customHeight="1">
      <c r="A161" s="642">
        <v>800</v>
      </c>
      <c r="B161" s="95" t="str">
        <f>'Products x speed'!B75</f>
        <v>800G LR8, LR4</v>
      </c>
      <c r="C161" s="96" t="str">
        <f>'Products x speed'!C75</f>
        <v>6, 10 km</v>
      </c>
      <c r="D161" s="97" t="str">
        <f>'Products x speed'!D75</f>
        <v>TBD</v>
      </c>
      <c r="E161" s="564" t="s">
        <v>90</v>
      </c>
      <c r="F161" s="564" t="s">
        <v>90</v>
      </c>
      <c r="G161" s="564" t="s">
        <v>90</v>
      </c>
      <c r="H161" s="564" t="s">
        <v>90</v>
      </c>
      <c r="I161" s="564" t="s">
        <v>90</v>
      </c>
      <c r="J161" s="564" t="s">
        <v>90</v>
      </c>
      <c r="K161" s="367" t="str">
        <f>IF('Products x speed'!E75=0,"",('Products x speed'!E267*10^6/('Products x speed'!E75*$A161)))</f>
        <v/>
      </c>
      <c r="L161" s="368" t="str">
        <f>IF('Products x speed'!F75=0,"",('Products x speed'!F267*10^6/('Products x speed'!F75*$A161)))</f>
        <v/>
      </c>
      <c r="M161" s="368" t="str">
        <f>IF('Products x speed'!G75=0,"",('Products x speed'!G267*10^6/('Products x speed'!G75*$A161)))</f>
        <v/>
      </c>
      <c r="N161" s="368" t="str">
        <f>IF('Products x speed'!H75=0,"",('Products x speed'!H267*10^6/('Products x speed'!H75*$A161)))</f>
        <v/>
      </c>
      <c r="O161" s="368" t="str">
        <f>IF('Products x speed'!I75=0,"",('Products x speed'!I267*10^6/('Products x speed'!I75*$A161)))</f>
        <v/>
      </c>
      <c r="P161" s="368" t="str">
        <f>IF('Products x speed'!J75=0,"",('Products x speed'!J267*10^6/('Products x speed'!J75*$A161)))</f>
        <v/>
      </c>
      <c r="Q161" s="368" t="str">
        <f>IF('Products x speed'!K75=0,"",('Products x speed'!K267*10^6/('Products x speed'!K75*$A161)))</f>
        <v/>
      </c>
      <c r="R161" s="368" t="str">
        <f>IF('Products x speed'!L75=0,"",('Products x speed'!L267*10^6/('Products x speed'!L75*$A161)))</f>
        <v/>
      </c>
      <c r="S161" s="368" t="str">
        <f>IF('Products x speed'!M75=0,"",('Products x speed'!M267*10^6/('Products x speed'!M75*$A161)))</f>
        <v/>
      </c>
      <c r="T161" s="368" t="str">
        <f>IF('Products x speed'!N75=0,"",('Products x speed'!N267*10^6/('Products x speed'!N75*$A161)))</f>
        <v/>
      </c>
      <c r="U161" s="368" t="str">
        <f>IF('Products x speed'!O75=0,"",('Products x speed'!O267*10^6/('Products x speed'!O75*$A161)))</f>
        <v/>
      </c>
    </row>
    <row r="162" spans="1:21" ht="15.45" customHeight="1">
      <c r="A162" s="642">
        <v>800</v>
      </c>
      <c r="B162" s="95" t="str">
        <f>'Products x speed'!B76</f>
        <v>800G ZRlite</v>
      </c>
      <c r="C162" s="96" t="str">
        <f>'Products x speed'!C76</f>
        <v>10 km, 20 km</v>
      </c>
      <c r="D162" s="97" t="str">
        <f>'Products x speed'!D76</f>
        <v>TBD</v>
      </c>
      <c r="E162" s="564" t="s">
        <v>90</v>
      </c>
      <c r="F162" s="564" t="s">
        <v>90</v>
      </c>
      <c r="G162" s="564" t="s">
        <v>90</v>
      </c>
      <c r="H162" s="564" t="s">
        <v>90</v>
      </c>
      <c r="I162" s="564" t="s">
        <v>90</v>
      </c>
      <c r="J162" s="564" t="s">
        <v>90</v>
      </c>
      <c r="K162" s="367" t="str">
        <f>IF('Products x speed'!E76=0,"",('Products x speed'!E268*10^6/('Products x speed'!E76*$A162)))</f>
        <v/>
      </c>
      <c r="L162" s="368" t="str">
        <f>IF('Products x speed'!F76=0,"",('Products x speed'!F268*10^6/('Products x speed'!F76*$A162)))</f>
        <v/>
      </c>
      <c r="M162" s="368" t="str">
        <f>IF('Products x speed'!G76=0,"",('Products x speed'!G268*10^6/('Products x speed'!G76*$A162)))</f>
        <v/>
      </c>
      <c r="N162" s="368" t="str">
        <f>IF('Products x speed'!H76=0,"",('Products x speed'!H268*10^6/('Products x speed'!H76*$A162)))</f>
        <v/>
      </c>
      <c r="O162" s="368" t="str">
        <f>IF('Products x speed'!I76=0,"",('Products x speed'!I268*10^6/('Products x speed'!I76*$A162)))</f>
        <v/>
      </c>
      <c r="P162" s="368" t="str">
        <f>IF('Products x speed'!J76=0,"",('Products x speed'!J268*10^6/('Products x speed'!J76*$A162)))</f>
        <v/>
      </c>
      <c r="Q162" s="368" t="str">
        <f>IF('Products x speed'!K76=0,"",('Products x speed'!K268*10^6/('Products x speed'!K76*$A162)))</f>
        <v/>
      </c>
      <c r="R162" s="368" t="str">
        <f>IF('Products x speed'!L76=0,"",('Products x speed'!L268*10^6/('Products x speed'!L76*$A162)))</f>
        <v/>
      </c>
      <c r="S162" s="368" t="str">
        <f>IF('Products x speed'!M76=0,"",('Products x speed'!M268*10^6/('Products x speed'!M76*$A162)))</f>
        <v/>
      </c>
      <c r="T162" s="368" t="str">
        <f>IF('Products x speed'!N76=0,"",('Products x speed'!N268*10^6/('Products x speed'!N76*$A162)))</f>
        <v/>
      </c>
      <c r="U162" s="368" t="str">
        <f>IF('Products x speed'!O76=0,"",('Products x speed'!O268*10^6/('Products x speed'!O76*$A162)))</f>
        <v/>
      </c>
    </row>
    <row r="163" spans="1:21" ht="15.45" customHeight="1">
      <c r="A163" s="642">
        <v>800</v>
      </c>
      <c r="B163" s="91" t="str">
        <f>'Products x speed'!B77</f>
        <v>800G ER4</v>
      </c>
      <c r="C163" s="92" t="str">
        <f>'Products x speed'!C77</f>
        <v>40 km</v>
      </c>
      <c r="D163" s="93" t="str">
        <f>'Products x speed'!D77</f>
        <v>TBD</v>
      </c>
      <c r="E163" s="566" t="s">
        <v>90</v>
      </c>
      <c r="F163" s="566" t="s">
        <v>90</v>
      </c>
      <c r="G163" s="566" t="s">
        <v>90</v>
      </c>
      <c r="H163" s="566" t="s">
        <v>90</v>
      </c>
      <c r="I163" s="566" t="s">
        <v>90</v>
      </c>
      <c r="J163" s="566" t="s">
        <v>90</v>
      </c>
      <c r="K163" s="360" t="str">
        <f>IF('Products x speed'!E77=0,"",('Products x speed'!E269*10^6/('Products x speed'!E77*$A163)))</f>
        <v/>
      </c>
      <c r="L163" s="382" t="str">
        <f>IF('Products x speed'!F77=0,"",('Products x speed'!F269*10^6/('Products x speed'!F77*$A163)))</f>
        <v/>
      </c>
      <c r="M163" s="382" t="str">
        <f>IF('Products x speed'!G77=0,"",('Products x speed'!G269*10^6/('Products x speed'!G77*$A163)))</f>
        <v/>
      </c>
      <c r="N163" s="382" t="str">
        <f>IF('Products x speed'!H77=0,"",('Products x speed'!H269*10^6/('Products x speed'!H77*$A163)))</f>
        <v/>
      </c>
      <c r="O163" s="382" t="str">
        <f>IF('Products x speed'!I77=0,"",('Products x speed'!I269*10^6/('Products x speed'!I77*$A163)))</f>
        <v/>
      </c>
      <c r="P163" s="382" t="str">
        <f>IF('Products x speed'!J77=0,"",('Products x speed'!J269*10^6/('Products x speed'!J77*$A163)))</f>
        <v/>
      </c>
      <c r="Q163" s="382" t="str">
        <f>IF('Products x speed'!K77=0,"",('Products x speed'!K269*10^6/('Products x speed'!K77*$A163)))</f>
        <v/>
      </c>
      <c r="R163" s="382" t="str">
        <f>IF('Products x speed'!L77=0,"",('Products x speed'!L269*10^6/('Products x speed'!L77*$A163)))</f>
        <v/>
      </c>
      <c r="S163" s="382" t="str">
        <f>IF('Products x speed'!M77=0,"",('Products x speed'!M269*10^6/('Products x speed'!M77*$A163)))</f>
        <v/>
      </c>
      <c r="T163" s="382" t="str">
        <f>IF('Products x speed'!N77=0,"",('Products x speed'!N269*10^6/('Products x speed'!N77*$A163)))</f>
        <v/>
      </c>
      <c r="U163" s="382" t="str">
        <f>IF('Products x speed'!O77=0,"",('Products x speed'!O269*10^6/('Products x speed'!O77*$A163)))</f>
        <v/>
      </c>
    </row>
    <row r="164" spans="1:21" ht="15.45" customHeight="1">
      <c r="A164" s="642">
        <v>1600</v>
      </c>
      <c r="B164" s="87" t="str">
        <f>'Products x speed'!B78</f>
        <v>1.6T SR16</v>
      </c>
      <c r="C164" s="88" t="str">
        <f>'Products x speed'!C78</f>
        <v>100 m</v>
      </c>
      <c r="D164" s="89" t="str">
        <f>'Products x speed'!D78</f>
        <v>OSFP-XD and TBD</v>
      </c>
      <c r="E164" s="562" t="s">
        <v>90</v>
      </c>
      <c r="F164" s="562" t="s">
        <v>90</v>
      </c>
      <c r="G164" s="562" t="s">
        <v>90</v>
      </c>
      <c r="H164" s="562" t="s">
        <v>90</v>
      </c>
      <c r="I164" s="562" t="s">
        <v>90</v>
      </c>
      <c r="J164" s="562" t="s">
        <v>90</v>
      </c>
      <c r="K164" s="359" t="str">
        <f>IF('Products x speed'!E78=0,"",('Products x speed'!E270*10^6/('Products x speed'!E78*$A164)))</f>
        <v/>
      </c>
      <c r="L164" s="381" t="str">
        <f>IF('Products x speed'!F78=0,"",('Products x speed'!F270*10^6/('Products x speed'!F78*$A164)))</f>
        <v/>
      </c>
      <c r="M164" s="381" t="str">
        <f>IF('Products x speed'!G78=0,"",('Products x speed'!G270*10^6/('Products x speed'!G78*$A164)))</f>
        <v/>
      </c>
      <c r="N164" s="381" t="str">
        <f>IF('Products x speed'!H78=0,"",('Products x speed'!H270*10^6/('Products x speed'!H78*$A164)))</f>
        <v/>
      </c>
      <c r="O164" s="381" t="str">
        <f>IF('Products x speed'!I78=0,"",('Products x speed'!I270*10^6/('Products x speed'!I78*$A164)))</f>
        <v/>
      </c>
      <c r="P164" s="381" t="str">
        <f>IF('Products x speed'!J78=0,"",('Products x speed'!J270*10^6/('Products x speed'!J78*$A164)))</f>
        <v/>
      </c>
      <c r="Q164" s="381" t="str">
        <f>IF('Products x speed'!K78=0,"",('Products x speed'!K270*10^6/('Products x speed'!K78*$A164)))</f>
        <v/>
      </c>
      <c r="R164" s="381" t="str">
        <f>IF('Products x speed'!L78=0,"",('Products x speed'!L270*10^6/('Products x speed'!L78*$A164)))</f>
        <v/>
      </c>
      <c r="S164" s="381" t="str">
        <f>IF('Products x speed'!M78=0,"",('Products x speed'!M270*10^6/('Products x speed'!M78*$A164)))</f>
        <v/>
      </c>
      <c r="T164" s="381" t="str">
        <f>IF('Products x speed'!N78=0,"",('Products x speed'!N270*10^6/('Products x speed'!N78*$A164)))</f>
        <v/>
      </c>
      <c r="U164" s="381" t="str">
        <f>IF('Products x speed'!O78=0,"",('Products x speed'!O270*10^6/('Products x speed'!O78*$A164)))</f>
        <v/>
      </c>
    </row>
    <row r="165" spans="1:21" ht="15.45" customHeight="1">
      <c r="A165" s="642">
        <v>1600</v>
      </c>
      <c r="B165" s="95" t="str">
        <f>'Products x speed'!B79</f>
        <v>1.6T DR8</v>
      </c>
      <c r="C165" s="96" t="str">
        <f>'Products x speed'!C79</f>
        <v>500 m</v>
      </c>
      <c r="D165" s="97" t="str">
        <f>'Products x speed'!D79</f>
        <v>OSFP-XD and TBD</v>
      </c>
      <c r="E165" s="564" t="s">
        <v>90</v>
      </c>
      <c r="F165" s="564" t="s">
        <v>90</v>
      </c>
      <c r="G165" s="564" t="s">
        <v>90</v>
      </c>
      <c r="H165" s="564" t="s">
        <v>90</v>
      </c>
      <c r="I165" s="564" t="s">
        <v>90</v>
      </c>
      <c r="J165" s="564" t="s">
        <v>90</v>
      </c>
      <c r="K165" s="367" t="str">
        <f>IF('Products x speed'!E79=0,"",('Products x speed'!E271*10^6/('Products x speed'!E79*$A165)))</f>
        <v/>
      </c>
      <c r="L165" s="368" t="str">
        <f>IF('Products x speed'!F79=0,"",('Products x speed'!F271*10^6/('Products x speed'!F79*$A165)))</f>
        <v/>
      </c>
      <c r="M165" s="368" t="str">
        <f>IF('Products x speed'!G79=0,"",('Products x speed'!G271*10^6/('Products x speed'!G79*$A165)))</f>
        <v/>
      </c>
      <c r="N165" s="368" t="str">
        <f>IF('Products x speed'!H79=0,"",('Products x speed'!H271*10^6/('Products x speed'!H79*$A165)))</f>
        <v/>
      </c>
      <c r="O165" s="368" t="str">
        <f>IF('Products x speed'!I79=0,"",('Products x speed'!I271*10^6/('Products x speed'!I79*$A165)))</f>
        <v/>
      </c>
      <c r="P165" s="368" t="str">
        <f>IF('Products x speed'!J79=0,"",('Products x speed'!J271*10^6/('Products x speed'!J79*$A165)))</f>
        <v/>
      </c>
      <c r="Q165" s="368" t="str">
        <f>IF('Products x speed'!K79=0,"",('Products x speed'!K271*10^6/('Products x speed'!K79*$A165)))</f>
        <v/>
      </c>
      <c r="R165" s="368" t="str">
        <f>IF('Products x speed'!L79=0,"",('Products x speed'!L271*10^6/('Products x speed'!L79*$A165)))</f>
        <v/>
      </c>
      <c r="S165" s="368" t="str">
        <f>IF('Products x speed'!M79=0,"",('Products x speed'!M271*10^6/('Products x speed'!M79*$A165)))</f>
        <v/>
      </c>
      <c r="T165" s="368" t="str">
        <f>IF('Products x speed'!N79=0,"",('Products x speed'!N271*10^6/('Products x speed'!N79*$A165)))</f>
        <v/>
      </c>
      <c r="U165" s="368" t="str">
        <f>IF('Products x speed'!O79=0,"",('Products x speed'!O271*10^6/('Products x speed'!O79*$A165)))</f>
        <v/>
      </c>
    </row>
    <row r="166" spans="1:21" ht="15.45" customHeight="1">
      <c r="A166" s="642">
        <v>1600</v>
      </c>
      <c r="B166" s="95" t="str">
        <f>'Products x speed'!B80</f>
        <v>1.6T FR8</v>
      </c>
      <c r="C166" s="96" t="str">
        <f>'Products x speed'!C80</f>
        <v>2 km</v>
      </c>
      <c r="D166" s="97" t="str">
        <f>'Products x speed'!D80</f>
        <v>OSFP-XD and TBD</v>
      </c>
      <c r="E166" s="564" t="s">
        <v>90</v>
      </c>
      <c r="F166" s="564" t="s">
        <v>90</v>
      </c>
      <c r="G166" s="564" t="s">
        <v>90</v>
      </c>
      <c r="H166" s="564" t="s">
        <v>90</v>
      </c>
      <c r="I166" s="564" t="s">
        <v>90</v>
      </c>
      <c r="J166" s="564" t="s">
        <v>90</v>
      </c>
      <c r="K166" s="367" t="str">
        <f>IF('Products x speed'!E80=0,"",('Products x speed'!E272*10^6/('Products x speed'!E80*$A166)))</f>
        <v/>
      </c>
      <c r="L166" s="368" t="str">
        <f>IF('Products x speed'!F80=0,"",('Products x speed'!F272*10^6/('Products x speed'!F80*$A166)))</f>
        <v/>
      </c>
      <c r="M166" s="368" t="str">
        <f>IF('Products x speed'!G80=0,"",('Products x speed'!G272*10^6/('Products x speed'!G80*$A166)))</f>
        <v/>
      </c>
      <c r="N166" s="368" t="str">
        <f>IF('Products x speed'!H80=0,"",('Products x speed'!H272*10^6/('Products x speed'!H80*$A166)))</f>
        <v/>
      </c>
      <c r="O166" s="368" t="str">
        <f>IF('Products x speed'!I80=0,"",('Products x speed'!I272*10^6/('Products x speed'!I80*$A166)))</f>
        <v/>
      </c>
      <c r="P166" s="368" t="str">
        <f>IF('Products x speed'!J80=0,"",('Products x speed'!J272*10^6/('Products x speed'!J80*$A166)))</f>
        <v/>
      </c>
      <c r="Q166" s="368" t="str">
        <f>IF('Products x speed'!K80=0,"",('Products x speed'!K272*10^6/('Products x speed'!K80*$A166)))</f>
        <v/>
      </c>
      <c r="R166" s="368" t="str">
        <f>IF('Products x speed'!L80=0,"",('Products x speed'!L272*10^6/('Products x speed'!L80*$A166)))</f>
        <v/>
      </c>
      <c r="S166" s="368" t="str">
        <f>IF('Products x speed'!M80=0,"",('Products x speed'!M272*10^6/('Products x speed'!M80*$A166)))</f>
        <v/>
      </c>
      <c r="T166" s="368" t="str">
        <f>IF('Products x speed'!N80=0,"",('Products x speed'!N272*10^6/('Products x speed'!N80*$A166)))</f>
        <v/>
      </c>
      <c r="U166" s="368" t="str">
        <f>IF('Products x speed'!O80=0,"",('Products x speed'!O272*10^6/('Products x speed'!O80*$A166)))</f>
        <v/>
      </c>
    </row>
    <row r="167" spans="1:21" ht="15.45" customHeight="1">
      <c r="A167" s="642">
        <v>1600</v>
      </c>
      <c r="B167" s="95" t="str">
        <f>'Products x speed'!B81</f>
        <v>1.6T LR8</v>
      </c>
      <c r="C167" s="96" t="str">
        <f>'Products x speed'!C81</f>
        <v>10 km</v>
      </c>
      <c r="D167" s="97" t="str">
        <f>'Products x speed'!D81</f>
        <v>OSFP-XD and TBD</v>
      </c>
      <c r="E167" s="564" t="s">
        <v>90</v>
      </c>
      <c r="F167" s="564" t="s">
        <v>90</v>
      </c>
      <c r="G167" s="564" t="s">
        <v>90</v>
      </c>
      <c r="H167" s="564" t="s">
        <v>90</v>
      </c>
      <c r="I167" s="564" t="s">
        <v>90</v>
      </c>
      <c r="J167" s="564" t="s">
        <v>90</v>
      </c>
      <c r="K167" s="367" t="str">
        <f>IF('Products x speed'!E81=0,"",('Products x speed'!E273*10^6/('Products x speed'!E81*200)))</f>
        <v/>
      </c>
      <c r="L167" s="368" t="str">
        <f>IF('Products x speed'!F81=0,"",('Products x speed'!F273*10^6/('Products x speed'!F81*200)))</f>
        <v/>
      </c>
      <c r="M167" s="368" t="str">
        <f>IF('Products x speed'!G81=0,"",('Products x speed'!G273*10^6/('Products x speed'!G81*200)))</f>
        <v/>
      </c>
      <c r="N167" s="368" t="str">
        <f>IF('Products x speed'!H81=0,"",('Products x speed'!H273*10^6/('Products x speed'!H81*200)))</f>
        <v/>
      </c>
      <c r="O167" s="368" t="str">
        <f>IF('Products x speed'!I81=0,"",('Products x speed'!I273*10^6/('Products x speed'!I81*200)))</f>
        <v/>
      </c>
      <c r="P167" s="368" t="str">
        <f>IF('Products x speed'!J81=0,"",('Products x speed'!J273*10^6/('Products x speed'!J81*200)))</f>
        <v/>
      </c>
      <c r="Q167" s="368" t="str">
        <f>IF('Products x speed'!K81=0,"",('Products x speed'!K273*10^6/('Products x speed'!K81*200)))</f>
        <v/>
      </c>
      <c r="R167" s="368" t="str">
        <f>IF('Products x speed'!L81=0,"",('Products x speed'!L273*10^6/('Products x speed'!L81*200)))</f>
        <v/>
      </c>
      <c r="S167" s="368" t="str">
        <f>IF('Products x speed'!M81=0,"",('Products x speed'!M273*10^6/('Products x speed'!M81*200)))</f>
        <v/>
      </c>
      <c r="T167" s="368" t="str">
        <f>IF('Products x speed'!N81=0,"",('Products x speed'!N273*10^6/('Products x speed'!N81*200)))</f>
        <v/>
      </c>
      <c r="U167" s="368" t="str">
        <f>IF('Products x speed'!O81=0,"",('Products x speed'!O273*10^6/('Products x speed'!O81*200)))</f>
        <v/>
      </c>
    </row>
    <row r="168" spans="1:21" ht="15.45" customHeight="1">
      <c r="A168" s="642">
        <v>1600</v>
      </c>
      <c r="B168" s="91" t="str">
        <f>'Products x speed'!B82</f>
        <v>1.6T ER8</v>
      </c>
      <c r="C168" s="92" t="str">
        <f>'Products x speed'!C82</f>
        <v>&gt;10 km</v>
      </c>
      <c r="D168" s="93" t="str">
        <f>'Products x speed'!D82</f>
        <v>OSFP-XD and TBD</v>
      </c>
      <c r="E168" s="566" t="s">
        <v>90</v>
      </c>
      <c r="F168" s="566" t="s">
        <v>90</v>
      </c>
      <c r="G168" s="566" t="s">
        <v>90</v>
      </c>
      <c r="H168" s="566" t="s">
        <v>90</v>
      </c>
      <c r="I168" s="566" t="s">
        <v>90</v>
      </c>
      <c r="J168" s="566" t="s">
        <v>90</v>
      </c>
      <c r="K168" s="360" t="str">
        <f>IF('Products x speed'!E82=0,"",('Products x speed'!E274*10^6/('Products x speed'!E82*200)))</f>
        <v/>
      </c>
      <c r="L168" s="382" t="str">
        <f>IF('Products x speed'!F82=0,"",('Products x speed'!F274*10^6/('Products x speed'!F82*200)))</f>
        <v/>
      </c>
      <c r="M168" s="382" t="str">
        <f>IF('Products x speed'!G82=0,"",('Products x speed'!G274*10^6/('Products x speed'!G82*200)))</f>
        <v/>
      </c>
      <c r="N168" s="382" t="str">
        <f>IF('Products x speed'!H82=0,"",('Products x speed'!H274*10^6/('Products x speed'!H82*200)))</f>
        <v/>
      </c>
      <c r="O168" s="382" t="str">
        <f>IF('Products x speed'!I82=0,"",('Products x speed'!I274*10^6/('Products x speed'!I82*200)))</f>
        <v/>
      </c>
      <c r="P168" s="382" t="str">
        <f>IF('Products x speed'!J82=0,"",('Products x speed'!J274*10^6/('Products x speed'!J82*200)))</f>
        <v/>
      </c>
      <c r="Q168" s="382" t="str">
        <f>IF('Products x speed'!K82=0,"",('Products x speed'!K274*10^6/('Products x speed'!K82*200)))</f>
        <v/>
      </c>
      <c r="R168" s="382" t="str">
        <f>IF('Products x speed'!L82=0,"",('Products x speed'!L274*10^6/('Products x speed'!L82*200)))</f>
        <v/>
      </c>
      <c r="S168" s="382" t="str">
        <f>IF('Products x speed'!M82=0,"",('Products x speed'!M274*10^6/('Products x speed'!M82*200)))</f>
        <v/>
      </c>
      <c r="T168" s="382" t="str">
        <f>IF('Products x speed'!N82=0,"",('Products x speed'!N274*10^6/('Products x speed'!N82*200)))</f>
        <v/>
      </c>
      <c r="U168" s="382" t="str">
        <f>IF('Products x speed'!O82=0,"",('Products x speed'!O274*10^6/('Products x speed'!O82*200)))</f>
        <v/>
      </c>
    </row>
    <row r="169" spans="1:21" ht="15.45" customHeight="1">
      <c r="A169" s="642">
        <v>3200</v>
      </c>
      <c r="B169" s="87" t="str">
        <f>'Products x speed'!B83</f>
        <v>3.2T SR</v>
      </c>
      <c r="C169" s="88" t="str">
        <f>'Products x speed'!C83</f>
        <v>100 m</v>
      </c>
      <c r="D169" s="89" t="str">
        <f>'Products x speed'!D83</f>
        <v>OSFP-XD and TBD</v>
      </c>
      <c r="E169" s="562" t="s">
        <v>90</v>
      </c>
      <c r="F169" s="562" t="s">
        <v>90</v>
      </c>
      <c r="G169" s="562" t="s">
        <v>90</v>
      </c>
      <c r="H169" s="562" t="s">
        <v>90</v>
      </c>
      <c r="I169" s="562" t="s">
        <v>90</v>
      </c>
      <c r="J169" s="562" t="s">
        <v>90</v>
      </c>
      <c r="K169" s="359" t="str">
        <f>IF('Products x speed'!E83=0,"",('Products x speed'!E275*10^6/('Products x speed'!E83*200)))</f>
        <v/>
      </c>
      <c r="L169" s="381" t="str">
        <f>IF('Products x speed'!F83=0,"",('Products x speed'!F275*10^6/('Products x speed'!F83*200)))</f>
        <v/>
      </c>
      <c r="M169" s="381" t="str">
        <f>IF('Products x speed'!G83=0,"",('Products x speed'!G275*10^6/('Products x speed'!G83*200)))</f>
        <v/>
      </c>
      <c r="N169" s="381" t="str">
        <f>IF('Products x speed'!H83=0,"",('Products x speed'!H275*10^6/('Products x speed'!H83*200)))</f>
        <v/>
      </c>
      <c r="O169" s="381" t="str">
        <f>IF('Products x speed'!I83=0,"",('Products x speed'!I275*10^6/('Products x speed'!I83*200)))</f>
        <v/>
      </c>
      <c r="P169" s="381" t="str">
        <f>IF('Products x speed'!J83=0,"",('Products x speed'!J275*10^6/('Products x speed'!J83*200)))</f>
        <v/>
      </c>
      <c r="Q169" s="381" t="str">
        <f>IF('Products x speed'!K83=0,"",('Products x speed'!K275*10^6/('Products x speed'!K83*200)))</f>
        <v/>
      </c>
      <c r="R169" s="381" t="str">
        <f>IF('Products x speed'!L83=0,"",('Products x speed'!L275*10^6/('Products x speed'!L83*200)))</f>
        <v/>
      </c>
      <c r="S169" s="381" t="str">
        <f>IF('Products x speed'!M83=0,"",('Products x speed'!M275*10^6/('Products x speed'!M83*200)))</f>
        <v/>
      </c>
      <c r="T169" s="381" t="str">
        <f>IF('Products x speed'!N83=0,"",('Products x speed'!N275*10^6/('Products x speed'!N83*200)))</f>
        <v/>
      </c>
      <c r="U169" s="381" t="str">
        <f>IF('Products x speed'!O83=0,"",('Products x speed'!O275*10^6/('Products x speed'!O83*200)))</f>
        <v/>
      </c>
    </row>
    <row r="170" spans="1:21" ht="15.45" customHeight="1">
      <c r="A170" s="642">
        <v>3200</v>
      </c>
      <c r="B170" s="95" t="str">
        <f>'Products x speed'!B84</f>
        <v>3.2T DR</v>
      </c>
      <c r="C170" s="96" t="str">
        <f>'Products x speed'!C84</f>
        <v>500 m</v>
      </c>
      <c r="D170" s="97" t="str">
        <f>'Products x speed'!D84</f>
        <v>OSFP-XD and TBD</v>
      </c>
      <c r="E170" s="564" t="s">
        <v>90</v>
      </c>
      <c r="F170" s="564" t="s">
        <v>90</v>
      </c>
      <c r="G170" s="564" t="s">
        <v>90</v>
      </c>
      <c r="H170" s="564" t="s">
        <v>90</v>
      </c>
      <c r="I170" s="564" t="s">
        <v>90</v>
      </c>
      <c r="J170" s="564" t="s">
        <v>90</v>
      </c>
      <c r="K170" s="367" t="str">
        <f>IF('Products x speed'!E84=0,"",('Products x speed'!E276*10^6/('Products x speed'!E84*200)))</f>
        <v/>
      </c>
      <c r="L170" s="368" t="str">
        <f>IF('Products x speed'!F84=0,"",('Products x speed'!F276*10^6/('Products x speed'!F84*200)))</f>
        <v/>
      </c>
      <c r="M170" s="368" t="str">
        <f>IF('Products x speed'!G84=0,"",('Products x speed'!G276*10^6/('Products x speed'!G84*200)))</f>
        <v/>
      </c>
      <c r="N170" s="368" t="str">
        <f>IF('Products x speed'!H84=0,"",('Products x speed'!H276*10^6/('Products x speed'!H84*200)))</f>
        <v/>
      </c>
      <c r="O170" s="368" t="str">
        <f>IF('Products x speed'!I84=0,"",('Products x speed'!I276*10^6/('Products x speed'!I84*200)))</f>
        <v/>
      </c>
      <c r="P170" s="368" t="str">
        <f>IF('Products x speed'!J84=0,"",('Products x speed'!J276*10^6/('Products x speed'!J84*200)))</f>
        <v/>
      </c>
      <c r="Q170" s="368" t="str">
        <f>IF('Products x speed'!K84=0,"",('Products x speed'!K276*10^6/('Products x speed'!K84*200)))</f>
        <v/>
      </c>
      <c r="R170" s="368" t="str">
        <f>IF('Products x speed'!L84=0,"",('Products x speed'!L276*10^6/('Products x speed'!L84*200)))</f>
        <v/>
      </c>
      <c r="S170" s="368" t="str">
        <f>IF('Products x speed'!M84=0,"",('Products x speed'!M276*10^6/('Products x speed'!M84*200)))</f>
        <v/>
      </c>
      <c r="T170" s="368" t="str">
        <f>IF('Products x speed'!N84=0,"",('Products x speed'!N276*10^6/('Products x speed'!N84*200)))</f>
        <v/>
      </c>
      <c r="U170" s="368" t="str">
        <f>IF('Products x speed'!O84=0,"",('Products x speed'!O276*10^6/('Products x speed'!O84*200)))</f>
        <v/>
      </c>
    </row>
    <row r="171" spans="1:21" ht="15.45" customHeight="1">
      <c r="A171" s="642">
        <v>3200</v>
      </c>
      <c r="B171" s="95" t="str">
        <f>'Products x speed'!B85</f>
        <v>3.2T FR</v>
      </c>
      <c r="C171" s="96" t="str">
        <f>'Products x speed'!C85</f>
        <v>2 km</v>
      </c>
      <c r="D171" s="97" t="str">
        <f>'Products x speed'!D85</f>
        <v>OSFP-XD and TBD</v>
      </c>
      <c r="E171" s="564" t="s">
        <v>90</v>
      </c>
      <c r="F171" s="564" t="s">
        <v>90</v>
      </c>
      <c r="G171" s="564" t="s">
        <v>90</v>
      </c>
      <c r="H171" s="564" t="s">
        <v>90</v>
      </c>
      <c r="I171" s="564" t="s">
        <v>90</v>
      </c>
      <c r="J171" s="564" t="s">
        <v>90</v>
      </c>
      <c r="K171" s="367" t="str">
        <f>IF('Products x speed'!E85=0,"",('Products x speed'!E277*10^6/('Products x speed'!E85*200)))</f>
        <v/>
      </c>
      <c r="L171" s="368" t="str">
        <f>IF('Products x speed'!F85=0,"",('Products x speed'!F277*10^6/('Products x speed'!F85*200)))</f>
        <v/>
      </c>
      <c r="M171" s="368" t="str">
        <f>IF('Products x speed'!G85=0,"",('Products x speed'!G277*10^6/('Products x speed'!G85*200)))</f>
        <v/>
      </c>
      <c r="N171" s="368" t="str">
        <f>IF('Products x speed'!H85=0,"",('Products x speed'!H277*10^6/('Products x speed'!H85*200)))</f>
        <v/>
      </c>
      <c r="O171" s="368" t="str">
        <f>IF('Products x speed'!I85=0,"",('Products x speed'!I277*10^6/('Products x speed'!I85*200)))</f>
        <v/>
      </c>
      <c r="P171" s="368" t="str">
        <f>IF('Products x speed'!J85=0,"",('Products x speed'!J277*10^6/('Products x speed'!J85*200)))</f>
        <v/>
      </c>
      <c r="Q171" s="368" t="str">
        <f>IF('Products x speed'!K85=0,"",('Products x speed'!K277*10^6/('Products x speed'!K85*200)))</f>
        <v/>
      </c>
      <c r="R171" s="368" t="str">
        <f>IF('Products x speed'!L85=0,"",('Products x speed'!L277*10^6/('Products x speed'!L85*200)))</f>
        <v/>
      </c>
      <c r="S171" s="368" t="str">
        <f>IF('Products x speed'!M85=0,"",('Products x speed'!M277*10^6/('Products x speed'!M85*200)))</f>
        <v/>
      </c>
      <c r="T171" s="368" t="str">
        <f>IF('Products x speed'!N85=0,"",('Products x speed'!N277*10^6/('Products x speed'!N85*200)))</f>
        <v/>
      </c>
      <c r="U171" s="368" t="str">
        <f>IF('Products x speed'!O85=0,"",('Products x speed'!O277*10^6/('Products x speed'!O85*200)))</f>
        <v/>
      </c>
    </row>
    <row r="172" spans="1:21" ht="15.45" customHeight="1">
      <c r="A172" s="642">
        <v>3200</v>
      </c>
      <c r="B172" s="95" t="str">
        <f>'Products x speed'!B86</f>
        <v>3.2T LR</v>
      </c>
      <c r="C172" s="96" t="str">
        <f>'Products x speed'!C86</f>
        <v>10 km</v>
      </c>
      <c r="D172" s="97" t="str">
        <f>'Products x speed'!D86</f>
        <v>OSFP-XD and TBD</v>
      </c>
      <c r="E172" s="564" t="s">
        <v>90</v>
      </c>
      <c r="F172" s="564" t="s">
        <v>90</v>
      </c>
      <c r="G172" s="564" t="s">
        <v>90</v>
      </c>
      <c r="H172" s="564" t="s">
        <v>90</v>
      </c>
      <c r="I172" s="564" t="s">
        <v>90</v>
      </c>
      <c r="J172" s="564" t="s">
        <v>90</v>
      </c>
      <c r="K172" s="367" t="str">
        <f>IF('Products x speed'!E86=0,"",('Products x speed'!E278*10^6/('Products x speed'!E86*200)))</f>
        <v/>
      </c>
      <c r="L172" s="368" t="str">
        <f>IF('Products x speed'!F86=0,"",('Products x speed'!F278*10^6/('Products x speed'!F86*200)))</f>
        <v/>
      </c>
      <c r="M172" s="368" t="str">
        <f>IF('Products x speed'!G86=0,"",('Products x speed'!G278*10^6/('Products x speed'!G86*200)))</f>
        <v/>
      </c>
      <c r="N172" s="368" t="str">
        <f>IF('Products x speed'!H86=0,"",('Products x speed'!H278*10^6/('Products x speed'!H86*200)))</f>
        <v/>
      </c>
      <c r="O172" s="368" t="str">
        <f>IF('Products x speed'!I86=0,"",('Products x speed'!I278*10^6/('Products x speed'!I86*200)))</f>
        <v/>
      </c>
      <c r="P172" s="368" t="str">
        <f>IF('Products x speed'!J86=0,"",('Products x speed'!J278*10^6/('Products x speed'!J86*200)))</f>
        <v/>
      </c>
      <c r="Q172" s="368" t="str">
        <f>IF('Products x speed'!K86=0,"",('Products x speed'!K278*10^6/('Products x speed'!K86*200)))</f>
        <v/>
      </c>
      <c r="R172" s="368" t="str">
        <f>IF('Products x speed'!L86=0,"",('Products x speed'!L278*10^6/('Products x speed'!L86*200)))</f>
        <v/>
      </c>
      <c r="S172" s="368" t="str">
        <f>IF('Products x speed'!M86=0,"",('Products x speed'!M278*10^6/('Products x speed'!M86*200)))</f>
        <v/>
      </c>
      <c r="T172" s="368" t="str">
        <f>IF('Products x speed'!N86=0,"",('Products x speed'!N278*10^6/('Products x speed'!N86*200)))</f>
        <v/>
      </c>
      <c r="U172" s="368" t="str">
        <f>IF('Products x speed'!O86=0,"",('Products x speed'!O278*10^6/('Products x speed'!O86*200)))</f>
        <v/>
      </c>
    </row>
    <row r="173" spans="1:21" ht="15.45" customHeight="1">
      <c r="A173" s="642">
        <v>3200</v>
      </c>
      <c r="B173" s="91" t="str">
        <f>'Products x speed'!B87</f>
        <v>3.2T ER</v>
      </c>
      <c r="C173" s="92" t="str">
        <f>'Products x speed'!C87</f>
        <v>&gt;10 km</v>
      </c>
      <c r="D173" s="93" t="str">
        <f>'Products x speed'!D87</f>
        <v>OSFP-XD and TBD</v>
      </c>
      <c r="E173" s="566" t="s">
        <v>90</v>
      </c>
      <c r="F173" s="566" t="s">
        <v>90</v>
      </c>
      <c r="G173" s="566" t="s">
        <v>90</v>
      </c>
      <c r="H173" s="566" t="s">
        <v>90</v>
      </c>
      <c r="I173" s="566" t="s">
        <v>90</v>
      </c>
      <c r="J173" s="566" t="s">
        <v>90</v>
      </c>
      <c r="K173" s="360" t="str">
        <f>IF('Products x speed'!E87=0,"",('Products x speed'!E279*10^6/('Products x speed'!E87*200)))</f>
        <v/>
      </c>
      <c r="L173" s="382" t="str">
        <f>IF('Products x speed'!F87=0,"",('Products x speed'!F279*10^6/('Products x speed'!F87*200)))</f>
        <v/>
      </c>
      <c r="M173" s="382" t="str">
        <f>IF('Products x speed'!G87=0,"",('Products x speed'!G279*10^6/('Products x speed'!G87*200)))</f>
        <v/>
      </c>
      <c r="N173" s="382" t="str">
        <f>IF('Products x speed'!H87=0,"",('Products x speed'!H279*10^6/('Products x speed'!H87*200)))</f>
        <v/>
      </c>
      <c r="O173" s="382" t="str">
        <f>IF('Products x speed'!I87=0,"",('Products x speed'!I279*10^6/('Products x speed'!I87*200)))</f>
        <v/>
      </c>
      <c r="P173" s="382" t="str">
        <f>IF('Products x speed'!J87=0,"",('Products x speed'!J279*10^6/('Products x speed'!J87*200)))</f>
        <v/>
      </c>
      <c r="Q173" s="382" t="str">
        <f>IF('Products x speed'!K87=0,"",('Products x speed'!K279*10^6/('Products x speed'!K87*200)))</f>
        <v/>
      </c>
      <c r="R173" s="382" t="str">
        <f>IF('Products x speed'!L87=0,"",('Products x speed'!L279*10^6/('Products x speed'!L87*200)))</f>
        <v/>
      </c>
      <c r="S173" s="382" t="str">
        <f>IF('Products x speed'!M87=0,"",('Products x speed'!M279*10^6/('Products x speed'!M87*200)))</f>
        <v/>
      </c>
      <c r="T173" s="382" t="str">
        <f>IF('Products x speed'!N87=0,"",('Products x speed'!N279*10^6/('Products x speed'!N87*200)))</f>
        <v/>
      </c>
      <c r="U173" s="382" t="str">
        <f>IF('Products x speed'!O87=0,"",('Products x speed'!O279*10^6/('Products x speed'!O87*200)))</f>
        <v/>
      </c>
    </row>
    <row r="174" spans="1:21">
      <c r="A174" s="416"/>
      <c r="R174" s="364"/>
      <c r="S174" s="364"/>
      <c r="T174" s="364"/>
      <c r="U174" s="364"/>
    </row>
    <row r="175" spans="1:21" ht="14.4">
      <c r="B175" s="228" t="s">
        <v>169</v>
      </c>
      <c r="Q175" s="364"/>
      <c r="R175" s="364"/>
      <c r="S175" s="364"/>
      <c r="T175" s="364"/>
      <c r="U175" s="364"/>
    </row>
    <row r="176" spans="1:21">
      <c r="B176" s="361" t="s">
        <v>32</v>
      </c>
      <c r="C176" s="362" t="s">
        <v>31</v>
      </c>
      <c r="D176" s="362" t="s">
        <v>33</v>
      </c>
      <c r="E176" s="121">
        <v>2010</v>
      </c>
      <c r="F176" s="122">
        <v>2011</v>
      </c>
      <c r="G176" s="122">
        <v>2012</v>
      </c>
      <c r="H176" s="122">
        <v>2013</v>
      </c>
      <c r="I176" s="122">
        <v>2014</v>
      </c>
      <c r="J176" s="122">
        <v>2015</v>
      </c>
      <c r="K176" s="122">
        <v>2016</v>
      </c>
      <c r="L176" s="122">
        <v>2017</v>
      </c>
      <c r="M176" s="122">
        <v>2018</v>
      </c>
      <c r="N176" s="122">
        <v>2019</v>
      </c>
      <c r="O176" s="122">
        <v>2020</v>
      </c>
      <c r="P176" s="122">
        <v>2021</v>
      </c>
      <c r="Q176" s="122">
        <v>2022</v>
      </c>
      <c r="R176" s="122">
        <v>2023</v>
      </c>
      <c r="S176" s="122">
        <v>2024</v>
      </c>
      <c r="T176" s="123">
        <v>2025</v>
      </c>
      <c r="U176" s="123">
        <v>2026</v>
      </c>
    </row>
    <row r="177" spans="2:21">
      <c r="B177" s="87" t="s">
        <v>48</v>
      </c>
      <c r="C177" s="88" t="s">
        <v>47</v>
      </c>
      <c r="D177" s="89" t="s">
        <v>49</v>
      </c>
      <c r="E177" s="367">
        <v>274.06249367438778</v>
      </c>
      <c r="F177" s="367">
        <v>239.45512444253498</v>
      </c>
      <c r="G177" s="367">
        <v>222.69357921658363</v>
      </c>
      <c r="H177" s="367">
        <v>172.65303564324924</v>
      </c>
      <c r="I177" s="367">
        <v>177.73233103197674</v>
      </c>
      <c r="J177" s="367">
        <v>194.94455650737342</v>
      </c>
      <c r="K177" s="126">
        <v>0</v>
      </c>
      <c r="L177" s="126" t="s">
        <v>90</v>
      </c>
      <c r="M177" s="126" t="s">
        <v>90</v>
      </c>
      <c r="N177" s="126" t="s">
        <v>90</v>
      </c>
      <c r="O177" s="126" t="s">
        <v>90</v>
      </c>
      <c r="P177" s="126" t="s">
        <v>90</v>
      </c>
      <c r="Q177" s="367" t="s">
        <v>90</v>
      </c>
      <c r="R177" s="367" t="s">
        <v>90</v>
      </c>
      <c r="S177" s="367" t="s">
        <v>90</v>
      </c>
      <c r="T177" s="367" t="s">
        <v>90</v>
      </c>
      <c r="U177" s="367" t="s">
        <v>90</v>
      </c>
    </row>
    <row r="178" spans="2:21">
      <c r="B178" s="91" t="s">
        <v>48</v>
      </c>
      <c r="C178" s="92" t="s">
        <v>54</v>
      </c>
      <c r="D178" s="93" t="s">
        <v>49</v>
      </c>
      <c r="E178" s="360">
        <v>408.18962355062325</v>
      </c>
      <c r="F178" s="360">
        <v>250</v>
      </c>
      <c r="G178" s="360">
        <v>257.22320966907961</v>
      </c>
      <c r="H178" s="360">
        <v>279.86098194911409</v>
      </c>
      <c r="I178" s="360">
        <v>236.30748112560056</v>
      </c>
      <c r="J178" s="360">
        <v>166.47058823529412</v>
      </c>
      <c r="K178" s="128" t="s">
        <v>90</v>
      </c>
      <c r="L178" s="128" t="s">
        <v>90</v>
      </c>
      <c r="M178" s="128" t="s">
        <v>90</v>
      </c>
      <c r="N178" s="128" t="s">
        <v>90</v>
      </c>
      <c r="O178" s="128" t="s">
        <v>90</v>
      </c>
      <c r="P178" s="128" t="s">
        <v>90</v>
      </c>
      <c r="Q178" s="360" t="s">
        <v>90</v>
      </c>
      <c r="R178" s="360" t="s">
        <v>90</v>
      </c>
      <c r="S178" s="360" t="s">
        <v>90</v>
      </c>
      <c r="T178" s="360" t="s">
        <v>90</v>
      </c>
      <c r="U178" s="360" t="s">
        <v>90</v>
      </c>
    </row>
    <row r="179" spans="2:21">
      <c r="B179" s="87" t="s">
        <v>59</v>
      </c>
      <c r="C179" s="88" t="s">
        <v>44</v>
      </c>
      <c r="D179" s="89" t="s">
        <v>45</v>
      </c>
      <c r="E179" s="325">
        <v>18.206652850742383</v>
      </c>
      <c r="F179" s="325">
        <v>17.526901331276267</v>
      </c>
      <c r="G179" s="325">
        <v>17.095853477680556</v>
      </c>
      <c r="H179" s="325">
        <v>17.769954721744874</v>
      </c>
      <c r="I179" s="325">
        <v>18.264693750467032</v>
      </c>
      <c r="J179" s="325">
        <v>16.71487059956247</v>
      </c>
      <c r="K179" s="179" t="s">
        <v>90</v>
      </c>
      <c r="L179" s="179" t="s">
        <v>90</v>
      </c>
      <c r="M179" s="179" t="s">
        <v>90</v>
      </c>
      <c r="N179" s="179" t="s">
        <v>90</v>
      </c>
      <c r="O179" s="179" t="s">
        <v>90</v>
      </c>
      <c r="P179" s="179" t="s">
        <v>90</v>
      </c>
      <c r="Q179" s="325" t="s">
        <v>90</v>
      </c>
      <c r="R179" s="325" t="s">
        <v>90</v>
      </c>
      <c r="S179" s="325" t="s">
        <v>90</v>
      </c>
      <c r="T179" s="325" t="s">
        <v>90</v>
      </c>
      <c r="U179" s="325" t="s">
        <v>90</v>
      </c>
    </row>
    <row r="180" spans="2:21">
      <c r="B180" s="95" t="s">
        <v>59</v>
      </c>
      <c r="C180" s="99" t="s">
        <v>44</v>
      </c>
      <c r="D180" s="97" t="s">
        <v>39</v>
      </c>
      <c r="E180" s="325">
        <v>11.099633018262569</v>
      </c>
      <c r="F180" s="325">
        <v>11.035062575041373</v>
      </c>
      <c r="G180" s="325">
        <v>20.216612225851609</v>
      </c>
      <c r="H180" s="325">
        <v>21.197803054670214</v>
      </c>
      <c r="I180" s="325">
        <v>23.496655215906642</v>
      </c>
      <c r="J180" s="325">
        <v>24.291288695439938</v>
      </c>
      <c r="K180" s="179"/>
      <c r="L180" s="179"/>
      <c r="M180" s="179"/>
      <c r="N180" s="179"/>
      <c r="O180" s="179"/>
      <c r="P180" s="179"/>
      <c r="Q180" s="325"/>
      <c r="R180" s="325"/>
      <c r="S180" s="325"/>
      <c r="T180" s="325"/>
      <c r="U180" s="325"/>
    </row>
    <row r="181" spans="2:21">
      <c r="B181" s="95" t="s">
        <v>59</v>
      </c>
      <c r="C181" s="96" t="s">
        <v>50</v>
      </c>
      <c r="D181" s="97" t="s">
        <v>45</v>
      </c>
      <c r="E181" s="325">
        <v>23.39814100647137</v>
      </c>
      <c r="F181" s="325">
        <v>25.292353605697045</v>
      </c>
      <c r="G181" s="325">
        <v>22.283888496308389</v>
      </c>
      <c r="H181" s="325"/>
      <c r="I181" s="325" t="s">
        <v>90</v>
      </c>
      <c r="J181" s="325" t="s">
        <v>90</v>
      </c>
      <c r="K181" s="179"/>
      <c r="L181" s="179"/>
      <c r="M181" s="179"/>
      <c r="N181" s="179"/>
      <c r="O181" s="179"/>
      <c r="P181" s="179"/>
      <c r="Q181" s="325"/>
      <c r="R181" s="325"/>
      <c r="S181" s="325"/>
      <c r="T181" s="325"/>
      <c r="U181" s="325"/>
    </row>
    <row r="182" spans="2:21">
      <c r="B182" s="95" t="s">
        <v>59</v>
      </c>
      <c r="C182" s="96" t="s">
        <v>50</v>
      </c>
      <c r="D182" s="97" t="s">
        <v>51</v>
      </c>
      <c r="E182" s="325">
        <v>29.754221056484081</v>
      </c>
      <c r="F182" s="325">
        <v>29.532924515815946</v>
      </c>
      <c r="G182" s="325">
        <v>27.117140188120089</v>
      </c>
      <c r="H182" s="325">
        <v>25.445438495566442</v>
      </c>
      <c r="I182" s="325">
        <v>28.570454668617568</v>
      </c>
      <c r="J182" s="325">
        <v>64.697302697302732</v>
      </c>
      <c r="K182" s="179"/>
      <c r="L182" s="179"/>
      <c r="M182" s="179"/>
      <c r="N182" s="179"/>
      <c r="O182" s="179"/>
      <c r="P182" s="179"/>
      <c r="Q182" s="325"/>
      <c r="R182" s="325"/>
      <c r="S182" s="325"/>
      <c r="T182" s="325"/>
      <c r="U182" s="325"/>
    </row>
    <row r="183" spans="2:21">
      <c r="B183" s="95" t="s">
        <v>59</v>
      </c>
      <c r="C183" s="96" t="s">
        <v>55</v>
      </c>
      <c r="D183" s="97" t="s">
        <v>39</v>
      </c>
      <c r="E183" s="325">
        <v>76.717999203464927</v>
      </c>
      <c r="F183" s="325">
        <v>59.143771385122292</v>
      </c>
      <c r="G183" s="325">
        <v>39.079348493141595</v>
      </c>
      <c r="H183" s="325"/>
      <c r="I183" s="325" t="s">
        <v>90</v>
      </c>
      <c r="J183" s="325" t="s">
        <v>90</v>
      </c>
      <c r="K183" s="179"/>
      <c r="L183" s="179"/>
      <c r="M183" s="179"/>
      <c r="N183" s="179"/>
      <c r="O183" s="179"/>
      <c r="P183" s="179"/>
      <c r="Q183" s="325"/>
      <c r="R183" s="325"/>
      <c r="S183" s="325"/>
      <c r="T183" s="325"/>
      <c r="U183" s="325"/>
    </row>
    <row r="184" spans="2:21">
      <c r="B184" s="91" t="s">
        <v>59</v>
      </c>
      <c r="C184" s="92" t="s">
        <v>57</v>
      </c>
      <c r="D184" s="93" t="s">
        <v>39</v>
      </c>
      <c r="E184" s="365">
        <v>143.88166575041231</v>
      </c>
      <c r="F184" s="360">
        <v>143.84128914563698</v>
      </c>
      <c r="G184" s="360">
        <v>139.18409466153</v>
      </c>
      <c r="H184" s="360"/>
      <c r="I184" s="360" t="s">
        <v>90</v>
      </c>
      <c r="J184" s="360" t="s">
        <v>90</v>
      </c>
      <c r="K184" s="128"/>
      <c r="L184" s="128"/>
      <c r="M184" s="128"/>
      <c r="N184" s="128"/>
      <c r="O184" s="128"/>
      <c r="P184" s="128"/>
      <c r="Q184" s="360"/>
      <c r="R184" s="360"/>
      <c r="S184" s="360"/>
      <c r="T184" s="360"/>
      <c r="U184" s="360"/>
    </row>
    <row r="185" spans="2:21">
      <c r="B185" s="87" t="s">
        <v>60</v>
      </c>
      <c r="C185" s="88" t="s">
        <v>34</v>
      </c>
      <c r="D185" s="89" t="s">
        <v>35</v>
      </c>
      <c r="E185" s="325">
        <v>21.681017994211651</v>
      </c>
      <c r="F185" s="325">
        <v>16.06518077383889</v>
      </c>
      <c r="G185" s="325">
        <v>16.098718300474268</v>
      </c>
      <c r="H185" s="325"/>
      <c r="I185" s="325" t="s">
        <v>90</v>
      </c>
      <c r="J185" s="325" t="s">
        <v>90</v>
      </c>
      <c r="K185" s="179"/>
      <c r="L185" s="179"/>
      <c r="M185" s="179"/>
      <c r="N185" s="179"/>
      <c r="O185" s="179"/>
      <c r="P185" s="179"/>
      <c r="Q185" s="325"/>
      <c r="R185" s="325"/>
      <c r="S185" s="325"/>
      <c r="T185" s="325"/>
      <c r="U185" s="325"/>
    </row>
    <row r="186" spans="2:21">
      <c r="B186" s="95" t="s">
        <v>60</v>
      </c>
      <c r="C186" s="96" t="s">
        <v>41</v>
      </c>
      <c r="D186" s="97" t="s">
        <v>39</v>
      </c>
      <c r="E186" s="325">
        <v>30.463357047118258</v>
      </c>
      <c r="F186" s="325">
        <v>26.457340149118842</v>
      </c>
      <c r="G186" s="325">
        <v>23.477793907905461</v>
      </c>
      <c r="H186" s="325">
        <v>22.490035568296438</v>
      </c>
      <c r="I186" s="325">
        <v>18.806903651668385</v>
      </c>
      <c r="J186" s="325">
        <v>14.197024556372105</v>
      </c>
      <c r="K186" s="179"/>
      <c r="L186" s="179"/>
      <c r="M186" s="179"/>
      <c r="N186" s="179"/>
      <c r="O186" s="179"/>
      <c r="P186" s="179"/>
      <c r="Q186" s="325"/>
      <c r="R186" s="325"/>
      <c r="S186" s="325"/>
      <c r="T186" s="325"/>
      <c r="U186" s="325"/>
    </row>
    <row r="187" spans="2:21">
      <c r="B187" s="95" t="s">
        <v>60</v>
      </c>
      <c r="C187" s="96" t="s">
        <v>50</v>
      </c>
      <c r="D187" s="97" t="s">
        <v>52</v>
      </c>
      <c r="E187" s="325">
        <v>29.304823525939916</v>
      </c>
      <c r="F187" s="325">
        <v>25.929656648826676</v>
      </c>
      <c r="G187" s="325">
        <v>23.088225324217781</v>
      </c>
      <c r="H187" s="325">
        <v>17.641950034698127</v>
      </c>
      <c r="I187" s="325">
        <v>16.034090123883324</v>
      </c>
      <c r="J187" s="325">
        <v>15.763719512195134</v>
      </c>
      <c r="K187" s="179"/>
      <c r="L187" s="179"/>
      <c r="M187" s="179"/>
      <c r="N187" s="179"/>
      <c r="O187" s="179"/>
      <c r="P187" s="179"/>
      <c r="Q187" s="325"/>
      <c r="R187" s="325"/>
      <c r="S187" s="325"/>
      <c r="T187" s="325"/>
      <c r="U187" s="325"/>
    </row>
    <row r="188" spans="2:21">
      <c r="B188" s="91" t="s">
        <v>60</v>
      </c>
      <c r="C188" s="92" t="s">
        <v>55</v>
      </c>
      <c r="D188" s="93" t="s">
        <v>36</v>
      </c>
      <c r="E188" s="360">
        <v>73.993303417328278</v>
      </c>
      <c r="F188" s="360">
        <v>94.311510598336469</v>
      </c>
      <c r="G188" s="360">
        <v>84.690790562913918</v>
      </c>
      <c r="H188" s="360"/>
      <c r="I188" s="360" t="s">
        <v>90</v>
      </c>
      <c r="J188" s="360" t="s">
        <v>90</v>
      </c>
      <c r="K188" s="128"/>
      <c r="L188" s="128"/>
      <c r="M188" s="128"/>
      <c r="N188" s="128"/>
      <c r="O188" s="128"/>
      <c r="P188" s="128"/>
      <c r="Q188" s="360"/>
      <c r="R188" s="360"/>
      <c r="S188" s="360"/>
      <c r="T188" s="360"/>
      <c r="U188" s="36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U260"/>
  <sheetViews>
    <sheetView showGridLines="0" zoomScale="70" zoomScaleNormal="70" zoomScalePageLayoutView="70" workbookViewId="0">
      <pane xSplit="4" ySplit="6" topLeftCell="E7" activePane="bottomRight" state="frozen"/>
      <selection pane="topRight" activeCell="E1" sqref="E1"/>
      <selection pane="bottomLeft" activeCell="A7" sqref="A7"/>
      <selection pane="bottomRight"/>
    </sheetView>
  </sheetViews>
  <sheetFormatPr defaultColWidth="8.77734375" defaultRowHeight="13.8"/>
  <cols>
    <col min="1" max="1" width="4.44140625" style="82" customWidth="1"/>
    <col min="2" max="2" width="17.77734375" style="82" customWidth="1"/>
    <col min="3" max="3" width="12.44140625" style="82" customWidth="1"/>
    <col min="4" max="4" width="17.21875" style="82" customWidth="1"/>
    <col min="5" max="6" width="13.44140625" style="82" bestFit="1" customWidth="1"/>
    <col min="7" max="15" width="12" style="82" customWidth="1"/>
    <col min="16" max="16" width="27.77734375" style="82" customWidth="1"/>
    <col min="17" max="17" width="22.21875" style="82" customWidth="1"/>
    <col min="18" max="18" width="10.77734375" style="82" bestFit="1" customWidth="1"/>
    <col min="19" max="23" width="8.77734375" style="82"/>
    <col min="24" max="31" width="10.44140625" style="82" customWidth="1"/>
    <col min="32" max="16384" width="8.77734375" style="82"/>
  </cols>
  <sheetData>
    <row r="2" spans="2:21" ht="23.4">
      <c r="B2" s="6" t="str">
        <f>Introduction!$B$2</f>
        <v>LightCounting Ethernet Transceivers Forecast</v>
      </c>
      <c r="C2" s="62"/>
      <c r="D2" s="62"/>
      <c r="P2" s="82" t="s">
        <v>14</v>
      </c>
      <c r="T2" s="12"/>
      <c r="U2" s="12"/>
    </row>
    <row r="3" spans="2:21" ht="15.6">
      <c r="B3" s="43" t="str">
        <f>Introduction!$B$3</f>
        <v>September 2021 - Sample template for illustrative purposes only</v>
      </c>
    </row>
    <row r="4" spans="2:21" ht="18">
      <c r="B4" s="6" t="s">
        <v>93</v>
      </c>
      <c r="C4" s="62"/>
      <c r="D4" s="62"/>
    </row>
    <row r="5" spans="2:21" ht="14.4">
      <c r="B5" s="83"/>
    </row>
    <row r="6" spans="2:21">
      <c r="B6" s="252" t="s">
        <v>32</v>
      </c>
      <c r="C6" s="253" t="s">
        <v>31</v>
      </c>
      <c r="D6" s="254" t="s">
        <v>33</v>
      </c>
      <c r="E6" s="161">
        <v>2016</v>
      </c>
      <c r="F6" s="161">
        <v>2017</v>
      </c>
      <c r="G6" s="161">
        <v>2018</v>
      </c>
      <c r="H6" s="161">
        <v>2019</v>
      </c>
      <c r="I6" s="161">
        <v>2020</v>
      </c>
      <c r="J6" s="161">
        <v>2021</v>
      </c>
      <c r="K6" s="161">
        <v>2022</v>
      </c>
      <c r="L6" s="161">
        <v>2023</v>
      </c>
      <c r="M6" s="161">
        <v>2024</v>
      </c>
      <c r="N6" s="161">
        <v>2025</v>
      </c>
      <c r="O6" s="161">
        <v>2026</v>
      </c>
    </row>
    <row r="7" spans="2:21" ht="21">
      <c r="B7" s="14" t="s">
        <v>18</v>
      </c>
      <c r="E7" s="13" t="s">
        <v>17</v>
      </c>
    </row>
    <row r="8" spans="2:21">
      <c r="B8" s="85" t="s">
        <v>32</v>
      </c>
      <c r="C8" s="85" t="s">
        <v>31</v>
      </c>
      <c r="D8" s="85" t="s">
        <v>33</v>
      </c>
      <c r="E8" s="86">
        <v>2016</v>
      </c>
      <c r="F8" s="86">
        <v>2017</v>
      </c>
      <c r="G8" s="86">
        <v>2018</v>
      </c>
      <c r="H8" s="86">
        <v>2019</v>
      </c>
      <c r="I8" s="86">
        <v>2020</v>
      </c>
      <c r="J8" s="86">
        <v>2021</v>
      </c>
      <c r="K8" s="86">
        <v>2022</v>
      </c>
      <c r="L8" s="86">
        <v>2023</v>
      </c>
      <c r="M8" s="86">
        <v>2024</v>
      </c>
      <c r="N8" s="86">
        <v>2025</v>
      </c>
      <c r="O8" s="86">
        <v>2026</v>
      </c>
      <c r="P8" s="81" t="s">
        <v>64</v>
      </c>
    </row>
    <row r="9" spans="2:21">
      <c r="B9" s="87" t="str">
        <f>Products!B36</f>
        <v>1G</v>
      </c>
      <c r="C9" s="88" t="str">
        <f>Products!C36</f>
        <v>500 m</v>
      </c>
      <c r="D9" s="89" t="str">
        <f>Products!D36</f>
        <v>SFP</v>
      </c>
      <c r="E9" s="90">
        <v>0</v>
      </c>
      <c r="F9" s="90">
        <v>0</v>
      </c>
      <c r="G9" s="90"/>
      <c r="H9" s="90"/>
      <c r="I9" s="90"/>
      <c r="J9" s="90"/>
      <c r="K9" s="90"/>
      <c r="L9" s="90"/>
      <c r="M9" s="90"/>
      <c r="N9" s="90"/>
      <c r="O9" s="90"/>
      <c r="P9" s="47" t="str">
        <f>B9&amp;"_"&amp;C9&amp;"_"&amp;D9</f>
        <v>1G_500 m_SFP</v>
      </c>
    </row>
    <row r="10" spans="2:21">
      <c r="B10" s="95" t="str">
        <f>Products!B37</f>
        <v>1G</v>
      </c>
      <c r="C10" s="96" t="str">
        <f>Products!C37</f>
        <v>10 km</v>
      </c>
      <c r="D10" s="97" t="str">
        <f>Products!D37</f>
        <v>SFP</v>
      </c>
      <c r="E10" s="98">
        <v>1930504.0524000004</v>
      </c>
      <c r="F10" s="98">
        <v>1538916.2400000002</v>
      </c>
      <c r="G10" s="98"/>
      <c r="H10" s="98"/>
      <c r="I10" s="98"/>
      <c r="J10" s="98"/>
      <c r="K10" s="98"/>
      <c r="L10" s="98"/>
      <c r="M10" s="98"/>
      <c r="N10" s="98"/>
      <c r="O10" s="98"/>
      <c r="P10" s="47" t="str">
        <f t="shared" ref="P10:P73" si="0">B10&amp;"_"&amp;C10&amp;"_"&amp;D10</f>
        <v>1G_10 km_SFP</v>
      </c>
    </row>
    <row r="11" spans="2:21">
      <c r="B11" s="95" t="str">
        <f>Products!B38</f>
        <v>1G</v>
      </c>
      <c r="C11" s="96" t="str">
        <f>Products!C38</f>
        <v>40 km</v>
      </c>
      <c r="D11" s="97" t="str">
        <f>Products!D38</f>
        <v>SFP</v>
      </c>
      <c r="E11" s="98">
        <v>281281.8125</v>
      </c>
      <c r="F11" s="98">
        <v>238750.2</v>
      </c>
      <c r="G11" s="98"/>
      <c r="H11" s="98"/>
      <c r="I11" s="98"/>
      <c r="J11" s="98"/>
      <c r="K11" s="98"/>
      <c r="L11" s="98"/>
      <c r="M11" s="98"/>
      <c r="N11" s="98"/>
      <c r="O11" s="98"/>
      <c r="P11" s="47" t="str">
        <f t="shared" si="0"/>
        <v>1G_40 km_SFP</v>
      </c>
    </row>
    <row r="12" spans="2:21">
      <c r="B12" s="95" t="str">
        <f>Products!B39</f>
        <v>1G</v>
      </c>
      <c r="C12" s="96" t="str">
        <f>Products!C39</f>
        <v>80 km</v>
      </c>
      <c r="D12" s="97" t="str">
        <f>Products!D39</f>
        <v>SFP</v>
      </c>
      <c r="E12" s="98">
        <v>115175.5</v>
      </c>
      <c r="F12" s="98">
        <v>105559.64999999997</v>
      </c>
      <c r="G12" s="98"/>
      <c r="H12" s="98"/>
      <c r="I12" s="98"/>
      <c r="J12" s="98"/>
      <c r="K12" s="98"/>
      <c r="L12" s="98"/>
      <c r="M12" s="98"/>
      <c r="N12" s="98"/>
      <c r="O12" s="98"/>
      <c r="P12" s="47" t="str">
        <f t="shared" si="0"/>
        <v>1G_80 km_SFP</v>
      </c>
    </row>
    <row r="13" spans="2:21">
      <c r="B13" s="414" t="str">
        <f>Products!B40</f>
        <v>1G &amp; Fast Ethernet</v>
      </c>
      <c r="C13" s="92" t="str">
        <f>Products!C40</f>
        <v>Various</v>
      </c>
      <c r="D13" s="93" t="str">
        <f>Products!D40</f>
        <v>Legacy/discontinued</v>
      </c>
      <c r="E13" s="695">
        <v>100000</v>
      </c>
      <c r="F13" s="94">
        <v>0</v>
      </c>
      <c r="G13" s="94"/>
      <c r="H13" s="94"/>
      <c r="I13" s="94"/>
      <c r="J13" s="94"/>
      <c r="K13" s="94"/>
      <c r="L13" s="94"/>
      <c r="M13" s="94"/>
      <c r="N13" s="94"/>
      <c r="O13" s="94"/>
      <c r="P13" s="64" t="str">
        <f t="shared" si="0"/>
        <v>1G &amp; Fast Ethernet_Various_Legacy/discontinued</v>
      </c>
    </row>
    <row r="14" spans="2:21">
      <c r="B14" s="95" t="str">
        <f>Products!B41</f>
        <v>10G</v>
      </c>
      <c r="C14" s="96" t="str">
        <f>Products!C41</f>
        <v>300 m</v>
      </c>
      <c r="D14" s="89" t="str">
        <f>Products!D41</f>
        <v>XFP</v>
      </c>
      <c r="E14" s="98">
        <v>0</v>
      </c>
      <c r="F14" s="98">
        <v>0</v>
      </c>
      <c r="G14" s="98"/>
      <c r="H14" s="98"/>
      <c r="I14" s="98"/>
      <c r="J14" s="98"/>
      <c r="K14" s="98"/>
      <c r="L14" s="98"/>
      <c r="M14" s="98"/>
      <c r="N14" s="98"/>
      <c r="O14" s="98"/>
      <c r="P14" s="47" t="str">
        <f t="shared" si="0"/>
        <v>10G_300 m_XFP</v>
      </c>
    </row>
    <row r="15" spans="2:21">
      <c r="B15" s="95" t="str">
        <f>Products!B42</f>
        <v>10G</v>
      </c>
      <c r="C15" s="96" t="str">
        <f>Products!C42</f>
        <v>300 m</v>
      </c>
      <c r="D15" s="97" t="str">
        <f>Products!D42</f>
        <v>SFP+</v>
      </c>
      <c r="E15" s="98">
        <v>0</v>
      </c>
      <c r="F15" s="98">
        <v>0</v>
      </c>
      <c r="G15" s="98"/>
      <c r="H15" s="98"/>
      <c r="I15" s="98"/>
      <c r="J15" s="98"/>
      <c r="K15" s="98"/>
      <c r="L15" s="98"/>
      <c r="M15" s="98"/>
      <c r="N15" s="98"/>
      <c r="O15" s="98"/>
      <c r="P15" s="47" t="str">
        <f t="shared" si="0"/>
        <v>10G_300 m_SFP+</v>
      </c>
    </row>
    <row r="16" spans="2:21">
      <c r="B16" s="95" t="str">
        <f>Products!B43</f>
        <v>10G LRM</v>
      </c>
      <c r="C16" s="96" t="str">
        <f>Products!C43</f>
        <v>220 m</v>
      </c>
      <c r="D16" s="97" t="str">
        <f>Products!D43</f>
        <v>SFP+</v>
      </c>
      <c r="E16" s="98">
        <v>0</v>
      </c>
      <c r="F16" s="98">
        <v>0</v>
      </c>
      <c r="G16" s="98"/>
      <c r="H16" s="98"/>
      <c r="I16" s="98"/>
      <c r="J16" s="98"/>
      <c r="K16" s="98"/>
      <c r="L16" s="98"/>
      <c r="M16" s="98"/>
      <c r="N16" s="98"/>
      <c r="O16" s="98"/>
      <c r="P16" s="47" t="str">
        <f t="shared" si="0"/>
        <v>10G LRM_220 m_SFP+</v>
      </c>
    </row>
    <row r="17" spans="2:16">
      <c r="B17" s="95" t="str">
        <f>Products!B44</f>
        <v>10G</v>
      </c>
      <c r="C17" s="96" t="str">
        <f>Products!C44</f>
        <v>10 km</v>
      </c>
      <c r="D17" s="97" t="str">
        <f>Products!D44</f>
        <v>XFP</v>
      </c>
      <c r="E17" s="98">
        <v>85589.7</v>
      </c>
      <c r="F17" s="98">
        <v>45666.6</v>
      </c>
      <c r="G17" s="98"/>
      <c r="H17" s="98"/>
      <c r="I17" s="98"/>
      <c r="J17" s="98"/>
      <c r="K17" s="98"/>
      <c r="L17" s="98"/>
      <c r="M17" s="98"/>
      <c r="N17" s="98"/>
      <c r="O17" s="98"/>
      <c r="P17" s="47" t="str">
        <f t="shared" si="0"/>
        <v>10G_10 km_XFP</v>
      </c>
    </row>
    <row r="18" spans="2:16">
      <c r="B18" s="95" t="str">
        <f>Products!B45</f>
        <v>10G</v>
      </c>
      <c r="C18" s="96" t="str">
        <f>Products!C45</f>
        <v>10 km</v>
      </c>
      <c r="D18" s="97" t="str">
        <f>Products!D45</f>
        <v>SFP+</v>
      </c>
      <c r="E18" s="98">
        <v>1235201.9136132007</v>
      </c>
      <c r="F18" s="98">
        <v>1277680.9784692547</v>
      </c>
      <c r="G18" s="98"/>
      <c r="H18" s="98"/>
      <c r="I18" s="98"/>
      <c r="J18" s="98"/>
      <c r="K18" s="98"/>
      <c r="L18" s="98"/>
      <c r="M18" s="98"/>
      <c r="N18" s="98"/>
      <c r="O18" s="98"/>
      <c r="P18" s="47" t="str">
        <f t="shared" si="0"/>
        <v>10G_10 km_SFP+</v>
      </c>
    </row>
    <row r="19" spans="2:16">
      <c r="B19" s="95" t="str">
        <f>Products!B46</f>
        <v>10G</v>
      </c>
      <c r="C19" s="96" t="str">
        <f>Products!C46</f>
        <v>40 km</v>
      </c>
      <c r="D19" s="97" t="str">
        <f>Products!D46</f>
        <v>XFP</v>
      </c>
      <c r="E19" s="98">
        <v>122103.20000000001</v>
      </c>
      <c r="F19" s="98">
        <v>85787.200000000012</v>
      </c>
      <c r="G19" s="98"/>
      <c r="H19" s="98"/>
      <c r="I19" s="98"/>
      <c r="J19" s="98"/>
      <c r="K19" s="98"/>
      <c r="L19" s="98"/>
      <c r="M19" s="98"/>
      <c r="N19" s="98"/>
      <c r="O19" s="98"/>
      <c r="P19" s="47" t="str">
        <f t="shared" si="0"/>
        <v>10G_40 km_XFP</v>
      </c>
    </row>
    <row r="20" spans="2:16">
      <c r="B20" s="95" t="str">
        <f>Products!B47</f>
        <v>10G</v>
      </c>
      <c r="C20" s="96" t="str">
        <f>Products!C47</f>
        <v>40 km</v>
      </c>
      <c r="D20" s="97" t="str">
        <f>Products!D47</f>
        <v>SFP+</v>
      </c>
      <c r="E20" s="98">
        <v>180536.47499999998</v>
      </c>
      <c r="F20" s="98">
        <v>180823.01999999996</v>
      </c>
      <c r="G20" s="98"/>
      <c r="H20" s="98"/>
      <c r="I20" s="98"/>
      <c r="J20" s="98"/>
      <c r="K20" s="98"/>
      <c r="L20" s="98"/>
      <c r="M20" s="98"/>
      <c r="N20" s="98"/>
      <c r="O20" s="98"/>
      <c r="P20" s="47" t="str">
        <f t="shared" si="0"/>
        <v>10G_40 km_SFP+</v>
      </c>
    </row>
    <row r="21" spans="2:16">
      <c r="B21" s="95" t="str">
        <f>Products!B48</f>
        <v>10G</v>
      </c>
      <c r="C21" s="96" t="str">
        <f>Products!C48</f>
        <v>80 km</v>
      </c>
      <c r="D21" s="97" t="str">
        <f>Products!D48</f>
        <v>XFP</v>
      </c>
      <c r="E21" s="98">
        <v>68753</v>
      </c>
      <c r="F21" s="98">
        <v>9455</v>
      </c>
      <c r="G21" s="98"/>
      <c r="H21" s="98"/>
      <c r="I21" s="98"/>
      <c r="J21" s="98"/>
      <c r="K21" s="98"/>
      <c r="L21" s="98"/>
      <c r="M21" s="98"/>
      <c r="N21" s="98"/>
      <c r="O21" s="98"/>
      <c r="P21" s="47" t="str">
        <f t="shared" si="0"/>
        <v>10G_80 km_XFP</v>
      </c>
    </row>
    <row r="22" spans="2:16">
      <c r="B22" s="95" t="str">
        <f>Products!B49</f>
        <v>10G</v>
      </c>
      <c r="C22" s="96" t="str">
        <f>Products!C49</f>
        <v>80 km</v>
      </c>
      <c r="D22" s="97" t="str">
        <f>Products!D49</f>
        <v>SFP+</v>
      </c>
      <c r="E22" s="98">
        <v>43870.75</v>
      </c>
      <c r="F22" s="98">
        <v>63032.5</v>
      </c>
      <c r="G22" s="98"/>
      <c r="H22" s="98"/>
      <c r="I22" s="98"/>
      <c r="J22" s="98"/>
      <c r="K22" s="98"/>
      <c r="L22" s="98"/>
      <c r="M22" s="98"/>
      <c r="N22" s="98"/>
      <c r="O22" s="98"/>
      <c r="P22" s="47" t="str">
        <f t="shared" si="0"/>
        <v>10G_80 km_SFP+</v>
      </c>
    </row>
    <row r="23" spans="2:16">
      <c r="B23" s="95" t="str">
        <f>Products!B50</f>
        <v>10G</v>
      </c>
      <c r="C23" s="96" t="str">
        <f>Products!C50</f>
        <v>Various</v>
      </c>
      <c r="D23" s="93" t="str">
        <f>Products!D50</f>
        <v>Legacy/discontinued</v>
      </c>
      <c r="E23" s="98">
        <v>32526.5</v>
      </c>
      <c r="F23" s="98">
        <v>12164.5</v>
      </c>
      <c r="G23" s="98"/>
      <c r="H23" s="98"/>
      <c r="I23" s="98"/>
      <c r="J23" s="98"/>
      <c r="K23" s="98"/>
      <c r="L23" s="98"/>
      <c r="M23" s="98"/>
      <c r="N23" s="98"/>
      <c r="O23" s="98"/>
      <c r="P23" s="64" t="str">
        <f t="shared" si="0"/>
        <v>10G_Various_Legacy/discontinued</v>
      </c>
    </row>
    <row r="24" spans="2:16">
      <c r="B24" s="87" t="str">
        <f>Products!B51</f>
        <v>25G SR, eSR</v>
      </c>
      <c r="C24" s="88" t="str">
        <f>Products!C51</f>
        <v>100 - 300 m</v>
      </c>
      <c r="D24" s="89" t="str">
        <f>Products!D51</f>
        <v>SFP28</v>
      </c>
      <c r="E24" s="261">
        <v>0</v>
      </c>
      <c r="F24" s="261">
        <v>0</v>
      </c>
      <c r="G24" s="261"/>
      <c r="H24" s="261"/>
      <c r="I24" s="261"/>
      <c r="J24" s="261"/>
      <c r="K24" s="261"/>
      <c r="L24" s="261"/>
      <c r="M24" s="261"/>
      <c r="N24" s="261"/>
      <c r="O24" s="261"/>
      <c r="P24" s="63" t="str">
        <f t="shared" si="0"/>
        <v>25G SR, eSR_100 - 300 m_SFP28</v>
      </c>
    </row>
    <row r="25" spans="2:16">
      <c r="B25" s="95" t="str">
        <f>Products!B52</f>
        <v>25G LR</v>
      </c>
      <c r="C25" s="96" t="str">
        <f>Products!C52</f>
        <v>10 km</v>
      </c>
      <c r="D25" s="97" t="str">
        <f>Products!D52</f>
        <v>SFP28</v>
      </c>
      <c r="E25" s="262">
        <v>1364.3999999999999</v>
      </c>
      <c r="F25" s="262">
        <v>5238.5999999999995</v>
      </c>
      <c r="G25" s="262"/>
      <c r="H25" s="262"/>
      <c r="I25" s="262"/>
      <c r="J25" s="262"/>
      <c r="K25" s="262"/>
      <c r="L25" s="262"/>
      <c r="M25" s="262"/>
      <c r="N25" s="262"/>
      <c r="O25" s="262"/>
      <c r="P25" s="47" t="str">
        <f t="shared" si="0"/>
        <v>25G LR_10 km_SFP28</v>
      </c>
    </row>
    <row r="26" spans="2:16">
      <c r="B26" s="91" t="str">
        <f>Products!B53</f>
        <v>25G ER</v>
      </c>
      <c r="C26" s="92" t="str">
        <f>Products!C53</f>
        <v>40 km</v>
      </c>
      <c r="D26" s="93" t="str">
        <f>Products!D53</f>
        <v>SFP28</v>
      </c>
      <c r="E26" s="263">
        <v>0</v>
      </c>
      <c r="F26" s="263">
        <v>0</v>
      </c>
      <c r="G26" s="263"/>
      <c r="H26" s="263"/>
      <c r="I26" s="263"/>
      <c r="J26" s="263"/>
      <c r="K26" s="263"/>
      <c r="L26" s="263"/>
      <c r="M26" s="263"/>
      <c r="N26" s="263"/>
      <c r="O26" s="263"/>
      <c r="P26" s="64" t="str">
        <f t="shared" si="0"/>
        <v>25G ER_40 km_SFP28</v>
      </c>
    </row>
    <row r="27" spans="2:16">
      <c r="B27" s="95" t="str">
        <f>Products!B54</f>
        <v>40G SR4</v>
      </c>
      <c r="C27" s="96" t="str">
        <f>Products!C54</f>
        <v>100 m</v>
      </c>
      <c r="D27" s="97" t="str">
        <f>Products!D54</f>
        <v>QSFP+</v>
      </c>
      <c r="E27" s="90">
        <v>31996.75</v>
      </c>
      <c r="F27" s="90">
        <v>39690.600000000006</v>
      </c>
      <c r="G27" s="90"/>
      <c r="H27" s="90"/>
      <c r="I27" s="90"/>
      <c r="J27" s="90"/>
      <c r="K27" s="90"/>
      <c r="L27" s="90"/>
      <c r="M27" s="90"/>
      <c r="N27" s="90"/>
      <c r="O27" s="90"/>
      <c r="P27" s="47" t="str">
        <f t="shared" si="0"/>
        <v>40G SR4_100 m_QSFP+</v>
      </c>
    </row>
    <row r="28" spans="2:16">
      <c r="B28" s="95" t="str">
        <f>Products!B55</f>
        <v>40G MM duplex</v>
      </c>
      <c r="C28" s="96" t="str">
        <f>Products!C55</f>
        <v>100 m</v>
      </c>
      <c r="D28" s="97" t="str">
        <f>Products!D55</f>
        <v>QSFP+</v>
      </c>
      <c r="E28" s="98">
        <v>0</v>
      </c>
      <c r="F28" s="98">
        <v>0</v>
      </c>
      <c r="G28" s="98"/>
      <c r="H28" s="98"/>
      <c r="I28" s="98"/>
      <c r="J28" s="98"/>
      <c r="K28" s="98"/>
      <c r="L28" s="98"/>
      <c r="M28" s="98"/>
      <c r="N28" s="98"/>
      <c r="O28" s="98"/>
      <c r="P28" s="47" t="str">
        <f t="shared" si="0"/>
        <v>40G MM duplex_100 m_QSFP+</v>
      </c>
    </row>
    <row r="29" spans="2:16">
      <c r="B29" s="95" t="str">
        <f>Products!B56</f>
        <v>40G eSR4</v>
      </c>
      <c r="C29" s="96" t="str">
        <f>Products!C56</f>
        <v>300 m</v>
      </c>
      <c r="D29" s="97" t="str">
        <f>Products!D56</f>
        <v>QSFP+</v>
      </c>
      <c r="E29" s="98">
        <v>13763.45</v>
      </c>
      <c r="F29" s="98">
        <v>23326.75</v>
      </c>
      <c r="G29" s="98"/>
      <c r="H29" s="98"/>
      <c r="I29" s="98"/>
      <c r="J29" s="98"/>
      <c r="K29" s="98"/>
      <c r="L29" s="98"/>
      <c r="M29" s="98"/>
      <c r="N29" s="98"/>
      <c r="O29" s="98"/>
      <c r="P29" s="47" t="str">
        <f t="shared" si="0"/>
        <v>40G eSR4_300 m_QSFP+</v>
      </c>
    </row>
    <row r="30" spans="2:16">
      <c r="B30" s="95" t="s">
        <v>257</v>
      </c>
      <c r="C30" s="96" t="s">
        <v>44</v>
      </c>
      <c r="D30" s="97" t="s">
        <v>89</v>
      </c>
      <c r="E30" s="192">
        <v>0</v>
      </c>
      <c r="F30" s="192">
        <v>0</v>
      </c>
      <c r="G30" s="192"/>
      <c r="H30" s="192"/>
      <c r="I30" s="192"/>
      <c r="J30" s="192"/>
      <c r="K30" s="192"/>
      <c r="L30" s="192"/>
      <c r="M30" s="192"/>
      <c r="N30" s="192"/>
      <c r="O30" s="192"/>
      <c r="P30" s="47" t="str">
        <f t="shared" si="0"/>
        <v>40 G PSM4_500 m_QSFP+</v>
      </c>
    </row>
    <row r="31" spans="2:16">
      <c r="B31" s="95" t="str">
        <f>Products!B58</f>
        <v>40G (FR)</v>
      </c>
      <c r="C31" s="96" t="str">
        <f>Products!C58</f>
        <v>2 km</v>
      </c>
      <c r="D31" s="97" t="str">
        <f>Products!D58</f>
        <v>CFP</v>
      </c>
      <c r="E31" s="98">
        <v>791</v>
      </c>
      <c r="F31" s="98">
        <v>402</v>
      </c>
      <c r="G31" s="98"/>
      <c r="H31" s="98"/>
      <c r="I31" s="98"/>
      <c r="J31" s="98"/>
      <c r="K31" s="98"/>
      <c r="L31" s="98"/>
      <c r="M31" s="98"/>
      <c r="N31" s="98"/>
      <c r="O31" s="98"/>
      <c r="P31" s="47" t="str">
        <f t="shared" si="0"/>
        <v>40G (FR)_2 km_CFP</v>
      </c>
    </row>
    <row r="32" spans="2:16">
      <c r="B32" s="95" t="str">
        <f>Products!B59</f>
        <v>40G (LR4 subspec)</v>
      </c>
      <c r="C32" s="96" t="str">
        <f>Products!C59</f>
        <v>2 km</v>
      </c>
      <c r="D32" s="97" t="str">
        <f>Products!D59</f>
        <v>QSFP+</v>
      </c>
      <c r="E32" s="98">
        <v>0</v>
      </c>
      <c r="F32" s="98">
        <v>0</v>
      </c>
      <c r="G32" s="98"/>
      <c r="H32" s="98"/>
      <c r="I32" s="98"/>
      <c r="J32" s="98"/>
      <c r="K32" s="98"/>
      <c r="L32" s="98"/>
      <c r="M32" s="98"/>
      <c r="N32" s="98"/>
      <c r="O32" s="98"/>
      <c r="P32" s="47" t="str">
        <f t="shared" si="0"/>
        <v>40G (LR4 subspec)_2 km_QSFP+</v>
      </c>
    </row>
    <row r="33" spans="2:16">
      <c r="B33" s="95" t="str">
        <f>Products!B60</f>
        <v>40G</v>
      </c>
      <c r="C33" s="96" t="str">
        <f>Products!C60</f>
        <v>10 km</v>
      </c>
      <c r="D33" s="97" t="str">
        <f>Products!D60</f>
        <v>CFP</v>
      </c>
      <c r="E33" s="98">
        <v>6322.25</v>
      </c>
      <c r="F33" s="98">
        <v>2703.7</v>
      </c>
      <c r="G33" s="98"/>
      <c r="H33" s="98"/>
      <c r="I33" s="98"/>
      <c r="J33" s="98"/>
      <c r="K33" s="98"/>
      <c r="L33" s="98"/>
      <c r="M33" s="98"/>
      <c r="N33" s="98"/>
      <c r="O33" s="98"/>
      <c r="P33" s="47" t="str">
        <f t="shared" si="0"/>
        <v>40G_10 km_CFP</v>
      </c>
    </row>
    <row r="34" spans="2:16">
      <c r="B34" s="95" t="str">
        <f>Products!B61</f>
        <v>40G</v>
      </c>
      <c r="C34" s="96" t="str">
        <f>Products!C61</f>
        <v>10 km</v>
      </c>
      <c r="D34" s="97" t="str">
        <f>Products!D61</f>
        <v>QSFP+</v>
      </c>
      <c r="E34" s="98">
        <v>0</v>
      </c>
      <c r="F34" s="98">
        <v>0</v>
      </c>
      <c r="G34" s="98"/>
      <c r="H34" s="98"/>
      <c r="I34" s="98"/>
      <c r="J34" s="98"/>
      <c r="K34" s="98"/>
      <c r="L34" s="98"/>
      <c r="M34" s="98"/>
      <c r="N34" s="98"/>
      <c r="O34" s="98"/>
      <c r="P34" s="47" t="str">
        <f t="shared" si="0"/>
        <v>40G_10 km_QSFP+</v>
      </c>
    </row>
    <row r="35" spans="2:16">
      <c r="B35" s="91" t="str">
        <f>Products!B62</f>
        <v>40G</v>
      </c>
      <c r="C35" s="92" t="str">
        <f>Products!C62</f>
        <v>40 km</v>
      </c>
      <c r="D35" s="93" t="str">
        <f>Products!D62</f>
        <v>QSFP+</v>
      </c>
      <c r="E35" s="94">
        <v>1468.2</v>
      </c>
      <c r="F35" s="94">
        <v>1249.3599999999999</v>
      </c>
      <c r="G35" s="94"/>
      <c r="H35" s="94"/>
      <c r="I35" s="94"/>
      <c r="J35" s="94"/>
      <c r="K35" s="94"/>
      <c r="L35" s="94"/>
      <c r="M35" s="94"/>
      <c r="N35" s="94"/>
      <c r="O35" s="94"/>
      <c r="P35" s="64" t="str">
        <f t="shared" si="0"/>
        <v>40G_40 km_QSFP+</v>
      </c>
    </row>
    <row r="36" spans="2:16">
      <c r="B36" s="87" t="str">
        <f>Products!B63</f>
        <v xml:space="preserve">50G </v>
      </c>
      <c r="C36" s="88" t="str">
        <f>Products!C63</f>
        <v>100 m</v>
      </c>
      <c r="D36" s="89" t="str">
        <f>Products!D63</f>
        <v>all</v>
      </c>
      <c r="E36" s="261">
        <v>0</v>
      </c>
      <c r="F36" s="261">
        <v>0</v>
      </c>
      <c r="G36" s="261"/>
      <c r="H36" s="261"/>
      <c r="I36" s="261"/>
      <c r="J36" s="261"/>
      <c r="K36" s="261"/>
      <c r="L36" s="261"/>
      <c r="M36" s="261"/>
      <c r="N36" s="261"/>
      <c r="O36" s="261"/>
      <c r="P36" s="63" t="str">
        <f t="shared" si="0"/>
        <v>50G _100 m_all</v>
      </c>
    </row>
    <row r="37" spans="2:16">
      <c r="B37" s="95" t="str">
        <f>Products!B64</f>
        <v xml:space="preserve">50G </v>
      </c>
      <c r="C37" s="96" t="str">
        <f>Products!C64</f>
        <v>2 km</v>
      </c>
      <c r="D37" s="97" t="str">
        <f>Products!D64</f>
        <v>all</v>
      </c>
      <c r="E37" s="262">
        <v>0</v>
      </c>
      <c r="F37" s="262">
        <v>0</v>
      </c>
      <c r="G37" s="262"/>
      <c r="H37" s="262"/>
      <c r="I37" s="262"/>
      <c r="J37" s="262"/>
      <c r="K37" s="262"/>
      <c r="L37" s="262"/>
      <c r="M37" s="262"/>
      <c r="N37" s="262"/>
      <c r="O37" s="262"/>
      <c r="P37" s="47" t="str">
        <f t="shared" si="0"/>
        <v>50G _2 km_all</v>
      </c>
    </row>
    <row r="38" spans="2:16">
      <c r="B38" s="95" t="str">
        <f>Products!B65</f>
        <v xml:space="preserve">50G </v>
      </c>
      <c r="C38" s="96" t="str">
        <f>Products!C65</f>
        <v>10 km</v>
      </c>
      <c r="D38" s="97" t="str">
        <f>Products!D65</f>
        <v>all</v>
      </c>
      <c r="E38" s="262">
        <v>0</v>
      </c>
      <c r="F38" s="262">
        <v>0</v>
      </c>
      <c r="G38" s="262"/>
      <c r="H38" s="262"/>
      <c r="I38" s="262"/>
      <c r="J38" s="262"/>
      <c r="K38" s="262"/>
      <c r="L38" s="262"/>
      <c r="M38" s="262"/>
      <c r="N38" s="262"/>
      <c r="O38" s="262"/>
      <c r="P38" s="47" t="str">
        <f t="shared" si="0"/>
        <v>50G _10 km_all</v>
      </c>
    </row>
    <row r="39" spans="2:16">
      <c r="B39" s="95" t="str">
        <f>Products!B66</f>
        <v xml:space="preserve">50G </v>
      </c>
      <c r="C39" s="96" t="str">
        <f>Products!C66</f>
        <v>40 km</v>
      </c>
      <c r="D39" s="97" t="str">
        <f>Products!D66</f>
        <v>all</v>
      </c>
      <c r="E39" s="262">
        <v>0</v>
      </c>
      <c r="F39" s="262">
        <v>0</v>
      </c>
      <c r="G39" s="262"/>
      <c r="H39" s="262"/>
      <c r="I39" s="262"/>
      <c r="J39" s="262"/>
      <c r="K39" s="262"/>
      <c r="L39" s="262"/>
      <c r="M39" s="262"/>
      <c r="N39" s="262"/>
      <c r="O39" s="262"/>
      <c r="P39" s="47" t="str">
        <f t="shared" si="0"/>
        <v>50G _40 km_all</v>
      </c>
    </row>
    <row r="40" spans="2:16">
      <c r="B40" s="95" t="str">
        <f>Products!B67</f>
        <v xml:space="preserve">50G </v>
      </c>
      <c r="C40" s="96" t="str">
        <f>Products!C67</f>
        <v>80 km</v>
      </c>
      <c r="D40" s="97" t="str">
        <f>Products!D67</f>
        <v>all</v>
      </c>
      <c r="E40" s="262">
        <v>0</v>
      </c>
      <c r="F40" s="262">
        <v>0</v>
      </c>
      <c r="G40" s="262"/>
      <c r="H40" s="262"/>
      <c r="I40" s="262"/>
      <c r="J40" s="262"/>
      <c r="K40" s="262"/>
      <c r="L40" s="262"/>
      <c r="M40" s="262"/>
      <c r="N40" s="262"/>
      <c r="O40" s="262"/>
      <c r="P40" s="47" t="str">
        <f t="shared" si="0"/>
        <v>50G _80 km_all</v>
      </c>
    </row>
    <row r="41" spans="2:16">
      <c r="B41" s="87" t="str">
        <f>Products!B68</f>
        <v>100G SR4</v>
      </c>
      <c r="C41" s="88" t="str">
        <f>Products!C68</f>
        <v>100 m</v>
      </c>
      <c r="D41" s="89" t="str">
        <f>Products!D68</f>
        <v>CFP</v>
      </c>
      <c r="E41" s="261">
        <v>14816</v>
      </c>
      <c r="F41" s="261">
        <v>6913</v>
      </c>
      <c r="G41" s="261"/>
      <c r="H41" s="261"/>
      <c r="I41" s="261"/>
      <c r="J41" s="261"/>
      <c r="K41" s="261"/>
      <c r="L41" s="261"/>
      <c r="M41" s="261"/>
      <c r="N41" s="261"/>
      <c r="O41" s="261"/>
      <c r="P41" s="63" t="str">
        <f t="shared" si="0"/>
        <v>100G SR4_100 m_CFP</v>
      </c>
    </row>
    <row r="42" spans="2:16">
      <c r="B42" s="95" t="str">
        <f>Products!B69</f>
        <v>100G SR4</v>
      </c>
      <c r="C42" s="96" t="str">
        <f>Products!C69</f>
        <v>100 m</v>
      </c>
      <c r="D42" s="97" t="str">
        <f>Products!D69</f>
        <v>CFP2/4</v>
      </c>
      <c r="E42" s="262">
        <v>4367</v>
      </c>
      <c r="F42" s="262">
        <v>2269</v>
      </c>
      <c r="G42" s="262"/>
      <c r="H42" s="262"/>
      <c r="I42" s="262"/>
      <c r="J42" s="262"/>
      <c r="K42" s="262"/>
      <c r="L42" s="262"/>
      <c r="M42" s="262"/>
      <c r="N42" s="262"/>
      <c r="O42" s="262"/>
      <c r="P42" s="47" t="str">
        <f t="shared" si="0"/>
        <v>100G SR4_100 m_CFP2/4</v>
      </c>
    </row>
    <row r="43" spans="2:16">
      <c r="B43" s="95" t="str">
        <f>Products!B70</f>
        <v>100G SR4</v>
      </c>
      <c r="C43" s="96" t="str">
        <f>Products!C70</f>
        <v>100 m</v>
      </c>
      <c r="D43" s="97" t="str">
        <f>Products!D70</f>
        <v>QSFP28</v>
      </c>
      <c r="E43" s="262">
        <v>0</v>
      </c>
      <c r="F43" s="262">
        <v>0</v>
      </c>
      <c r="G43" s="262"/>
      <c r="H43" s="262"/>
      <c r="I43" s="262"/>
      <c r="J43" s="262"/>
      <c r="K43" s="262"/>
      <c r="L43" s="262"/>
      <c r="M43" s="262"/>
      <c r="N43" s="262"/>
      <c r="O43" s="262"/>
      <c r="P43" s="47" t="str">
        <f t="shared" si="0"/>
        <v>100G SR4_100 m_QSFP28</v>
      </c>
    </row>
    <row r="44" spans="2:16">
      <c r="B44" s="95" t="str">
        <f>Products!B71</f>
        <v>100G SR2</v>
      </c>
      <c r="C44" s="96" t="str">
        <f>Products!C71</f>
        <v>100 m</v>
      </c>
      <c r="D44" s="97" t="str">
        <f>Products!D71</f>
        <v>All</v>
      </c>
      <c r="E44" s="262">
        <v>0</v>
      </c>
      <c r="F44" s="262">
        <v>0</v>
      </c>
      <c r="G44" s="262"/>
      <c r="H44" s="262"/>
      <c r="I44" s="262"/>
      <c r="J44" s="262"/>
      <c r="K44" s="262"/>
      <c r="L44" s="262"/>
      <c r="M44" s="262"/>
      <c r="N44" s="262"/>
      <c r="O44" s="262"/>
      <c r="P44" s="47" t="str">
        <f t="shared" si="0"/>
        <v>100G SR2_100 m_All</v>
      </c>
    </row>
    <row r="45" spans="2:16">
      <c r="B45" s="95" t="str">
        <f>Products!B72</f>
        <v>100G MM Duplex</v>
      </c>
      <c r="C45" s="96" t="str">
        <f>Products!C72</f>
        <v>100 - 300 m</v>
      </c>
      <c r="D45" s="97" t="str">
        <f>Products!D72</f>
        <v>QSFP28</v>
      </c>
      <c r="E45" s="262">
        <v>0</v>
      </c>
      <c r="F45" s="262">
        <v>0</v>
      </c>
      <c r="G45" s="262"/>
      <c r="H45" s="262"/>
      <c r="I45" s="262"/>
      <c r="J45" s="262"/>
      <c r="K45" s="262"/>
      <c r="L45" s="262"/>
      <c r="M45" s="262"/>
      <c r="N45" s="262"/>
      <c r="O45" s="262"/>
      <c r="P45" s="47" t="str">
        <f t="shared" si="0"/>
        <v>100G MM Duplex_100 - 300 m_QSFP28</v>
      </c>
    </row>
    <row r="46" spans="2:16">
      <c r="B46" s="95" t="str">
        <f>Products!B73</f>
        <v>100G eSR4</v>
      </c>
      <c r="C46" s="96" t="str">
        <f>Products!C73</f>
        <v>300 m</v>
      </c>
      <c r="D46" s="97" t="str">
        <f>Products!D73</f>
        <v>QSFP28</v>
      </c>
      <c r="E46" s="262">
        <v>0</v>
      </c>
      <c r="F46" s="262">
        <v>0</v>
      </c>
      <c r="G46" s="262"/>
      <c r="H46" s="262"/>
      <c r="I46" s="262"/>
      <c r="J46" s="262"/>
      <c r="K46" s="262"/>
      <c r="L46" s="262"/>
      <c r="M46" s="262"/>
      <c r="N46" s="262"/>
      <c r="O46" s="262"/>
      <c r="P46" s="47" t="str">
        <f t="shared" si="0"/>
        <v>100G eSR4_300 m_QSFP28</v>
      </c>
    </row>
    <row r="47" spans="2:16">
      <c r="B47" s="95" t="str">
        <f>Products!B74</f>
        <v>100G PSM4</v>
      </c>
      <c r="C47" s="96" t="str">
        <f>Products!C74</f>
        <v>500 m</v>
      </c>
      <c r="D47" s="97" t="str">
        <f>Products!D74</f>
        <v>QSFP28</v>
      </c>
      <c r="E47" s="262">
        <v>0</v>
      </c>
      <c r="F47" s="262">
        <v>0</v>
      </c>
      <c r="G47" s="262"/>
      <c r="H47" s="262"/>
      <c r="I47" s="262"/>
      <c r="J47" s="262"/>
      <c r="K47" s="262"/>
      <c r="L47" s="262"/>
      <c r="M47" s="262"/>
      <c r="N47" s="262"/>
      <c r="O47" s="262"/>
      <c r="P47" s="47" t="str">
        <f t="shared" si="0"/>
        <v>100G PSM4_500 m_QSFP28</v>
      </c>
    </row>
    <row r="48" spans="2:16">
      <c r="B48" s="95" t="str">
        <f>Products!B75</f>
        <v>100G DR</v>
      </c>
      <c r="C48" s="96" t="str">
        <f>Products!C75</f>
        <v>500m</v>
      </c>
      <c r="D48" s="97" t="str">
        <f>Products!D75</f>
        <v>QSFP28</v>
      </c>
      <c r="E48" s="262">
        <v>0</v>
      </c>
      <c r="F48" s="262">
        <v>0</v>
      </c>
      <c r="G48" s="262"/>
      <c r="H48" s="262"/>
      <c r="I48" s="262"/>
      <c r="J48" s="262"/>
      <c r="K48" s="262"/>
      <c r="L48" s="262"/>
      <c r="M48" s="262"/>
      <c r="N48" s="262"/>
      <c r="O48" s="262"/>
      <c r="P48" s="47" t="str">
        <f t="shared" si="0"/>
        <v>100G DR_500m_QSFP28</v>
      </c>
    </row>
    <row r="49" spans="2:16">
      <c r="B49" s="95" t="str">
        <f>Products!B76</f>
        <v>100G CWDM4-subspec</v>
      </c>
      <c r="C49" s="96" t="str">
        <f>Products!C76</f>
        <v>500 m</v>
      </c>
      <c r="D49" s="97" t="str">
        <f>Products!D76</f>
        <v>QSFP28</v>
      </c>
      <c r="E49" s="262">
        <v>0</v>
      </c>
      <c r="F49" s="262">
        <v>0</v>
      </c>
      <c r="G49" s="262"/>
      <c r="H49" s="262"/>
      <c r="I49" s="262"/>
      <c r="J49" s="262"/>
      <c r="K49" s="262"/>
      <c r="L49" s="262"/>
      <c r="M49" s="262"/>
      <c r="N49" s="262"/>
      <c r="O49" s="262"/>
      <c r="P49" s="47" t="str">
        <f t="shared" si="0"/>
        <v>100G CWDM4-subspec_500 m_QSFP28</v>
      </c>
    </row>
    <row r="50" spans="2:16">
      <c r="B50" s="95" t="str">
        <f>Products!B77</f>
        <v>100G CWDM4</v>
      </c>
      <c r="C50" s="96" t="str">
        <f>Products!C77</f>
        <v>2 km</v>
      </c>
      <c r="D50" s="97" t="str">
        <f>Products!D77</f>
        <v>QSFP28</v>
      </c>
      <c r="E50" s="262">
        <v>0</v>
      </c>
      <c r="F50" s="262">
        <v>0</v>
      </c>
      <c r="G50" s="262"/>
      <c r="H50" s="262"/>
      <c r="I50" s="262"/>
      <c r="J50" s="262"/>
      <c r="K50" s="262"/>
      <c r="L50" s="262"/>
      <c r="M50" s="262"/>
      <c r="N50" s="262"/>
      <c r="O50" s="262"/>
      <c r="P50" s="47" t="str">
        <f t="shared" si="0"/>
        <v>100G CWDM4_2 km_QSFP28</v>
      </c>
    </row>
    <row r="51" spans="2:16">
      <c r="B51" s="95" t="str">
        <f>Products!B78</f>
        <v>100G FR, DR+</v>
      </c>
      <c r="C51" s="96" t="str">
        <f>Products!C78</f>
        <v>2 km</v>
      </c>
      <c r="D51" s="97" t="str">
        <f>Products!D78</f>
        <v>QSFP28</v>
      </c>
      <c r="E51" s="262">
        <v>0</v>
      </c>
      <c r="F51" s="262">
        <v>0</v>
      </c>
      <c r="G51" s="262"/>
      <c r="H51" s="262"/>
      <c r="I51" s="262"/>
      <c r="J51" s="262"/>
      <c r="K51" s="262"/>
      <c r="L51" s="262"/>
      <c r="M51" s="262"/>
      <c r="N51" s="262"/>
      <c r="O51" s="262"/>
      <c r="P51" s="47" t="str">
        <f t="shared" si="0"/>
        <v>100G FR, DR+_2 km_QSFP28</v>
      </c>
    </row>
    <row r="52" spans="2:16">
      <c r="B52" s="95" t="str">
        <f>Products!B79</f>
        <v>100G LR4</v>
      </c>
      <c r="C52" s="96" t="str">
        <f>Products!C79</f>
        <v>10 km</v>
      </c>
      <c r="D52" s="97" t="str">
        <f>Products!D79</f>
        <v>CFP</v>
      </c>
      <c r="E52" s="262">
        <v>109936</v>
      </c>
      <c r="F52" s="262">
        <v>67349</v>
      </c>
      <c r="G52" s="262"/>
      <c r="H52" s="262"/>
      <c r="I52" s="262"/>
      <c r="J52" s="262"/>
      <c r="K52" s="262"/>
      <c r="L52" s="262"/>
      <c r="M52" s="262"/>
      <c r="N52" s="262"/>
      <c r="O52" s="262"/>
      <c r="P52" s="47" t="str">
        <f t="shared" si="0"/>
        <v>100G LR4_10 km_CFP</v>
      </c>
    </row>
    <row r="53" spans="2:16">
      <c r="B53" s="95" t="str">
        <f>Products!B80</f>
        <v>100G LR4</v>
      </c>
      <c r="C53" s="96" t="str">
        <f>Products!C80</f>
        <v>10 km</v>
      </c>
      <c r="D53" s="97" t="str">
        <f>Products!D80</f>
        <v>CFP2/4</v>
      </c>
      <c r="E53" s="262">
        <v>92243</v>
      </c>
      <c r="F53" s="262">
        <v>78202</v>
      </c>
      <c r="G53" s="262"/>
      <c r="H53" s="262"/>
      <c r="I53" s="262"/>
      <c r="J53" s="262"/>
      <c r="K53" s="262"/>
      <c r="L53" s="262"/>
      <c r="M53" s="262"/>
      <c r="N53" s="262"/>
      <c r="O53" s="262"/>
      <c r="P53" s="47" t="str">
        <f t="shared" si="0"/>
        <v>100G LR4_10 km_CFP2/4</v>
      </c>
    </row>
    <row r="54" spans="2:16">
      <c r="B54" s="95" t="str">
        <f>Products!B81</f>
        <v>100G LR4 and LR1</v>
      </c>
      <c r="C54" s="96" t="str">
        <f>Products!C81</f>
        <v>10 km</v>
      </c>
      <c r="D54" s="97" t="str">
        <f>Products!D81</f>
        <v>QSFP28</v>
      </c>
      <c r="E54" s="262">
        <v>18088.600000000002</v>
      </c>
      <c r="F54" s="262">
        <v>108705.59999999999</v>
      </c>
      <c r="G54" s="262"/>
      <c r="H54" s="262"/>
      <c r="I54" s="262"/>
      <c r="J54" s="262"/>
      <c r="K54" s="262"/>
      <c r="L54" s="262"/>
      <c r="M54" s="262"/>
      <c r="N54" s="262"/>
      <c r="O54" s="262"/>
      <c r="P54" s="47" t="str">
        <f t="shared" si="0"/>
        <v>100G LR4 and LR1_10 km_QSFP28</v>
      </c>
    </row>
    <row r="55" spans="2:16">
      <c r="B55" s="95" t="str">
        <f>Products!B82</f>
        <v>100G 4WDM10</v>
      </c>
      <c r="C55" s="96" t="str">
        <f>Products!C82</f>
        <v>10 km</v>
      </c>
      <c r="D55" s="97" t="str">
        <f>Products!D82</f>
        <v>QSFP28</v>
      </c>
      <c r="E55" s="262">
        <v>0</v>
      </c>
      <c r="F55" s="262">
        <v>0</v>
      </c>
      <c r="G55" s="262"/>
      <c r="H55" s="262"/>
      <c r="I55" s="262"/>
      <c r="J55" s="262"/>
      <c r="K55" s="262"/>
      <c r="L55" s="262"/>
      <c r="M55" s="262"/>
      <c r="N55" s="262"/>
      <c r="O55" s="262"/>
      <c r="P55" s="47" t="str">
        <f t="shared" si="0"/>
        <v>100G 4WDM10_10 km_QSFP28</v>
      </c>
    </row>
    <row r="56" spans="2:16">
      <c r="B56" s="95" t="str">
        <f>Products!B83</f>
        <v>100G 4WDM20</v>
      </c>
      <c r="C56" s="96" t="str">
        <f>Products!C83</f>
        <v>20 km</v>
      </c>
      <c r="D56" s="97" t="str">
        <f>Products!D83</f>
        <v>QSFP28</v>
      </c>
      <c r="E56" s="262">
        <v>0</v>
      </c>
      <c r="F56" s="262">
        <v>0</v>
      </c>
      <c r="G56" s="262"/>
      <c r="H56" s="262"/>
      <c r="I56" s="262"/>
      <c r="J56" s="262"/>
      <c r="K56" s="262"/>
      <c r="L56" s="262"/>
      <c r="M56" s="262"/>
      <c r="N56" s="262"/>
      <c r="O56" s="262"/>
      <c r="P56" s="47" t="str">
        <f t="shared" si="0"/>
        <v>100G 4WDM20_20 km_QSFP28</v>
      </c>
    </row>
    <row r="57" spans="2:16">
      <c r="B57" s="95" t="str">
        <f>Products!B84</f>
        <v>100G ER4-Lite</v>
      </c>
      <c r="C57" s="96" t="str">
        <f>Products!C84</f>
        <v>30 km</v>
      </c>
      <c r="D57" s="97" t="str">
        <f>Products!D84</f>
        <v>QSFP28</v>
      </c>
      <c r="E57" s="262">
        <v>0</v>
      </c>
      <c r="F57" s="262">
        <v>1600</v>
      </c>
      <c r="G57" s="262"/>
      <c r="H57" s="262"/>
      <c r="I57" s="262"/>
      <c r="J57" s="262"/>
      <c r="K57" s="262"/>
      <c r="L57" s="262"/>
      <c r="M57" s="262"/>
      <c r="N57" s="262"/>
      <c r="O57" s="262"/>
      <c r="P57" s="47" t="str">
        <f t="shared" si="0"/>
        <v>100G ER4-Lite_30 km_QSFP28</v>
      </c>
    </row>
    <row r="58" spans="2:16">
      <c r="B58" s="95" t="str">
        <f>Products!B85</f>
        <v>100G ER4</v>
      </c>
      <c r="C58" s="96" t="str">
        <f>Products!C85</f>
        <v>40 km</v>
      </c>
      <c r="D58" s="97" t="str">
        <f>Products!D85</f>
        <v>QSFP28</v>
      </c>
      <c r="E58" s="262">
        <v>5964.8</v>
      </c>
      <c r="F58" s="262">
        <v>6617.6</v>
      </c>
      <c r="G58" s="262"/>
      <c r="H58" s="262"/>
      <c r="I58" s="262"/>
      <c r="J58" s="262"/>
      <c r="K58" s="262"/>
      <c r="L58" s="262"/>
      <c r="M58" s="262"/>
      <c r="N58" s="262"/>
      <c r="O58" s="262"/>
      <c r="P58" s="47" t="str">
        <f t="shared" si="0"/>
        <v>100G ER4_40 km_QSFP28</v>
      </c>
    </row>
    <row r="59" spans="2:16">
      <c r="B59" s="95" t="str">
        <f>Products!B86</f>
        <v>100G ZR4</v>
      </c>
      <c r="C59" s="96" t="str">
        <f>Products!C86</f>
        <v>80 km</v>
      </c>
      <c r="D59" s="97" t="str">
        <f>Products!D86</f>
        <v>QSFP28</v>
      </c>
      <c r="E59" s="263">
        <v>0</v>
      </c>
      <c r="F59" s="263">
        <v>0</v>
      </c>
      <c r="G59" s="263"/>
      <c r="H59" s="263"/>
      <c r="I59" s="263"/>
      <c r="J59" s="263"/>
      <c r="K59" s="263"/>
      <c r="L59" s="263"/>
      <c r="M59" s="263"/>
      <c r="N59" s="263"/>
      <c r="O59" s="263"/>
      <c r="P59" s="47" t="str">
        <f t="shared" si="0"/>
        <v>100G ZR4_80 km_QSFP28</v>
      </c>
    </row>
    <row r="60" spans="2:16">
      <c r="B60" s="87" t="str">
        <f>Products!B87</f>
        <v>200G SR4</v>
      </c>
      <c r="C60" s="88" t="str">
        <f>Products!C87</f>
        <v>100 m</v>
      </c>
      <c r="D60" s="89" t="str">
        <f>Products!D87</f>
        <v>QSFP56</v>
      </c>
      <c r="E60" s="261">
        <v>0</v>
      </c>
      <c r="F60" s="261">
        <v>0</v>
      </c>
      <c r="G60" s="261"/>
      <c r="H60" s="261"/>
      <c r="I60" s="261"/>
      <c r="J60" s="261"/>
      <c r="K60" s="261"/>
      <c r="L60" s="261"/>
      <c r="M60" s="261"/>
      <c r="N60" s="261"/>
      <c r="O60" s="261"/>
      <c r="P60" s="63" t="str">
        <f t="shared" si="0"/>
        <v>200G SR4_100 m_QSFP56</v>
      </c>
    </row>
    <row r="61" spans="2:16">
      <c r="B61" s="95" t="str">
        <f>Products!B88</f>
        <v>200G DR</v>
      </c>
      <c r="C61" s="96" t="str">
        <f>Products!C88</f>
        <v>500 m</v>
      </c>
      <c r="D61" s="97" t="str">
        <f>Products!D88</f>
        <v>TBD</v>
      </c>
      <c r="E61" s="262">
        <v>0</v>
      </c>
      <c r="F61" s="262">
        <v>0</v>
      </c>
      <c r="G61" s="262"/>
      <c r="H61" s="262"/>
      <c r="I61" s="262"/>
      <c r="J61" s="262"/>
      <c r="K61" s="262"/>
      <c r="L61" s="262"/>
      <c r="M61" s="262"/>
      <c r="N61" s="262"/>
      <c r="O61" s="262"/>
      <c r="P61" s="47" t="str">
        <f t="shared" si="0"/>
        <v>200G DR_500 m_TBD</v>
      </c>
    </row>
    <row r="62" spans="2:16">
      <c r="B62" s="95" t="str">
        <f>Products!B89</f>
        <v>200G FR4</v>
      </c>
      <c r="C62" s="96" t="str">
        <f>Products!C89</f>
        <v>3 km</v>
      </c>
      <c r="D62" s="97" t="str">
        <f>Products!D89</f>
        <v>QSFP56</v>
      </c>
      <c r="E62" s="262">
        <v>0</v>
      </c>
      <c r="F62" s="262">
        <v>0</v>
      </c>
      <c r="G62" s="262"/>
      <c r="H62" s="262"/>
      <c r="I62" s="262"/>
      <c r="J62" s="262"/>
      <c r="K62" s="262"/>
      <c r="L62" s="262"/>
      <c r="M62" s="262"/>
      <c r="N62" s="262"/>
      <c r="O62" s="262"/>
      <c r="P62" s="47" t="str">
        <f t="shared" si="0"/>
        <v>200G FR4_3 km_QSFP56</v>
      </c>
    </row>
    <row r="63" spans="2:16">
      <c r="B63" s="95" t="str">
        <f>Products!B90</f>
        <v>200G LR</v>
      </c>
      <c r="C63" s="96" t="str">
        <f>Products!C90</f>
        <v>10 km</v>
      </c>
      <c r="D63" s="97" t="str">
        <f>Products!D90</f>
        <v>TBD</v>
      </c>
      <c r="E63" s="262">
        <v>0</v>
      </c>
      <c r="F63" s="262">
        <v>0</v>
      </c>
      <c r="G63" s="262"/>
      <c r="H63" s="262"/>
      <c r="I63" s="262"/>
      <c r="J63" s="262"/>
      <c r="K63" s="262"/>
      <c r="L63" s="262"/>
      <c r="M63" s="262"/>
      <c r="N63" s="262"/>
      <c r="O63" s="262"/>
      <c r="P63" s="47" t="str">
        <f t="shared" si="0"/>
        <v>200G LR_10 km_TBD</v>
      </c>
    </row>
    <row r="64" spans="2:16">
      <c r="B64" s="95" t="str">
        <f>Products!B91</f>
        <v>200G ER4</v>
      </c>
      <c r="C64" s="96" t="str">
        <f>Products!C91</f>
        <v>40 km</v>
      </c>
      <c r="D64" s="97" t="str">
        <f>Products!D91</f>
        <v>TBD</v>
      </c>
      <c r="E64" s="262">
        <v>0</v>
      </c>
      <c r="F64" s="262">
        <v>0</v>
      </c>
      <c r="G64" s="262"/>
      <c r="H64" s="262"/>
      <c r="I64" s="262"/>
      <c r="J64" s="262"/>
      <c r="K64" s="262"/>
      <c r="L64" s="262"/>
      <c r="M64" s="262"/>
      <c r="N64" s="262"/>
      <c r="O64" s="262"/>
      <c r="P64" s="47" t="str">
        <f t="shared" si="0"/>
        <v>200G ER4_40 km_TBD</v>
      </c>
    </row>
    <row r="65" spans="2:16">
      <c r="B65" s="87" t="str">
        <f>Products!B92</f>
        <v>2x200 (400G-SR8)</v>
      </c>
      <c r="C65" s="88" t="str">
        <f>Products!C92</f>
        <v>100 m</v>
      </c>
      <c r="D65" s="89" t="str">
        <f>Products!D92</f>
        <v>OSFP, QSFP-DD</v>
      </c>
      <c r="E65" s="261">
        <v>0</v>
      </c>
      <c r="F65" s="261">
        <v>0</v>
      </c>
      <c r="G65" s="261"/>
      <c r="H65" s="261"/>
      <c r="I65" s="261"/>
      <c r="J65" s="261"/>
      <c r="K65" s="261"/>
      <c r="L65" s="261"/>
      <c r="M65" s="261"/>
      <c r="N65" s="261"/>
      <c r="O65" s="261"/>
      <c r="P65" s="63" t="str">
        <f t="shared" si="0"/>
        <v>2x200 (400G-SR8)_100 m_OSFP, QSFP-DD</v>
      </c>
    </row>
    <row r="66" spans="2:16">
      <c r="B66" s="95" t="str">
        <f>Products!B93</f>
        <v>400G SR4</v>
      </c>
      <c r="C66" s="96" t="str">
        <f>Products!C93</f>
        <v>100 m</v>
      </c>
      <c r="D66" s="97" t="str">
        <f>Products!D93</f>
        <v>OSFP112, QSFP112</v>
      </c>
      <c r="E66" s="262">
        <v>0</v>
      </c>
      <c r="F66" s="262">
        <v>0</v>
      </c>
      <c r="G66" s="262"/>
      <c r="H66" s="262"/>
      <c r="I66" s="262"/>
      <c r="J66" s="262"/>
      <c r="K66" s="262"/>
      <c r="L66" s="262"/>
      <c r="M66" s="262"/>
      <c r="N66" s="262"/>
      <c r="O66" s="262"/>
      <c r="P66" s="47" t="str">
        <f t="shared" si="0"/>
        <v>400G SR4_100 m_OSFP112, QSFP112</v>
      </c>
    </row>
    <row r="67" spans="2:16">
      <c r="B67" s="95" t="str">
        <f>Products!B94</f>
        <v>400G DR4</v>
      </c>
      <c r="C67" s="96" t="str">
        <f>Products!C94</f>
        <v>500 m</v>
      </c>
      <c r="D67" s="97" t="str">
        <f>Products!D94</f>
        <v>OSFP, QSFP-DD, QSFP112</v>
      </c>
      <c r="E67" s="262">
        <v>0</v>
      </c>
      <c r="F67" s="262">
        <v>0</v>
      </c>
      <c r="G67" s="262"/>
      <c r="H67" s="262"/>
      <c r="I67" s="262"/>
      <c r="J67" s="262"/>
      <c r="K67" s="262"/>
      <c r="L67" s="262"/>
      <c r="M67" s="262"/>
      <c r="N67" s="262"/>
      <c r="O67" s="262"/>
      <c r="P67" s="47" t="str">
        <f t="shared" si="0"/>
        <v>400G DR4_500 m_OSFP, QSFP-DD, QSFP112</v>
      </c>
    </row>
    <row r="68" spans="2:16">
      <c r="B68" s="95" t="str">
        <f>Products!B95</f>
        <v>2x(200G FR4)</v>
      </c>
      <c r="C68" s="96" t="str">
        <f>Products!C95</f>
        <v>2 km</v>
      </c>
      <c r="D68" s="97" t="str">
        <f>Products!D95</f>
        <v>OSFP</v>
      </c>
      <c r="E68" s="262">
        <v>0</v>
      </c>
      <c r="F68" s="262">
        <v>0</v>
      </c>
      <c r="G68" s="262"/>
      <c r="H68" s="262"/>
      <c r="I68" s="262"/>
      <c r="J68" s="262"/>
      <c r="K68" s="262"/>
      <c r="L68" s="262"/>
      <c r="M68" s="262"/>
      <c r="N68" s="262"/>
      <c r="O68" s="262"/>
      <c r="P68" s="47" t="str">
        <f t="shared" si="0"/>
        <v>2x(200G FR4)_2 km_OSFP</v>
      </c>
    </row>
    <row r="69" spans="2:16">
      <c r="B69" s="95" t="str">
        <f>Products!B96</f>
        <v>400G FR4</v>
      </c>
      <c r="C69" s="96" t="str">
        <f>Products!C96</f>
        <v>2 km</v>
      </c>
      <c r="D69" s="97" t="str">
        <f>Products!D96</f>
        <v>OSFP, QSFP-DD, QSFP112</v>
      </c>
      <c r="E69" s="262">
        <v>0</v>
      </c>
      <c r="F69" s="262">
        <v>0</v>
      </c>
      <c r="G69" s="262"/>
      <c r="H69" s="262"/>
      <c r="I69" s="262"/>
      <c r="J69" s="262"/>
      <c r="K69" s="262"/>
      <c r="L69" s="262"/>
      <c r="M69" s="262"/>
      <c r="N69" s="262"/>
      <c r="O69" s="262"/>
      <c r="P69" s="47" t="str">
        <f t="shared" si="0"/>
        <v>400G FR4_2 km_OSFP, QSFP-DD, QSFP112</v>
      </c>
    </row>
    <row r="70" spans="2:16">
      <c r="B70" s="95" t="str">
        <f>Products!B97</f>
        <v>400G LR8, LR4</v>
      </c>
      <c r="C70" s="96" t="str">
        <f>Products!C97</f>
        <v>10 km</v>
      </c>
      <c r="D70" s="97" t="str">
        <f>Products!D97</f>
        <v>OSFP, QSFP-DD, QSFP112</v>
      </c>
      <c r="E70" s="262">
        <v>0</v>
      </c>
      <c r="F70" s="262">
        <v>82</v>
      </c>
      <c r="G70" s="262"/>
      <c r="H70" s="262"/>
      <c r="I70" s="262"/>
      <c r="J70" s="262"/>
      <c r="K70" s="262"/>
      <c r="L70" s="262"/>
      <c r="M70" s="262"/>
      <c r="N70" s="262"/>
      <c r="O70" s="262"/>
      <c r="P70" s="47" t="str">
        <f t="shared" si="0"/>
        <v>400G LR8, LR4_10 km_OSFP, QSFP-DD, QSFP112</v>
      </c>
    </row>
    <row r="71" spans="2:16">
      <c r="B71" s="91" t="str">
        <f>Products!B98</f>
        <v>400G ER4</v>
      </c>
      <c r="C71" s="92" t="str">
        <f>Products!C98</f>
        <v>40 km</v>
      </c>
      <c r="D71" s="93" t="str">
        <f>Products!D98</f>
        <v>TBD</v>
      </c>
      <c r="E71" s="263">
        <v>0</v>
      </c>
      <c r="F71" s="263">
        <v>0</v>
      </c>
      <c r="G71" s="263"/>
      <c r="H71" s="263"/>
      <c r="I71" s="263"/>
      <c r="J71" s="263"/>
      <c r="K71" s="263"/>
      <c r="L71" s="263"/>
      <c r="M71" s="263"/>
      <c r="N71" s="263"/>
      <c r="O71" s="263"/>
      <c r="P71" s="64" t="str">
        <f t="shared" si="0"/>
        <v>400G ER4_40 km_TBD</v>
      </c>
    </row>
    <row r="72" spans="2:16" s="100" customFormat="1">
      <c r="B72" s="95" t="str">
        <f>Products!B99</f>
        <v>800G SR8</v>
      </c>
      <c r="C72" s="96" t="str">
        <f>Products!C99</f>
        <v>50 m</v>
      </c>
      <c r="D72" s="97" t="str">
        <f>Products!D99</f>
        <v>OSFP, QSFP-DD800</v>
      </c>
      <c r="E72" s="262">
        <v>0</v>
      </c>
      <c r="F72" s="262">
        <v>0</v>
      </c>
      <c r="G72" s="262"/>
      <c r="H72" s="262"/>
      <c r="I72" s="262"/>
      <c r="J72" s="262"/>
      <c r="K72" s="262"/>
      <c r="L72" s="262"/>
      <c r="M72" s="262"/>
      <c r="N72" s="262"/>
      <c r="O72" s="262"/>
      <c r="P72" s="47" t="str">
        <f t="shared" si="0"/>
        <v>800G SR8_50 m_OSFP, QSFP-DD800</v>
      </c>
    </row>
    <row r="73" spans="2:16" s="100" customFormat="1">
      <c r="B73" s="95" t="str">
        <f>Products!B100</f>
        <v>800G DR8, DR4</v>
      </c>
      <c r="C73" s="96" t="str">
        <f>Products!C100</f>
        <v>500 m</v>
      </c>
      <c r="D73" s="97" t="str">
        <f>Products!D100</f>
        <v>OSFP, QSFP-DD800</v>
      </c>
      <c r="E73" s="262">
        <v>0</v>
      </c>
      <c r="F73" s="262">
        <v>0</v>
      </c>
      <c r="G73" s="262"/>
      <c r="H73" s="262"/>
      <c r="I73" s="262"/>
      <c r="J73" s="262"/>
      <c r="K73" s="262"/>
      <c r="L73" s="262"/>
      <c r="M73" s="262"/>
      <c r="N73" s="262"/>
      <c r="O73" s="262"/>
      <c r="P73" s="47" t="str">
        <f t="shared" si="0"/>
        <v>800G DR8, DR4_500 m_OSFP, QSFP-DD800</v>
      </c>
    </row>
    <row r="74" spans="2:16" s="100" customFormat="1">
      <c r="B74" s="95" t="str">
        <f>Products!B101</f>
        <v>2x(400G FR4), 800G FR4</v>
      </c>
      <c r="C74" s="96" t="str">
        <f>Products!C101</f>
        <v>2 km</v>
      </c>
      <c r="D74" s="97" t="str">
        <f>Products!D101</f>
        <v>OSFP, QSFP-DD800</v>
      </c>
      <c r="E74" s="262">
        <v>0</v>
      </c>
      <c r="F74" s="262">
        <v>0</v>
      </c>
      <c r="G74" s="262"/>
      <c r="H74" s="262"/>
      <c r="I74" s="262"/>
      <c r="J74" s="262"/>
      <c r="K74" s="262"/>
      <c r="L74" s="262"/>
      <c r="M74" s="262"/>
      <c r="N74" s="262"/>
      <c r="O74" s="262"/>
      <c r="P74" s="47" t="str">
        <f t="shared" ref="P74:P87" si="1">B74&amp;"_"&amp;C74&amp;"_"&amp;D74</f>
        <v>2x(400G FR4), 800G FR4_2 km_OSFP, QSFP-DD800</v>
      </c>
    </row>
    <row r="75" spans="2:16" s="100" customFormat="1">
      <c r="B75" s="95" t="str">
        <f>Products!B102</f>
        <v>800G LR8, LR4</v>
      </c>
      <c r="C75" s="96" t="str">
        <f>Products!C102</f>
        <v>6, 10 km</v>
      </c>
      <c r="D75" s="97" t="str">
        <f>Products!D102</f>
        <v>TBD</v>
      </c>
      <c r="E75" s="262">
        <v>0</v>
      </c>
      <c r="F75" s="262">
        <v>0</v>
      </c>
      <c r="G75" s="262"/>
      <c r="H75" s="262"/>
      <c r="I75" s="262"/>
      <c r="J75" s="262"/>
      <c r="K75" s="262"/>
      <c r="L75" s="262"/>
      <c r="M75" s="262"/>
      <c r="N75" s="262"/>
      <c r="O75" s="262"/>
      <c r="P75" s="47" t="str">
        <f t="shared" si="1"/>
        <v>800G LR8, LR4_6, 10 km_TBD</v>
      </c>
    </row>
    <row r="76" spans="2:16" s="100" customFormat="1">
      <c r="B76" s="95" t="str">
        <f>Products!B103</f>
        <v>800G ZRlite</v>
      </c>
      <c r="C76" s="96" t="str">
        <f>Products!C103</f>
        <v>10 km, 20 km</v>
      </c>
      <c r="D76" s="97" t="str">
        <f>Products!D103</f>
        <v>TBD</v>
      </c>
      <c r="E76" s="262">
        <v>0</v>
      </c>
      <c r="F76" s="262">
        <v>0</v>
      </c>
      <c r="G76" s="262"/>
      <c r="H76" s="262"/>
      <c r="I76" s="262"/>
      <c r="J76" s="262"/>
      <c r="K76" s="262"/>
      <c r="L76" s="262"/>
      <c r="M76" s="262"/>
      <c r="N76" s="262"/>
      <c r="O76" s="262"/>
      <c r="P76" s="47" t="str">
        <f t="shared" si="1"/>
        <v>800G ZRlite_10 km, 20 km_TBD</v>
      </c>
    </row>
    <row r="77" spans="2:16" s="100" customFormat="1">
      <c r="B77" s="91" t="str">
        <f>Products!B104</f>
        <v>800G ER4</v>
      </c>
      <c r="C77" s="92" t="str">
        <f>Products!C104</f>
        <v>40 km</v>
      </c>
      <c r="D77" s="93" t="str">
        <f>Products!D104</f>
        <v>TBD</v>
      </c>
      <c r="E77" s="263">
        <v>0</v>
      </c>
      <c r="F77" s="263">
        <v>0</v>
      </c>
      <c r="G77" s="263"/>
      <c r="H77" s="263"/>
      <c r="I77" s="263"/>
      <c r="J77" s="263"/>
      <c r="K77" s="263"/>
      <c r="L77" s="263"/>
      <c r="M77" s="263"/>
      <c r="N77" s="263"/>
      <c r="O77" s="263"/>
      <c r="P77" s="64" t="str">
        <f t="shared" si="1"/>
        <v>800G ER4_40 km_TBD</v>
      </c>
    </row>
    <row r="78" spans="2:16" s="100" customFormat="1">
      <c r="B78" s="95" t="str">
        <f>Products!B105</f>
        <v>1.6T SR16</v>
      </c>
      <c r="C78" s="96" t="str">
        <f>Products!C105</f>
        <v>100 m</v>
      </c>
      <c r="D78" s="97" t="str">
        <f>Products!D105</f>
        <v>OSFP-XD and TBD</v>
      </c>
      <c r="E78" s="262">
        <v>0</v>
      </c>
      <c r="F78" s="262">
        <v>0</v>
      </c>
      <c r="G78" s="262"/>
      <c r="H78" s="262"/>
      <c r="I78" s="262"/>
      <c r="J78" s="262"/>
      <c r="K78" s="262"/>
      <c r="L78" s="262"/>
      <c r="M78" s="262"/>
      <c r="N78" s="262"/>
      <c r="O78" s="262"/>
      <c r="P78" s="47" t="str">
        <f t="shared" si="1"/>
        <v>1.6T SR16_100 m_OSFP-XD and TBD</v>
      </c>
    </row>
    <row r="79" spans="2:16" s="100" customFormat="1">
      <c r="B79" s="95" t="str">
        <f>Products!B106</f>
        <v>1.6T DR8</v>
      </c>
      <c r="C79" s="96" t="str">
        <f>Products!C106</f>
        <v>500 m</v>
      </c>
      <c r="D79" s="97" t="str">
        <f>Products!D106</f>
        <v>OSFP-XD and TBD</v>
      </c>
      <c r="E79" s="262">
        <v>0</v>
      </c>
      <c r="F79" s="262">
        <v>0</v>
      </c>
      <c r="G79" s="262"/>
      <c r="H79" s="262"/>
      <c r="I79" s="262"/>
      <c r="J79" s="262"/>
      <c r="K79" s="262"/>
      <c r="L79" s="262"/>
      <c r="M79" s="262"/>
      <c r="N79" s="262"/>
      <c r="O79" s="262"/>
      <c r="P79" s="47" t="str">
        <f t="shared" si="1"/>
        <v>1.6T DR8_500 m_OSFP-XD and TBD</v>
      </c>
    </row>
    <row r="80" spans="2:16" s="100" customFormat="1">
      <c r="B80" s="95" t="str">
        <f>Products!B107</f>
        <v>1.6T FR8</v>
      </c>
      <c r="C80" s="96" t="str">
        <f>Products!C107</f>
        <v>2 km</v>
      </c>
      <c r="D80" s="97" t="str">
        <f>Products!D107</f>
        <v>OSFP-XD and TBD</v>
      </c>
      <c r="E80" s="262">
        <v>0</v>
      </c>
      <c r="F80" s="262">
        <v>0</v>
      </c>
      <c r="G80" s="262"/>
      <c r="H80" s="262"/>
      <c r="I80" s="262"/>
      <c r="J80" s="262"/>
      <c r="K80" s="262"/>
      <c r="L80" s="262"/>
      <c r="M80" s="262"/>
      <c r="N80" s="262"/>
      <c r="O80" s="262"/>
      <c r="P80" s="47" t="str">
        <f t="shared" si="1"/>
        <v>1.6T FR8_2 km_OSFP-XD and TBD</v>
      </c>
    </row>
    <row r="81" spans="2:16" s="100" customFormat="1">
      <c r="B81" s="95" t="str">
        <f>Products!B108</f>
        <v>1.6T LR8</v>
      </c>
      <c r="C81" s="96" t="str">
        <f>Products!C108</f>
        <v>10 km</v>
      </c>
      <c r="D81" s="97" t="str">
        <f>Products!D108</f>
        <v>OSFP-XD and TBD</v>
      </c>
      <c r="E81" s="262">
        <v>0</v>
      </c>
      <c r="F81" s="262">
        <v>0</v>
      </c>
      <c r="G81" s="262"/>
      <c r="H81" s="262"/>
      <c r="I81" s="262"/>
      <c r="J81" s="262"/>
      <c r="K81" s="262"/>
      <c r="L81" s="262"/>
      <c r="M81" s="262"/>
      <c r="N81" s="262"/>
      <c r="O81" s="262"/>
      <c r="P81" s="47" t="str">
        <f t="shared" si="1"/>
        <v>1.6T LR8_10 km_OSFP-XD and TBD</v>
      </c>
    </row>
    <row r="82" spans="2:16" s="100" customFormat="1">
      <c r="B82" s="91" t="str">
        <f>Products!B109</f>
        <v>1.6T ER8</v>
      </c>
      <c r="C82" s="92" t="str">
        <f>Products!C109</f>
        <v>&gt;10 km</v>
      </c>
      <c r="D82" s="93" t="str">
        <f>Products!D109</f>
        <v>OSFP-XD and TBD</v>
      </c>
      <c r="E82" s="263">
        <v>0</v>
      </c>
      <c r="F82" s="263">
        <v>0</v>
      </c>
      <c r="G82" s="263"/>
      <c r="H82" s="263"/>
      <c r="I82" s="263"/>
      <c r="J82" s="263"/>
      <c r="K82" s="263"/>
      <c r="L82" s="263"/>
      <c r="M82" s="263"/>
      <c r="N82" s="263"/>
      <c r="O82" s="263"/>
      <c r="P82" s="64" t="str">
        <f t="shared" si="1"/>
        <v>1.6T ER8_&gt;10 km_OSFP-XD and TBD</v>
      </c>
    </row>
    <row r="83" spans="2:16" s="100" customFormat="1">
      <c r="B83" s="95" t="str">
        <f>Products!B110</f>
        <v>3.2T SR</v>
      </c>
      <c r="C83" s="96" t="str">
        <f>Products!C110</f>
        <v>100 m</v>
      </c>
      <c r="D83" s="97" t="str">
        <f>Products!D110</f>
        <v>OSFP-XD and TBD</v>
      </c>
      <c r="E83" s="262">
        <v>0</v>
      </c>
      <c r="F83" s="262">
        <v>0</v>
      </c>
      <c r="G83" s="262"/>
      <c r="H83" s="262"/>
      <c r="I83" s="262"/>
      <c r="J83" s="262"/>
      <c r="K83" s="262"/>
      <c r="L83" s="262"/>
      <c r="M83" s="262"/>
      <c r="N83" s="262"/>
      <c r="O83" s="262"/>
      <c r="P83" s="47" t="str">
        <f t="shared" si="1"/>
        <v>3.2T SR_100 m_OSFP-XD and TBD</v>
      </c>
    </row>
    <row r="84" spans="2:16" s="100" customFormat="1">
      <c r="B84" s="95" t="str">
        <f>Products!B111</f>
        <v>3.2T DR</v>
      </c>
      <c r="C84" s="96" t="str">
        <f>Products!C111</f>
        <v>500 m</v>
      </c>
      <c r="D84" s="97" t="str">
        <f>Products!D111</f>
        <v>OSFP-XD and TBD</v>
      </c>
      <c r="E84" s="262">
        <v>0</v>
      </c>
      <c r="F84" s="262">
        <v>0</v>
      </c>
      <c r="G84" s="262"/>
      <c r="H84" s="262"/>
      <c r="I84" s="262"/>
      <c r="J84" s="262"/>
      <c r="K84" s="262"/>
      <c r="L84" s="262"/>
      <c r="M84" s="262"/>
      <c r="N84" s="262"/>
      <c r="O84" s="262"/>
      <c r="P84" s="47" t="str">
        <f t="shared" si="1"/>
        <v>3.2T DR_500 m_OSFP-XD and TBD</v>
      </c>
    </row>
    <row r="85" spans="2:16" s="100" customFormat="1">
      <c r="B85" s="95" t="str">
        <f>Products!B112</f>
        <v>3.2T FR</v>
      </c>
      <c r="C85" s="96" t="str">
        <f>Products!C112</f>
        <v>2 km</v>
      </c>
      <c r="D85" s="97" t="str">
        <f>Products!D112</f>
        <v>OSFP-XD and TBD</v>
      </c>
      <c r="E85" s="262">
        <v>0</v>
      </c>
      <c r="F85" s="262">
        <v>0</v>
      </c>
      <c r="G85" s="262"/>
      <c r="H85" s="262"/>
      <c r="I85" s="262"/>
      <c r="J85" s="262"/>
      <c r="K85" s="262"/>
      <c r="L85" s="262"/>
      <c r="M85" s="262"/>
      <c r="N85" s="262"/>
      <c r="O85" s="262"/>
      <c r="P85" s="47" t="str">
        <f t="shared" si="1"/>
        <v>3.2T FR_2 km_OSFP-XD and TBD</v>
      </c>
    </row>
    <row r="86" spans="2:16" s="100" customFormat="1">
      <c r="B86" s="95" t="str">
        <f>Products!B113</f>
        <v>3.2T LR</v>
      </c>
      <c r="C86" s="96" t="str">
        <f>Products!C113</f>
        <v>10 km</v>
      </c>
      <c r="D86" s="97" t="str">
        <f>Products!D113</f>
        <v>OSFP-XD and TBD</v>
      </c>
      <c r="E86" s="262">
        <v>0</v>
      </c>
      <c r="F86" s="262">
        <v>0</v>
      </c>
      <c r="G86" s="262"/>
      <c r="H86" s="262"/>
      <c r="I86" s="262"/>
      <c r="J86" s="262"/>
      <c r="K86" s="262"/>
      <c r="L86" s="262"/>
      <c r="M86" s="262"/>
      <c r="N86" s="262"/>
      <c r="O86" s="262"/>
      <c r="P86" s="47" t="str">
        <f t="shared" si="1"/>
        <v>3.2T LR_10 km_OSFP-XD and TBD</v>
      </c>
    </row>
    <row r="87" spans="2:16" s="100" customFormat="1">
      <c r="B87" s="95" t="str">
        <f>Products!B114</f>
        <v>3.2T ER</v>
      </c>
      <c r="C87" s="96" t="str">
        <f>Products!C114</f>
        <v>&gt;10 km</v>
      </c>
      <c r="D87" s="97" t="str">
        <f>Products!D114</f>
        <v>OSFP-XD and TBD</v>
      </c>
      <c r="E87" s="262">
        <v>0</v>
      </c>
      <c r="F87" s="262">
        <v>0</v>
      </c>
      <c r="G87" s="262"/>
      <c r="H87" s="262"/>
      <c r="I87" s="262"/>
      <c r="J87" s="262"/>
      <c r="K87" s="262"/>
      <c r="L87" s="262"/>
      <c r="M87" s="262"/>
      <c r="N87" s="262"/>
      <c r="O87" s="262"/>
      <c r="P87" s="47" t="str">
        <f t="shared" si="1"/>
        <v>3.2T ER_&gt;10 km_OSFP-XD and TBD</v>
      </c>
    </row>
    <row r="88" spans="2:16" s="100" customFormat="1">
      <c r="B88" s="91"/>
      <c r="C88" s="92"/>
      <c r="D88" s="93"/>
      <c r="E88" s="263"/>
      <c r="F88" s="263"/>
      <c r="G88" s="263"/>
      <c r="H88" s="263"/>
      <c r="I88" s="263"/>
      <c r="J88" s="263"/>
      <c r="K88" s="263"/>
      <c r="L88" s="263"/>
      <c r="M88" s="263"/>
      <c r="N88" s="263"/>
      <c r="O88" s="263"/>
      <c r="P88" s="64"/>
    </row>
    <row r="89" spans="2:16">
      <c r="B89" s="51" t="s">
        <v>20</v>
      </c>
      <c r="C89" s="52"/>
      <c r="D89" s="53"/>
      <c r="E89" s="101">
        <f t="shared" ref="E89:O89" si="2">SUM(E9:E88)</f>
        <v>4496664.3535132017</v>
      </c>
      <c r="F89" s="101">
        <f t="shared" si="2"/>
        <v>3902185.0984692555</v>
      </c>
      <c r="G89" s="101">
        <f t="shared" si="2"/>
        <v>0</v>
      </c>
      <c r="H89" s="101">
        <f t="shared" si="2"/>
        <v>0</v>
      </c>
      <c r="I89" s="101">
        <f t="shared" si="2"/>
        <v>0</v>
      </c>
      <c r="J89" s="101">
        <f t="shared" si="2"/>
        <v>0</v>
      </c>
      <c r="K89" s="101">
        <f t="shared" si="2"/>
        <v>0</v>
      </c>
      <c r="L89" s="101">
        <f t="shared" si="2"/>
        <v>0</v>
      </c>
      <c r="M89" s="101">
        <f t="shared" si="2"/>
        <v>0</v>
      </c>
      <c r="N89" s="101">
        <f t="shared" si="2"/>
        <v>0</v>
      </c>
      <c r="O89" s="101">
        <f t="shared" si="2"/>
        <v>0</v>
      </c>
      <c r="P89" s="51" t="s">
        <v>20</v>
      </c>
    </row>
    <row r="92" spans="2:16" ht="21">
      <c r="B92" s="14" t="s">
        <v>19</v>
      </c>
      <c r="C92" s="14"/>
      <c r="D92" s="14"/>
    </row>
    <row r="93" spans="2:16">
      <c r="B93" s="85" t="e">
        <f>#REF!</f>
        <v>#REF!</v>
      </c>
      <c r="C93" s="85" t="e">
        <f>#REF!</f>
        <v>#REF!</v>
      </c>
      <c r="D93" s="85" t="e">
        <f>#REF!</f>
        <v>#REF!</v>
      </c>
      <c r="E93" s="104">
        <v>2016</v>
      </c>
      <c r="F93" s="104">
        <v>2017</v>
      </c>
      <c r="G93" s="104">
        <v>2018</v>
      </c>
      <c r="H93" s="104">
        <v>2019</v>
      </c>
      <c r="I93" s="104">
        <v>2020</v>
      </c>
      <c r="J93" s="104">
        <v>2021</v>
      </c>
      <c r="K93" s="104">
        <v>2022</v>
      </c>
      <c r="L93" s="104">
        <v>2023</v>
      </c>
      <c r="M93" s="104">
        <v>2024</v>
      </c>
      <c r="N93" s="104">
        <v>2025</v>
      </c>
      <c r="O93" s="104">
        <v>2026</v>
      </c>
    </row>
    <row r="94" spans="2:16">
      <c r="B94" s="87" t="str">
        <f t="shared" ref="B94:D113" si="3">B9</f>
        <v>1G</v>
      </c>
      <c r="C94" s="88" t="str">
        <f t="shared" si="3"/>
        <v>500 m</v>
      </c>
      <c r="D94" s="89" t="str">
        <f t="shared" si="3"/>
        <v>SFP</v>
      </c>
      <c r="E94" s="105">
        <f>'Products x speed'!E105</f>
        <v>10.178233731377588</v>
      </c>
      <c r="F94" s="105">
        <f>'Products x speed'!F105</f>
        <v>8.9746992158904888</v>
      </c>
      <c r="G94" s="105"/>
      <c r="H94" s="105"/>
      <c r="I94" s="105"/>
      <c r="J94" s="105"/>
      <c r="K94" s="105"/>
      <c r="L94" s="105"/>
      <c r="M94" s="105"/>
      <c r="N94" s="105"/>
      <c r="O94" s="105"/>
      <c r="P94" s="487"/>
    </row>
    <row r="95" spans="2:16">
      <c r="B95" s="95" t="str">
        <f t="shared" si="3"/>
        <v>1G</v>
      </c>
      <c r="C95" s="96" t="str">
        <f t="shared" si="3"/>
        <v>10 km</v>
      </c>
      <c r="D95" s="97" t="str">
        <f t="shared" si="3"/>
        <v>SFP</v>
      </c>
      <c r="E95" s="107">
        <f>'Products x speed'!E106</f>
        <v>11.313150064475876</v>
      </c>
      <c r="F95" s="107">
        <f>'Products x speed'!F106</f>
        <v>9.7279618337487541</v>
      </c>
      <c r="G95" s="107"/>
      <c r="H95" s="107"/>
      <c r="I95" s="107"/>
      <c r="J95" s="107"/>
      <c r="K95" s="107"/>
      <c r="L95" s="107"/>
      <c r="M95" s="107"/>
      <c r="N95" s="107"/>
      <c r="O95" s="107"/>
      <c r="P95" s="487"/>
    </row>
    <row r="96" spans="2:16">
      <c r="B96" s="95" t="str">
        <f t="shared" si="3"/>
        <v>1G</v>
      </c>
      <c r="C96" s="96" t="str">
        <f t="shared" si="3"/>
        <v>40 km</v>
      </c>
      <c r="D96" s="97" t="str">
        <f t="shared" si="3"/>
        <v>SFP</v>
      </c>
      <c r="E96" s="107">
        <f>'Products x speed'!E107</f>
        <v>14.223250006112197</v>
      </c>
      <c r="F96" s="107">
        <f>'Products x speed'!F107</f>
        <v>11.270556706605298</v>
      </c>
      <c r="G96" s="107"/>
      <c r="H96" s="107"/>
      <c r="I96" s="107"/>
      <c r="J96" s="107"/>
      <c r="K96" s="107"/>
      <c r="L96" s="107"/>
      <c r="M96" s="107"/>
      <c r="N96" s="107"/>
      <c r="O96" s="107"/>
      <c r="P96" s="487"/>
    </row>
    <row r="97" spans="2:16">
      <c r="B97" s="95" t="str">
        <f t="shared" si="3"/>
        <v>1G</v>
      </c>
      <c r="C97" s="96" t="str">
        <f t="shared" si="3"/>
        <v>80 km</v>
      </c>
      <c r="D97" s="96" t="str">
        <f t="shared" si="3"/>
        <v>SFP</v>
      </c>
      <c r="E97" s="107">
        <f>'Products x speed'!E108</f>
        <v>47.263945249069465</v>
      </c>
      <c r="F97" s="107">
        <f>'Products x speed'!F108</f>
        <v>42.349942382451964</v>
      </c>
      <c r="G97" s="107"/>
      <c r="H97" s="107"/>
      <c r="I97" s="107"/>
      <c r="J97" s="107"/>
      <c r="K97" s="107"/>
      <c r="L97" s="107"/>
      <c r="M97" s="107"/>
      <c r="N97" s="107"/>
      <c r="O97" s="107"/>
      <c r="P97" s="487"/>
    </row>
    <row r="98" spans="2:16">
      <c r="B98" s="91" t="str">
        <f t="shared" si="3"/>
        <v>1G &amp; Fast Ethernet</v>
      </c>
      <c r="C98" s="92" t="str">
        <f t="shared" si="3"/>
        <v>Various</v>
      </c>
      <c r="D98" s="92" t="str">
        <f t="shared" si="3"/>
        <v>Legacy/discontinued</v>
      </c>
      <c r="E98" s="106">
        <f>'Products x speed'!E109</f>
        <v>18</v>
      </c>
      <c r="F98" s="106"/>
      <c r="G98" s="106"/>
      <c r="H98" s="106"/>
      <c r="I98" s="106"/>
      <c r="J98" s="106"/>
      <c r="K98" s="106"/>
      <c r="L98" s="106"/>
      <c r="M98" s="106"/>
      <c r="N98" s="106"/>
      <c r="O98" s="106"/>
      <c r="P98" s="487"/>
    </row>
    <row r="99" spans="2:16">
      <c r="B99" s="95" t="str">
        <f t="shared" si="3"/>
        <v>10G</v>
      </c>
      <c r="C99" s="96" t="str">
        <f t="shared" si="3"/>
        <v>300 m</v>
      </c>
      <c r="D99" s="96" t="str">
        <f t="shared" si="3"/>
        <v>XFP</v>
      </c>
      <c r="E99" s="107">
        <f>'Products x speed'!E110</f>
        <v>65.084287545305614</v>
      </c>
      <c r="F99" s="107">
        <f>'Products x speed'!F110</f>
        <v>58.749084731162213</v>
      </c>
      <c r="G99" s="107"/>
      <c r="H99" s="107"/>
      <c r="I99" s="107"/>
      <c r="J99" s="107"/>
      <c r="K99" s="107"/>
      <c r="L99" s="107"/>
      <c r="M99" s="107"/>
      <c r="N99" s="107"/>
      <c r="O99" s="107"/>
      <c r="P99" s="487"/>
    </row>
    <row r="100" spans="2:16">
      <c r="B100" s="95" t="str">
        <f t="shared" si="3"/>
        <v>10G</v>
      </c>
      <c r="C100" s="96" t="str">
        <f t="shared" si="3"/>
        <v>300 m</v>
      </c>
      <c r="D100" s="96" t="str">
        <f t="shared" si="3"/>
        <v>SFP+</v>
      </c>
      <c r="E100" s="107">
        <f>'Products x speed'!E111</f>
        <v>18.016278339273537</v>
      </c>
      <c r="F100" s="107">
        <f>'Products x speed'!F111</f>
        <v>15.097691372748406</v>
      </c>
      <c r="G100" s="107"/>
      <c r="H100" s="107"/>
      <c r="I100" s="107"/>
      <c r="J100" s="107"/>
      <c r="K100" s="107"/>
      <c r="L100" s="107"/>
      <c r="M100" s="107"/>
      <c r="N100" s="107"/>
      <c r="O100" s="107"/>
      <c r="P100" s="487"/>
    </row>
    <row r="101" spans="2:16">
      <c r="B101" s="95" t="str">
        <f t="shared" si="3"/>
        <v>10G LRM</v>
      </c>
      <c r="C101" s="96" t="str">
        <f t="shared" si="3"/>
        <v>220 m</v>
      </c>
      <c r="D101" s="96" t="str">
        <f t="shared" si="3"/>
        <v>SFP+</v>
      </c>
      <c r="E101" s="107">
        <f>'Products x speed'!E112</f>
        <v>78.390761412913719</v>
      </c>
      <c r="F101" s="107">
        <f>'Products x speed'!F112</f>
        <v>66.716018564745482</v>
      </c>
      <c r="G101" s="107"/>
      <c r="H101" s="107"/>
      <c r="I101" s="107"/>
      <c r="J101" s="107"/>
      <c r="K101" s="107"/>
      <c r="L101" s="107"/>
      <c r="M101" s="107"/>
      <c r="N101" s="107"/>
      <c r="O101" s="107"/>
      <c r="P101" s="487"/>
    </row>
    <row r="102" spans="2:16">
      <c r="B102" s="95" t="str">
        <f t="shared" si="3"/>
        <v>10G</v>
      </c>
      <c r="C102" s="96" t="str">
        <f t="shared" si="3"/>
        <v>10 km</v>
      </c>
      <c r="D102" s="96" t="str">
        <f t="shared" si="3"/>
        <v>XFP</v>
      </c>
      <c r="E102" s="107">
        <f>'Products x speed'!E113</f>
        <v>67.576972221049004</v>
      </c>
      <c r="F102" s="107">
        <f>'Products x speed'!F113</f>
        <v>51.799368807617711</v>
      </c>
      <c r="G102" s="107"/>
      <c r="H102" s="107"/>
      <c r="I102" s="107"/>
      <c r="J102" s="107"/>
      <c r="K102" s="107"/>
      <c r="L102" s="107"/>
      <c r="M102" s="107"/>
      <c r="N102" s="107"/>
      <c r="O102" s="107"/>
      <c r="P102" s="487"/>
    </row>
    <row r="103" spans="2:16">
      <c r="B103" s="95" t="str">
        <f t="shared" si="3"/>
        <v>10G</v>
      </c>
      <c r="C103" s="96" t="str">
        <f t="shared" si="3"/>
        <v>10 km</v>
      </c>
      <c r="D103" s="96" t="str">
        <f t="shared" si="3"/>
        <v>SFP+</v>
      </c>
      <c r="E103" s="108">
        <f>'Products x speed'!E114</f>
        <v>38.465958311427336</v>
      </c>
      <c r="F103" s="108">
        <f>'Products x speed'!F114</f>
        <v>30.5</v>
      </c>
      <c r="G103" s="108"/>
      <c r="H103" s="108"/>
      <c r="I103" s="108"/>
      <c r="J103" s="108"/>
      <c r="K103" s="108"/>
      <c r="L103" s="108"/>
      <c r="M103" s="108"/>
      <c r="N103" s="108"/>
      <c r="O103" s="108"/>
      <c r="P103" s="487"/>
    </row>
    <row r="104" spans="2:16">
      <c r="B104" s="95" t="str">
        <f t="shared" si="3"/>
        <v>10G</v>
      </c>
      <c r="C104" s="96" t="str">
        <f t="shared" si="3"/>
        <v>40 km</v>
      </c>
      <c r="D104" s="96" t="str">
        <f t="shared" si="3"/>
        <v>XFP</v>
      </c>
      <c r="E104" s="107">
        <f>'Products x speed'!E115</f>
        <v>202.96860771881492</v>
      </c>
      <c r="F104" s="107">
        <f>'Products x speed'!F115</f>
        <v>139.47449702400385</v>
      </c>
      <c r="G104" s="107"/>
      <c r="H104" s="107"/>
      <c r="I104" s="107"/>
      <c r="J104" s="107"/>
      <c r="K104" s="107"/>
      <c r="L104" s="107"/>
      <c r="M104" s="107"/>
      <c r="N104" s="107"/>
      <c r="O104" s="107"/>
      <c r="P104" s="487"/>
    </row>
    <row r="105" spans="2:16">
      <c r="B105" s="95" t="str">
        <f t="shared" si="3"/>
        <v>10G</v>
      </c>
      <c r="C105" s="96" t="str">
        <f t="shared" si="3"/>
        <v>40 km</v>
      </c>
      <c r="D105" s="96" t="str">
        <f t="shared" si="3"/>
        <v>SFP+</v>
      </c>
      <c r="E105" s="107">
        <f>'Products x speed'!E116</f>
        <v>191.20778168956542</v>
      </c>
      <c r="F105" s="107">
        <f>'Products x speed'!F116</f>
        <v>155.78241680453388</v>
      </c>
      <c r="G105" s="107"/>
      <c r="H105" s="107"/>
      <c r="I105" s="107"/>
      <c r="J105" s="107"/>
      <c r="K105" s="107"/>
      <c r="L105" s="107"/>
      <c r="M105" s="107"/>
      <c r="N105" s="107"/>
      <c r="O105" s="107"/>
      <c r="P105" s="487"/>
    </row>
    <row r="106" spans="2:16">
      <c r="B106" s="95" t="str">
        <f t="shared" si="3"/>
        <v>10G</v>
      </c>
      <c r="C106" s="96" t="str">
        <f t="shared" si="3"/>
        <v>80 km</v>
      </c>
      <c r="D106" s="96" t="str">
        <f t="shared" si="3"/>
        <v>XFP</v>
      </c>
      <c r="E106" s="107">
        <f>'Products x speed'!E117</f>
        <v>272.0748723385496</v>
      </c>
      <c r="F106" s="107">
        <f>'Products x speed'!F117</f>
        <v>279.05568350167476</v>
      </c>
      <c r="G106" s="107"/>
      <c r="H106" s="107"/>
      <c r="I106" s="107"/>
      <c r="J106" s="107"/>
      <c r="K106" s="107"/>
      <c r="L106" s="107"/>
      <c r="M106" s="107"/>
      <c r="N106" s="107"/>
      <c r="O106" s="107"/>
      <c r="P106" s="487"/>
    </row>
    <row r="107" spans="2:16">
      <c r="B107" s="95" t="str">
        <f t="shared" si="3"/>
        <v>10G</v>
      </c>
      <c r="C107" s="96" t="str">
        <f t="shared" si="3"/>
        <v>80 km</v>
      </c>
      <c r="D107" s="96" t="str">
        <f t="shared" si="3"/>
        <v>SFP+</v>
      </c>
      <c r="E107" s="107">
        <f>'Products x speed'!E118</f>
        <v>362.31733736347383</v>
      </c>
      <c r="F107" s="107">
        <f>'Products x speed'!F118</f>
        <v>296.14130230693672</v>
      </c>
      <c r="G107" s="107"/>
      <c r="H107" s="107"/>
      <c r="I107" s="107"/>
      <c r="J107" s="107"/>
      <c r="K107" s="107"/>
      <c r="L107" s="107"/>
      <c r="M107" s="107"/>
      <c r="N107" s="107"/>
      <c r="O107" s="107"/>
      <c r="P107" s="487"/>
    </row>
    <row r="108" spans="2:16">
      <c r="B108" s="95" t="str">
        <f t="shared" si="3"/>
        <v>10G</v>
      </c>
      <c r="C108" s="96" t="str">
        <f t="shared" si="3"/>
        <v>Various</v>
      </c>
      <c r="D108" s="96" t="str">
        <f t="shared" si="3"/>
        <v>Legacy/discontinued</v>
      </c>
      <c r="E108" s="107">
        <f>'Products x speed'!E119</f>
        <v>99.093186017554928</v>
      </c>
      <c r="F108" s="107">
        <f>'Products x speed'!F119</f>
        <v>94.281145957499305</v>
      </c>
      <c r="G108" s="107"/>
      <c r="H108" s="107"/>
      <c r="I108" s="107"/>
      <c r="J108" s="107"/>
      <c r="K108" s="107"/>
      <c r="L108" s="107"/>
      <c r="M108" s="107"/>
      <c r="N108" s="107"/>
      <c r="O108" s="107"/>
      <c r="P108" s="487"/>
    </row>
    <row r="109" spans="2:16">
      <c r="B109" s="87" t="str">
        <f t="shared" si="3"/>
        <v>25G SR, eSR</v>
      </c>
      <c r="C109" s="88" t="str">
        <f t="shared" si="3"/>
        <v>100 - 300 m</v>
      </c>
      <c r="D109" s="88" t="str">
        <f t="shared" si="3"/>
        <v>SFP28</v>
      </c>
      <c r="E109" s="105">
        <f>'Products x speed'!E120</f>
        <v>187.14315701091519</v>
      </c>
      <c r="F109" s="105">
        <f>'Products x speed'!F120</f>
        <v>141.11071819746516</v>
      </c>
      <c r="G109" s="105"/>
      <c r="H109" s="105"/>
      <c r="I109" s="105"/>
      <c r="J109" s="105"/>
      <c r="K109" s="105"/>
      <c r="L109" s="105"/>
      <c r="M109" s="105"/>
      <c r="N109" s="105"/>
      <c r="O109" s="105"/>
      <c r="P109" s="487"/>
    </row>
    <row r="110" spans="2:16">
      <c r="B110" s="95" t="str">
        <f t="shared" si="3"/>
        <v>25G LR</v>
      </c>
      <c r="C110" s="96" t="str">
        <f t="shared" si="3"/>
        <v>10 km</v>
      </c>
      <c r="D110" s="96" t="str">
        <f t="shared" si="3"/>
        <v>SFP28</v>
      </c>
      <c r="E110" s="107">
        <f>'Products x speed'!E121</f>
        <v>456.24032541776609</v>
      </c>
      <c r="F110" s="107">
        <f>'Products x speed'!F121</f>
        <v>324.10355668962507</v>
      </c>
      <c r="G110" s="107"/>
      <c r="H110" s="107"/>
      <c r="I110" s="107"/>
      <c r="J110" s="107"/>
      <c r="K110" s="107"/>
      <c r="L110" s="107"/>
      <c r="M110" s="107"/>
      <c r="N110" s="107"/>
      <c r="O110" s="107"/>
      <c r="P110" s="487"/>
    </row>
    <row r="111" spans="2:16">
      <c r="B111" s="91" t="str">
        <f t="shared" si="3"/>
        <v>25G ER</v>
      </c>
      <c r="C111" s="92" t="str">
        <f t="shared" si="3"/>
        <v>40 km</v>
      </c>
      <c r="D111" s="92" t="str">
        <f t="shared" si="3"/>
        <v>SFP28</v>
      </c>
      <c r="E111" s="106" t="str">
        <f>'Products x speed'!E122</f>
        <v/>
      </c>
      <c r="F111" s="106" t="str">
        <f>'Products x speed'!F122</f>
        <v/>
      </c>
      <c r="G111" s="106"/>
      <c r="H111" s="106"/>
      <c r="I111" s="106"/>
      <c r="J111" s="106"/>
      <c r="K111" s="106"/>
      <c r="L111" s="106"/>
      <c r="M111" s="106"/>
      <c r="N111" s="106"/>
      <c r="O111" s="106"/>
      <c r="P111" s="487"/>
    </row>
    <row r="112" spans="2:16">
      <c r="B112" s="87" t="str">
        <f t="shared" si="3"/>
        <v>40G SR4</v>
      </c>
      <c r="C112" s="88" t="str">
        <f t="shared" si="3"/>
        <v>100 m</v>
      </c>
      <c r="D112" s="89" t="str">
        <f t="shared" si="3"/>
        <v>QSFP+</v>
      </c>
      <c r="E112" s="105">
        <f>'Products x speed'!E123</f>
        <v>96.595063887564976</v>
      </c>
      <c r="F112" s="105">
        <f>'Products x speed'!F123</f>
        <v>80.379797575925679</v>
      </c>
      <c r="G112" s="105"/>
      <c r="H112" s="105"/>
      <c r="I112" s="105"/>
      <c r="J112" s="105"/>
      <c r="K112" s="105"/>
      <c r="L112" s="105"/>
      <c r="M112" s="105"/>
      <c r="N112" s="105"/>
      <c r="O112" s="105"/>
      <c r="P112" s="487"/>
    </row>
    <row r="113" spans="2:16">
      <c r="B113" s="95" t="str">
        <f t="shared" si="3"/>
        <v>40G MM duplex</v>
      </c>
      <c r="C113" s="96" t="str">
        <f t="shared" si="3"/>
        <v>100 m</v>
      </c>
      <c r="D113" s="97" t="str">
        <f t="shared" si="3"/>
        <v>QSFP+</v>
      </c>
      <c r="E113" s="107">
        <f>'Products x speed'!E124</f>
        <v>250</v>
      </c>
      <c r="F113" s="107">
        <f>'Products x speed'!F124</f>
        <v>240</v>
      </c>
      <c r="G113" s="107"/>
      <c r="H113" s="107"/>
      <c r="I113" s="107"/>
      <c r="J113" s="107"/>
      <c r="K113" s="107"/>
      <c r="L113" s="107"/>
      <c r="M113" s="107"/>
      <c r="N113" s="107"/>
      <c r="O113" s="107"/>
      <c r="P113" s="487"/>
    </row>
    <row r="114" spans="2:16">
      <c r="B114" s="95" t="str">
        <f t="shared" ref="B114:D133" si="4">B29</f>
        <v>40G eSR4</v>
      </c>
      <c r="C114" s="96" t="str">
        <f t="shared" si="4"/>
        <v>300 m</v>
      </c>
      <c r="D114" s="97" t="str">
        <f t="shared" si="4"/>
        <v>QSFP+</v>
      </c>
      <c r="E114" s="107">
        <f>'Products x speed'!E125</f>
        <v>106.66614587912188</v>
      </c>
      <c r="F114" s="107">
        <f>'Products x speed'!F125</f>
        <v>80.99928194026171</v>
      </c>
      <c r="G114" s="107"/>
      <c r="H114" s="107"/>
      <c r="I114" s="107"/>
      <c r="J114" s="107"/>
      <c r="K114" s="107"/>
      <c r="L114" s="107"/>
      <c r="M114" s="107"/>
      <c r="N114" s="107"/>
      <c r="O114" s="107"/>
      <c r="P114" s="487"/>
    </row>
    <row r="115" spans="2:16">
      <c r="B115" s="95" t="str">
        <f t="shared" si="4"/>
        <v>40 G PSM4</v>
      </c>
      <c r="C115" s="96" t="str">
        <f t="shared" si="4"/>
        <v>500 m</v>
      </c>
      <c r="D115" s="97" t="str">
        <f t="shared" si="4"/>
        <v>QSFP+</v>
      </c>
      <c r="E115" s="107">
        <f>'Products x speed'!E126</f>
        <v>253.19068527507093</v>
      </c>
      <c r="F115" s="107">
        <f>'Products x speed'!F126</f>
        <v>262.79055146339874</v>
      </c>
      <c r="G115" s="107"/>
      <c r="H115" s="107"/>
      <c r="I115" s="107"/>
      <c r="J115" s="107"/>
      <c r="K115" s="107"/>
      <c r="L115" s="107"/>
      <c r="M115" s="107"/>
      <c r="N115" s="107"/>
      <c r="O115" s="107"/>
      <c r="P115" s="487"/>
    </row>
    <row r="116" spans="2:16">
      <c r="B116" s="95" t="str">
        <f t="shared" si="4"/>
        <v>40G (FR)</v>
      </c>
      <c r="C116" s="96" t="str">
        <f t="shared" si="4"/>
        <v>2 km</v>
      </c>
      <c r="D116" s="97" t="str">
        <f t="shared" si="4"/>
        <v>CFP</v>
      </c>
      <c r="E116" s="107">
        <f>'Products x speed'!E127</f>
        <v>4569.894941368153</v>
      </c>
      <c r="F116" s="107">
        <f>'Products x speed'!F127</f>
        <v>5251.681208639473</v>
      </c>
      <c r="G116" s="107"/>
      <c r="H116" s="107"/>
      <c r="I116" s="107"/>
      <c r="J116" s="107"/>
      <c r="K116" s="107"/>
      <c r="L116" s="107"/>
      <c r="M116" s="107"/>
      <c r="N116" s="107"/>
      <c r="O116" s="107"/>
      <c r="P116" s="487"/>
    </row>
    <row r="117" spans="2:16">
      <c r="B117" s="95" t="str">
        <f t="shared" si="4"/>
        <v>40G (LR4 subspec)</v>
      </c>
      <c r="C117" s="96" t="str">
        <f t="shared" si="4"/>
        <v>2 km</v>
      </c>
      <c r="D117" s="97" t="str">
        <f t="shared" si="4"/>
        <v>QSFP+</v>
      </c>
      <c r="E117" s="107">
        <f>'Products x speed'!E128</f>
        <v>377.60055209491952</v>
      </c>
      <c r="F117" s="107">
        <f>'Products x speed'!F128</f>
        <v>343.5254726908467</v>
      </c>
      <c r="G117" s="107"/>
      <c r="H117" s="107"/>
      <c r="I117" s="107"/>
      <c r="J117" s="107"/>
      <c r="K117" s="107"/>
      <c r="L117" s="107"/>
      <c r="M117" s="107"/>
      <c r="N117" s="107"/>
      <c r="O117" s="107"/>
      <c r="P117" s="487"/>
    </row>
    <row r="118" spans="2:16">
      <c r="B118" s="95" t="str">
        <f t="shared" si="4"/>
        <v>40G</v>
      </c>
      <c r="C118" s="96" t="str">
        <f t="shared" si="4"/>
        <v>10 km</v>
      </c>
      <c r="D118" s="97" t="str">
        <f t="shared" si="4"/>
        <v>CFP</v>
      </c>
      <c r="E118" s="107">
        <f>'Products x speed'!E129</f>
        <v>1174.9655306999969</v>
      </c>
      <c r="F118" s="107">
        <f>'Products x speed'!F129</f>
        <v>1350.8997571323105</v>
      </c>
      <c r="G118" s="107"/>
      <c r="H118" s="107"/>
      <c r="I118" s="107"/>
      <c r="J118" s="107"/>
      <c r="K118" s="107"/>
      <c r="L118" s="107"/>
      <c r="M118" s="107"/>
      <c r="N118" s="107"/>
      <c r="O118" s="107"/>
      <c r="P118" s="487"/>
    </row>
    <row r="119" spans="2:16">
      <c r="B119" s="95" t="str">
        <f t="shared" si="4"/>
        <v>40G</v>
      </c>
      <c r="C119" s="96" t="str">
        <f t="shared" si="4"/>
        <v>10 km</v>
      </c>
      <c r="D119" s="97" t="str">
        <f t="shared" si="4"/>
        <v>QSFP+</v>
      </c>
      <c r="E119" s="107">
        <f>'Products x speed'!E130</f>
        <v>427.72742888770347</v>
      </c>
      <c r="F119" s="107">
        <f>'Products x speed'!F130</f>
        <v>401.36672508917627</v>
      </c>
      <c r="G119" s="107"/>
      <c r="H119" s="107"/>
      <c r="I119" s="107"/>
      <c r="J119" s="107"/>
      <c r="K119" s="107"/>
      <c r="L119" s="107"/>
      <c r="M119" s="107"/>
      <c r="N119" s="107"/>
      <c r="O119" s="107"/>
      <c r="P119" s="487"/>
    </row>
    <row r="120" spans="2:16">
      <c r="B120" s="91" t="str">
        <f t="shared" si="4"/>
        <v>40G</v>
      </c>
      <c r="C120" s="92" t="str">
        <f t="shared" si="4"/>
        <v>40 km</v>
      </c>
      <c r="D120" s="93" t="str">
        <f t="shared" si="4"/>
        <v>QSFP+</v>
      </c>
      <c r="E120" s="106">
        <f>'Products x speed'!E131</f>
        <v>1673.0572324239708</v>
      </c>
      <c r="F120" s="106">
        <f>'Products x speed'!F131</f>
        <v>1459.2330281290015</v>
      </c>
      <c r="G120" s="106"/>
      <c r="H120" s="106"/>
      <c r="I120" s="106"/>
      <c r="J120" s="106"/>
      <c r="K120" s="106"/>
      <c r="L120" s="106"/>
      <c r="M120" s="106"/>
      <c r="N120" s="106"/>
      <c r="O120" s="106"/>
      <c r="P120" s="487"/>
    </row>
    <row r="121" spans="2:16">
      <c r="B121" s="87" t="str">
        <f t="shared" si="4"/>
        <v xml:space="preserve">50G </v>
      </c>
      <c r="C121" s="88" t="str">
        <f t="shared" si="4"/>
        <v>100 m</v>
      </c>
      <c r="D121" s="88" t="str">
        <f t="shared" si="4"/>
        <v>all</v>
      </c>
      <c r="E121" s="105" t="str">
        <f>'Products x speed'!E132</f>
        <v/>
      </c>
      <c r="F121" s="105" t="str">
        <f>'Products x speed'!F132</f>
        <v/>
      </c>
      <c r="G121" s="105"/>
      <c r="H121" s="105"/>
      <c r="I121" s="105"/>
      <c r="J121" s="105"/>
      <c r="K121" s="105"/>
      <c r="L121" s="105"/>
      <c r="M121" s="105"/>
      <c r="N121" s="105"/>
      <c r="O121" s="105"/>
      <c r="P121" s="487"/>
    </row>
    <row r="122" spans="2:16">
      <c r="B122" s="95" t="str">
        <f t="shared" si="4"/>
        <v xml:space="preserve">50G </v>
      </c>
      <c r="C122" s="96" t="str">
        <f t="shared" si="4"/>
        <v>2 km</v>
      </c>
      <c r="D122" s="96" t="str">
        <f t="shared" si="4"/>
        <v>all</v>
      </c>
      <c r="E122" s="107" t="str">
        <f>'Products x speed'!E133</f>
        <v/>
      </c>
      <c r="F122" s="107" t="str">
        <f>'Products x speed'!F133</f>
        <v/>
      </c>
      <c r="G122" s="107"/>
      <c r="H122" s="107"/>
      <c r="I122" s="107"/>
      <c r="J122" s="107"/>
      <c r="K122" s="107"/>
      <c r="L122" s="107"/>
      <c r="M122" s="107"/>
      <c r="N122" s="107"/>
      <c r="O122" s="107"/>
      <c r="P122" s="487"/>
    </row>
    <row r="123" spans="2:16">
      <c r="B123" s="95" t="str">
        <f t="shared" si="4"/>
        <v xml:space="preserve">50G </v>
      </c>
      <c r="C123" s="96" t="str">
        <f t="shared" si="4"/>
        <v>10 km</v>
      </c>
      <c r="D123" s="96" t="str">
        <f t="shared" si="4"/>
        <v>all</v>
      </c>
      <c r="E123" s="107" t="str">
        <f>'Products x speed'!E134</f>
        <v/>
      </c>
      <c r="F123" s="107" t="str">
        <f>'Products x speed'!F134</f>
        <v/>
      </c>
      <c r="G123" s="107"/>
      <c r="H123" s="107"/>
      <c r="I123" s="107"/>
      <c r="J123" s="107"/>
      <c r="K123" s="107"/>
      <c r="L123" s="107"/>
      <c r="M123" s="107"/>
      <c r="N123" s="107"/>
      <c r="O123" s="107"/>
      <c r="P123" s="487"/>
    </row>
    <row r="124" spans="2:16">
      <c r="B124" s="95" t="str">
        <f t="shared" si="4"/>
        <v xml:space="preserve">50G </v>
      </c>
      <c r="C124" s="96" t="str">
        <f t="shared" si="4"/>
        <v>40 km</v>
      </c>
      <c r="D124" s="96" t="str">
        <f t="shared" si="4"/>
        <v>all</v>
      </c>
      <c r="E124" s="107">
        <f>'Products x speed'!E135</f>
        <v>0</v>
      </c>
      <c r="F124" s="107">
        <f>'Products x speed'!F135</f>
        <v>0</v>
      </c>
      <c r="G124" s="107"/>
      <c r="H124" s="107"/>
      <c r="I124" s="107"/>
      <c r="J124" s="107"/>
      <c r="K124" s="107"/>
      <c r="L124" s="107"/>
      <c r="M124" s="107"/>
      <c r="N124" s="107"/>
      <c r="O124" s="107"/>
      <c r="P124" s="487"/>
    </row>
    <row r="125" spans="2:16">
      <c r="B125" s="95" t="str">
        <f t="shared" si="4"/>
        <v xml:space="preserve">50G </v>
      </c>
      <c r="C125" s="96" t="str">
        <f t="shared" si="4"/>
        <v>80 km</v>
      </c>
      <c r="D125" s="96" t="str">
        <f t="shared" si="4"/>
        <v>all</v>
      </c>
      <c r="E125" s="106">
        <f>'Products x speed'!E136</f>
        <v>0</v>
      </c>
      <c r="F125" s="106">
        <f>'Products x speed'!F136</f>
        <v>0</v>
      </c>
      <c r="G125" s="106"/>
      <c r="H125" s="106"/>
      <c r="I125" s="106"/>
      <c r="J125" s="106"/>
      <c r="K125" s="106"/>
      <c r="L125" s="106"/>
      <c r="M125" s="106"/>
      <c r="N125" s="106"/>
      <c r="O125" s="106"/>
      <c r="P125" s="487"/>
    </row>
    <row r="126" spans="2:16">
      <c r="B126" s="87" t="str">
        <f t="shared" si="4"/>
        <v>100G SR4</v>
      </c>
      <c r="C126" s="88" t="str">
        <f t="shared" si="4"/>
        <v>100 m</v>
      </c>
      <c r="D126" s="89" t="str">
        <f t="shared" si="4"/>
        <v>CFP</v>
      </c>
      <c r="E126" s="107">
        <f>'Products x speed'!E137</f>
        <v>1422.7039686825053</v>
      </c>
      <c r="F126" s="107">
        <f>'Products x speed'!F137</f>
        <v>1273.3986691740201</v>
      </c>
      <c r="G126" s="107"/>
      <c r="H126" s="107"/>
      <c r="I126" s="107"/>
      <c r="J126" s="107"/>
      <c r="K126" s="107"/>
      <c r="L126" s="107"/>
      <c r="M126" s="107"/>
      <c r="N126" s="107"/>
      <c r="O126" s="107"/>
      <c r="P126" s="487"/>
    </row>
    <row r="127" spans="2:16">
      <c r="B127" s="95" t="str">
        <f t="shared" si="4"/>
        <v>100G SR4</v>
      </c>
      <c r="C127" s="96" t="str">
        <f t="shared" si="4"/>
        <v>100 m</v>
      </c>
      <c r="D127" s="97" t="str">
        <f t="shared" si="4"/>
        <v>CFP2/4</v>
      </c>
      <c r="E127" s="107">
        <f>'Products x speed'!E138</f>
        <v>1204.7629951912068</v>
      </c>
      <c r="F127" s="107">
        <f>'Products x speed'!F138</f>
        <v>1092.608197443808</v>
      </c>
      <c r="G127" s="107"/>
      <c r="H127" s="107"/>
      <c r="I127" s="107"/>
      <c r="J127" s="107"/>
      <c r="K127" s="107"/>
      <c r="L127" s="107"/>
      <c r="M127" s="107"/>
      <c r="N127" s="107"/>
      <c r="O127" s="107"/>
      <c r="P127" s="487"/>
    </row>
    <row r="128" spans="2:16">
      <c r="B128" s="95" t="str">
        <f t="shared" si="4"/>
        <v>100G SR4</v>
      </c>
      <c r="C128" s="96" t="str">
        <f t="shared" si="4"/>
        <v>100 m</v>
      </c>
      <c r="D128" s="97" t="str">
        <f t="shared" si="4"/>
        <v>QSFP28</v>
      </c>
      <c r="E128" s="107">
        <f>'Products x speed'!E139</f>
        <v>258.09426618771823</v>
      </c>
      <c r="F128" s="107">
        <f>'Products x speed'!F139</f>
        <v>182.02277386466108</v>
      </c>
      <c r="G128" s="107"/>
      <c r="H128" s="107"/>
      <c r="I128" s="107"/>
      <c r="J128" s="107"/>
      <c r="K128" s="107"/>
      <c r="L128" s="107"/>
      <c r="M128" s="107"/>
      <c r="N128" s="107"/>
      <c r="O128" s="107"/>
      <c r="P128" s="487"/>
    </row>
    <row r="129" spans="2:16">
      <c r="B129" s="95" t="str">
        <f t="shared" si="4"/>
        <v>100G SR2</v>
      </c>
      <c r="C129" s="96" t="str">
        <f t="shared" si="4"/>
        <v>100 m</v>
      </c>
      <c r="D129" s="97" t="str">
        <f t="shared" si="4"/>
        <v>All</v>
      </c>
      <c r="E129" s="107" t="str">
        <f>'Products x speed'!E140</f>
        <v/>
      </c>
      <c r="F129" s="107" t="str">
        <f>'Products x speed'!F140</f>
        <v/>
      </c>
      <c r="G129" s="107"/>
      <c r="H129" s="107"/>
      <c r="I129" s="107"/>
      <c r="J129" s="107"/>
      <c r="K129" s="107"/>
      <c r="L129" s="107"/>
      <c r="M129" s="107"/>
      <c r="N129" s="107"/>
      <c r="O129" s="107"/>
      <c r="P129" s="487"/>
    </row>
    <row r="130" spans="2:16">
      <c r="B130" s="95" t="str">
        <f t="shared" si="4"/>
        <v>100G MM Duplex</v>
      </c>
      <c r="C130" s="96" t="str">
        <f t="shared" si="4"/>
        <v>100 - 300 m</v>
      </c>
      <c r="D130" s="97" t="str">
        <f t="shared" si="4"/>
        <v>QSFP28</v>
      </c>
      <c r="E130" s="107" t="str">
        <f>'Products x speed'!E141</f>
        <v/>
      </c>
      <c r="F130" s="107" t="str">
        <f>'Products x speed'!F141</f>
        <v/>
      </c>
      <c r="G130" s="107"/>
      <c r="H130" s="107"/>
      <c r="I130" s="107"/>
      <c r="J130" s="107"/>
      <c r="K130" s="107"/>
      <c r="L130" s="107"/>
      <c r="M130" s="107"/>
      <c r="N130" s="107"/>
      <c r="O130" s="107"/>
      <c r="P130" s="487"/>
    </row>
    <row r="131" spans="2:16">
      <c r="B131" s="95" t="str">
        <f t="shared" si="4"/>
        <v>100G eSR4</v>
      </c>
      <c r="C131" s="96" t="str">
        <f t="shared" si="4"/>
        <v>300 m</v>
      </c>
      <c r="D131" s="97" t="str">
        <f t="shared" si="4"/>
        <v>QSFP28</v>
      </c>
      <c r="E131" s="107" t="str">
        <f>'Products x speed'!E142</f>
        <v/>
      </c>
      <c r="F131" s="107" t="str">
        <f>'Products x speed'!F142</f>
        <v/>
      </c>
      <c r="G131" s="107"/>
      <c r="H131" s="107"/>
      <c r="I131" s="107"/>
      <c r="J131" s="107"/>
      <c r="K131" s="107"/>
      <c r="L131" s="107"/>
      <c r="M131" s="107"/>
      <c r="N131" s="107"/>
      <c r="O131" s="107"/>
      <c r="P131" s="487"/>
    </row>
    <row r="132" spans="2:16">
      <c r="B132" s="95" t="str">
        <f t="shared" si="4"/>
        <v>100G PSM4</v>
      </c>
      <c r="C132" s="96" t="str">
        <f t="shared" si="4"/>
        <v>500 m</v>
      </c>
      <c r="D132" s="97" t="str">
        <f t="shared" si="4"/>
        <v>QSFP28</v>
      </c>
      <c r="E132" s="107">
        <f>'Products x speed'!E143</f>
        <v>337.41687156790022</v>
      </c>
      <c r="F132" s="107">
        <f>'Products x speed'!F143</f>
        <v>222.65569307558187</v>
      </c>
      <c r="G132" s="107"/>
      <c r="H132" s="107"/>
      <c r="I132" s="107"/>
      <c r="J132" s="107"/>
      <c r="K132" s="107"/>
      <c r="L132" s="107"/>
      <c r="M132" s="107"/>
      <c r="N132" s="107"/>
      <c r="O132" s="107"/>
      <c r="P132" s="487"/>
    </row>
    <row r="133" spans="2:16">
      <c r="B133" s="95" t="str">
        <f t="shared" si="4"/>
        <v>100G DR</v>
      </c>
      <c r="C133" s="96" t="str">
        <f t="shared" si="4"/>
        <v>500m</v>
      </c>
      <c r="D133" s="97" t="str">
        <f t="shared" si="4"/>
        <v>QSFP28</v>
      </c>
      <c r="E133" s="107" t="str">
        <f>'Products x speed'!E144</f>
        <v/>
      </c>
      <c r="F133" s="107" t="str">
        <f>'Products x speed'!F144</f>
        <v/>
      </c>
      <c r="G133" s="107"/>
      <c r="H133" s="107"/>
      <c r="I133" s="107"/>
      <c r="J133" s="107"/>
      <c r="K133" s="107"/>
      <c r="L133" s="107"/>
      <c r="M133" s="107"/>
      <c r="N133" s="107"/>
      <c r="O133" s="107"/>
      <c r="P133" s="487"/>
    </row>
    <row r="134" spans="2:16">
      <c r="B134" s="95" t="str">
        <f t="shared" ref="B134:D147" si="5">B49</f>
        <v>100G CWDM4-subspec</v>
      </c>
      <c r="C134" s="96" t="str">
        <f t="shared" si="5"/>
        <v>500 m</v>
      </c>
      <c r="D134" s="97" t="str">
        <f t="shared" si="5"/>
        <v>QSFP28</v>
      </c>
      <c r="E134" s="107">
        <f>'Products x speed'!E145</f>
        <v>625</v>
      </c>
      <c r="F134" s="107">
        <f>'Products x speed'!F145</f>
        <v>450</v>
      </c>
      <c r="G134" s="107"/>
      <c r="H134" s="107"/>
      <c r="I134" s="107"/>
      <c r="J134" s="107"/>
      <c r="K134" s="107"/>
      <c r="L134" s="107"/>
      <c r="M134" s="107"/>
      <c r="N134" s="107"/>
      <c r="O134" s="107"/>
      <c r="P134" s="487"/>
    </row>
    <row r="135" spans="2:16">
      <c r="B135" s="95" t="str">
        <f t="shared" si="5"/>
        <v>100G CWDM4</v>
      </c>
      <c r="C135" s="96" t="str">
        <f t="shared" si="5"/>
        <v>2 km</v>
      </c>
      <c r="D135" s="97" t="str">
        <f t="shared" si="5"/>
        <v>QSFP28</v>
      </c>
      <c r="E135" s="107">
        <f>'Products x speed'!E146</f>
        <v>825</v>
      </c>
      <c r="F135" s="107">
        <f>'Products x speed'!F146</f>
        <v>650</v>
      </c>
      <c r="G135" s="107"/>
      <c r="H135" s="107"/>
      <c r="I135" s="107"/>
      <c r="J135" s="107"/>
      <c r="K135" s="107"/>
      <c r="L135" s="107"/>
      <c r="M135" s="107"/>
      <c r="N135" s="107"/>
      <c r="O135" s="107"/>
      <c r="P135" s="487"/>
    </row>
    <row r="136" spans="2:16">
      <c r="B136" s="95" t="str">
        <f t="shared" si="5"/>
        <v>100G FR, DR+</v>
      </c>
      <c r="C136" s="96" t="str">
        <f t="shared" si="5"/>
        <v>2 km</v>
      </c>
      <c r="D136" s="97" t="str">
        <f t="shared" si="5"/>
        <v>QSFP28</v>
      </c>
      <c r="E136" s="107" t="str">
        <f>'Products x speed'!E147</f>
        <v/>
      </c>
      <c r="F136" s="107" t="str">
        <f>'Products x speed'!F147</f>
        <v/>
      </c>
      <c r="G136" s="107"/>
      <c r="H136" s="107"/>
      <c r="I136" s="107"/>
      <c r="J136" s="107"/>
      <c r="K136" s="107"/>
      <c r="L136" s="107"/>
      <c r="M136" s="107"/>
      <c r="N136" s="107"/>
      <c r="O136" s="107"/>
      <c r="P136" s="487"/>
    </row>
    <row r="137" spans="2:16">
      <c r="B137" s="95" t="str">
        <f t="shared" si="5"/>
        <v>100G LR4</v>
      </c>
      <c r="C137" s="96" t="str">
        <f t="shared" si="5"/>
        <v>10 km</v>
      </c>
      <c r="D137" s="97" t="str">
        <f t="shared" si="5"/>
        <v>CFP</v>
      </c>
      <c r="E137" s="107">
        <f>'Products x speed'!E148</f>
        <v>3527.8709620331333</v>
      </c>
      <c r="F137" s="107">
        <f>'Products x speed'!F148</f>
        <v>2768.0701132780364</v>
      </c>
      <c r="G137" s="107"/>
      <c r="H137" s="107"/>
      <c r="I137" s="107"/>
      <c r="J137" s="107"/>
      <c r="K137" s="107"/>
      <c r="L137" s="107"/>
      <c r="M137" s="107"/>
      <c r="N137" s="107"/>
      <c r="O137" s="107"/>
      <c r="P137" s="487"/>
    </row>
    <row r="138" spans="2:16">
      <c r="B138" s="95" t="str">
        <f t="shared" si="5"/>
        <v>100G LR4</v>
      </c>
      <c r="C138" s="96" t="str">
        <f t="shared" si="5"/>
        <v>10 km</v>
      </c>
      <c r="D138" s="97" t="str">
        <f t="shared" si="5"/>
        <v>CFP2/4</v>
      </c>
      <c r="E138" s="107">
        <f>'Products x speed'!E149</f>
        <v>2882.5268681316725</v>
      </c>
      <c r="F138" s="107">
        <f>'Products x speed'!F149</f>
        <v>2140.3307221126156</v>
      </c>
      <c r="G138" s="107"/>
      <c r="H138" s="107"/>
      <c r="I138" s="107"/>
      <c r="J138" s="107"/>
      <c r="K138" s="107"/>
      <c r="L138" s="107"/>
      <c r="M138" s="107"/>
      <c r="N138" s="107"/>
      <c r="O138" s="107"/>
      <c r="P138" s="487"/>
    </row>
    <row r="139" spans="2:16">
      <c r="B139" s="95" t="str">
        <f t="shared" si="5"/>
        <v>100G LR4 and LR1</v>
      </c>
      <c r="C139" s="96" t="str">
        <f t="shared" si="5"/>
        <v>10 km</v>
      </c>
      <c r="D139" s="97" t="str">
        <f t="shared" si="5"/>
        <v>QSFP28</v>
      </c>
      <c r="E139" s="107">
        <f>'Products x speed'!E150</f>
        <v>1938.1501024552811</v>
      </c>
      <c r="F139" s="107">
        <f>'Products x speed'!F150</f>
        <v>1200</v>
      </c>
      <c r="G139" s="107"/>
      <c r="H139" s="107"/>
      <c r="I139" s="107"/>
      <c r="J139" s="107"/>
      <c r="K139" s="107"/>
      <c r="L139" s="107"/>
      <c r="M139" s="107"/>
      <c r="N139" s="107"/>
      <c r="O139" s="107"/>
      <c r="P139" s="487"/>
    </row>
    <row r="140" spans="2:16">
      <c r="B140" s="95" t="str">
        <f t="shared" si="5"/>
        <v>100G 4WDM10</v>
      </c>
      <c r="C140" s="96" t="str">
        <f t="shared" si="5"/>
        <v>10 km</v>
      </c>
      <c r="D140" s="97" t="str">
        <f t="shared" si="5"/>
        <v>QSFP28</v>
      </c>
      <c r="E140" s="107" t="str">
        <f>'Products x speed'!E151</f>
        <v/>
      </c>
      <c r="F140" s="107">
        <f>'Products x speed'!F151</f>
        <v>500</v>
      </c>
      <c r="G140" s="107"/>
      <c r="H140" s="107"/>
      <c r="I140" s="107"/>
      <c r="J140" s="107"/>
      <c r="K140" s="107"/>
      <c r="L140" s="107"/>
      <c r="M140" s="107"/>
      <c r="N140" s="107"/>
      <c r="O140" s="107"/>
      <c r="P140" s="487"/>
    </row>
    <row r="141" spans="2:16">
      <c r="B141" s="95" t="str">
        <f t="shared" si="5"/>
        <v>100G 4WDM20</v>
      </c>
      <c r="C141" s="96" t="str">
        <f t="shared" si="5"/>
        <v>20 km</v>
      </c>
      <c r="D141" s="97" t="str">
        <f t="shared" si="5"/>
        <v>QSFP28</v>
      </c>
      <c r="E141" s="107" t="str">
        <f>'Products x speed'!E152</f>
        <v/>
      </c>
      <c r="F141" s="107" t="str">
        <f>'Products x speed'!F152</f>
        <v/>
      </c>
      <c r="G141" s="107"/>
      <c r="H141" s="107"/>
      <c r="I141" s="107"/>
      <c r="J141" s="107"/>
      <c r="K141" s="107"/>
      <c r="L141" s="107"/>
      <c r="M141" s="107"/>
      <c r="N141" s="107"/>
      <c r="O141" s="107"/>
      <c r="P141" s="487"/>
    </row>
    <row r="142" spans="2:16">
      <c r="B142" s="95" t="str">
        <f t="shared" si="5"/>
        <v>100G ER4-Lite</v>
      </c>
      <c r="C142" s="96" t="str">
        <f t="shared" si="5"/>
        <v>30 km</v>
      </c>
      <c r="D142" s="97" t="str">
        <f t="shared" si="5"/>
        <v>QSFP28</v>
      </c>
      <c r="E142" s="107" t="str">
        <f>'Products x speed'!E153</f>
        <v/>
      </c>
      <c r="F142" s="107">
        <f>'Products x speed'!F153</f>
        <v>3487.2423945044161</v>
      </c>
      <c r="G142" s="107"/>
      <c r="H142" s="107"/>
      <c r="I142" s="107"/>
      <c r="J142" s="107"/>
      <c r="K142" s="107"/>
      <c r="L142" s="107"/>
      <c r="M142" s="107"/>
      <c r="N142" s="107"/>
      <c r="O142" s="107"/>
      <c r="P142" s="487"/>
    </row>
    <row r="143" spans="2:16">
      <c r="B143" s="95" t="str">
        <f t="shared" si="5"/>
        <v>100G ER4</v>
      </c>
      <c r="C143" s="96" t="str">
        <f t="shared" si="5"/>
        <v>40 km</v>
      </c>
      <c r="D143" s="97" t="str">
        <f t="shared" si="5"/>
        <v>QSFP28</v>
      </c>
      <c r="E143" s="107">
        <f>'Products x speed'!E154</f>
        <v>8992.3604525403425</v>
      </c>
      <c r="F143" s="107">
        <f>'Products x speed'!F154</f>
        <v>6675.4855675304152</v>
      </c>
      <c r="G143" s="107"/>
      <c r="H143" s="107"/>
      <c r="I143" s="107"/>
      <c r="J143" s="107"/>
      <c r="K143" s="107"/>
      <c r="L143" s="107"/>
      <c r="M143" s="107"/>
      <c r="N143" s="107"/>
      <c r="O143" s="107"/>
      <c r="P143" s="487"/>
    </row>
    <row r="144" spans="2:16">
      <c r="B144" s="91" t="str">
        <f t="shared" si="5"/>
        <v>100G ZR4</v>
      </c>
      <c r="C144" s="92" t="str">
        <f t="shared" si="5"/>
        <v>80 km</v>
      </c>
      <c r="D144" s="93" t="str">
        <f t="shared" si="5"/>
        <v>QSFP28</v>
      </c>
      <c r="E144" s="106" t="str">
        <f>'Products x speed'!E155</f>
        <v/>
      </c>
      <c r="F144" s="106" t="str">
        <f>'Products x speed'!F155</f>
        <v/>
      </c>
      <c r="G144" s="106"/>
      <c r="H144" s="106"/>
      <c r="I144" s="106"/>
      <c r="J144" s="106"/>
      <c r="K144" s="106"/>
      <c r="L144" s="106"/>
      <c r="M144" s="106"/>
      <c r="N144" s="106"/>
      <c r="O144" s="106"/>
      <c r="P144" s="487"/>
    </row>
    <row r="145" spans="2:17">
      <c r="B145" s="87" t="str">
        <f t="shared" si="5"/>
        <v>200G SR4</v>
      </c>
      <c r="C145" s="88" t="str">
        <f t="shared" si="5"/>
        <v>100 m</v>
      </c>
      <c r="D145" s="89" t="str">
        <f t="shared" si="5"/>
        <v>QSFP56</v>
      </c>
      <c r="E145" s="105">
        <f>'Products x speed'!E156</f>
        <v>0</v>
      </c>
      <c r="F145" s="105">
        <f>'Products x speed'!F156</f>
        <v>0</v>
      </c>
      <c r="G145" s="105"/>
      <c r="H145" s="105"/>
      <c r="I145" s="105"/>
      <c r="J145" s="105"/>
      <c r="K145" s="105"/>
      <c r="L145" s="105"/>
      <c r="M145" s="105"/>
      <c r="N145" s="105"/>
      <c r="O145" s="105"/>
      <c r="P145" s="487"/>
    </row>
    <row r="146" spans="2:17">
      <c r="B146" s="95" t="str">
        <f t="shared" si="5"/>
        <v>200G DR</v>
      </c>
      <c r="C146" s="96" t="str">
        <f t="shared" si="5"/>
        <v>500 m</v>
      </c>
      <c r="D146" s="97" t="str">
        <f t="shared" si="5"/>
        <v>TBD</v>
      </c>
      <c r="E146" s="107">
        <f>'Products x speed'!E157</f>
        <v>0</v>
      </c>
      <c r="F146" s="107">
        <f>'Products x speed'!F157</f>
        <v>0</v>
      </c>
      <c r="G146" s="107"/>
      <c r="H146" s="107"/>
      <c r="I146" s="107"/>
      <c r="J146" s="107"/>
      <c r="K146" s="107"/>
      <c r="L146" s="107"/>
      <c r="M146" s="107"/>
      <c r="N146" s="107"/>
      <c r="O146" s="107"/>
      <c r="P146" s="487"/>
    </row>
    <row r="147" spans="2:17">
      <c r="B147" s="95" t="str">
        <f t="shared" si="5"/>
        <v>200G FR4</v>
      </c>
      <c r="C147" s="96" t="str">
        <f t="shared" si="5"/>
        <v>3 km</v>
      </c>
      <c r="D147" s="97" t="str">
        <f t="shared" si="5"/>
        <v>QSFP56</v>
      </c>
      <c r="E147" s="107">
        <f>'Products x speed'!E158</f>
        <v>0</v>
      </c>
      <c r="F147" s="107">
        <f>'Products x speed'!F158</f>
        <v>0</v>
      </c>
      <c r="G147" s="107"/>
      <c r="H147" s="107"/>
      <c r="I147" s="107"/>
      <c r="J147" s="107"/>
      <c r="K147" s="107"/>
      <c r="L147" s="107"/>
      <c r="M147" s="107"/>
      <c r="N147" s="107"/>
      <c r="O147" s="107"/>
      <c r="P147" s="487"/>
    </row>
    <row r="148" spans="2:17">
      <c r="B148" s="95" t="str">
        <f t="shared" ref="B148:D148" si="6">B63</f>
        <v>200G LR</v>
      </c>
      <c r="C148" s="96" t="str">
        <f t="shared" si="6"/>
        <v>10 km</v>
      </c>
      <c r="D148" s="97" t="str">
        <f t="shared" si="6"/>
        <v>TBD</v>
      </c>
      <c r="E148" s="107">
        <f>'Products x speed'!E159</f>
        <v>0</v>
      </c>
      <c r="F148" s="107">
        <f>'Products x speed'!F159</f>
        <v>0</v>
      </c>
      <c r="G148" s="107"/>
      <c r="H148" s="107"/>
      <c r="I148" s="107"/>
      <c r="J148" s="107"/>
      <c r="K148" s="107"/>
      <c r="L148" s="107"/>
      <c r="M148" s="107"/>
      <c r="N148" s="107"/>
      <c r="O148" s="107"/>
      <c r="P148" s="487"/>
    </row>
    <row r="149" spans="2:17">
      <c r="B149" s="95" t="str">
        <f t="shared" ref="B149:D149" si="7">B64</f>
        <v>200G ER4</v>
      </c>
      <c r="C149" s="96" t="str">
        <f t="shared" si="7"/>
        <v>40 km</v>
      </c>
      <c r="D149" s="97" t="str">
        <f t="shared" si="7"/>
        <v>TBD</v>
      </c>
      <c r="E149" s="107">
        <f>'Products x speed'!E160</f>
        <v>0</v>
      </c>
      <c r="F149" s="107">
        <f>'Products x speed'!F160</f>
        <v>0</v>
      </c>
      <c r="G149" s="107"/>
      <c r="H149" s="107"/>
      <c r="I149" s="107"/>
      <c r="J149" s="107"/>
      <c r="K149" s="107"/>
      <c r="L149" s="107"/>
      <c r="M149" s="107"/>
      <c r="N149" s="107"/>
      <c r="O149" s="107"/>
      <c r="P149" s="487"/>
    </row>
    <row r="150" spans="2:17">
      <c r="B150" s="87" t="str">
        <f t="shared" ref="B150:D159" si="8">B65</f>
        <v>2x200 (400G-SR8)</v>
      </c>
      <c r="C150" s="88" t="str">
        <f t="shared" si="8"/>
        <v>100 m</v>
      </c>
      <c r="D150" s="89" t="str">
        <f t="shared" si="8"/>
        <v>OSFP, QSFP-DD</v>
      </c>
      <c r="E150" s="105">
        <f>'Products x speed'!E161</f>
        <v>0</v>
      </c>
      <c r="F150" s="105">
        <f>'Products x speed'!F161</f>
        <v>0</v>
      </c>
      <c r="G150" s="105"/>
      <c r="H150" s="105"/>
      <c r="I150" s="105"/>
      <c r="J150" s="105"/>
      <c r="K150" s="105"/>
      <c r="L150" s="105"/>
      <c r="M150" s="105"/>
      <c r="N150" s="105"/>
      <c r="O150" s="105"/>
      <c r="P150" s="487"/>
    </row>
    <row r="151" spans="2:17">
      <c r="B151" s="95" t="str">
        <f t="shared" si="8"/>
        <v>400G SR4</v>
      </c>
      <c r="C151" s="96" t="str">
        <f t="shared" si="8"/>
        <v>100 m</v>
      </c>
      <c r="D151" s="97" t="str">
        <f t="shared" si="8"/>
        <v>OSFP112, QSFP112</v>
      </c>
      <c r="E151" s="107">
        <f>'Products x speed'!E162</f>
        <v>0</v>
      </c>
      <c r="F151" s="107">
        <f>'Products x speed'!F162</f>
        <v>0</v>
      </c>
      <c r="G151" s="107"/>
      <c r="H151" s="107"/>
      <c r="I151" s="107"/>
      <c r="J151" s="107"/>
      <c r="K151" s="107"/>
      <c r="L151" s="107"/>
      <c r="M151" s="107"/>
      <c r="N151" s="107"/>
      <c r="O151" s="107"/>
      <c r="P151" s="487"/>
    </row>
    <row r="152" spans="2:17">
      <c r="B152" s="95" t="str">
        <f t="shared" si="8"/>
        <v>400G DR4</v>
      </c>
      <c r="C152" s="96" t="str">
        <f t="shared" si="8"/>
        <v>500 m</v>
      </c>
      <c r="D152" s="97" t="str">
        <f t="shared" si="8"/>
        <v>OSFP, QSFP-DD, QSFP112</v>
      </c>
      <c r="E152" s="107">
        <f>'Products x speed'!E163</f>
        <v>0</v>
      </c>
      <c r="F152" s="107">
        <f>'Products x speed'!F163</f>
        <v>0</v>
      </c>
      <c r="G152" s="107"/>
      <c r="H152" s="107"/>
      <c r="I152" s="107"/>
      <c r="J152" s="107"/>
      <c r="K152" s="107"/>
      <c r="L152" s="107"/>
      <c r="M152" s="107"/>
      <c r="N152" s="107"/>
      <c r="O152" s="107"/>
      <c r="P152" s="487"/>
    </row>
    <row r="153" spans="2:17">
      <c r="B153" s="95" t="str">
        <f t="shared" si="8"/>
        <v>2x(200G FR4)</v>
      </c>
      <c r="C153" s="96" t="str">
        <f t="shared" si="8"/>
        <v>2 km</v>
      </c>
      <c r="D153" s="97" t="str">
        <f t="shared" si="8"/>
        <v>OSFP</v>
      </c>
      <c r="E153" s="107">
        <f>'Products x speed'!E164</f>
        <v>0</v>
      </c>
      <c r="F153" s="107">
        <f>'Products x speed'!F164</f>
        <v>0</v>
      </c>
      <c r="G153" s="107"/>
      <c r="H153" s="107"/>
      <c r="I153" s="107"/>
      <c r="J153" s="107"/>
      <c r="K153" s="107"/>
      <c r="L153" s="107"/>
      <c r="M153" s="107"/>
      <c r="N153" s="107"/>
      <c r="O153" s="107"/>
      <c r="P153" s="487"/>
    </row>
    <row r="154" spans="2:17">
      <c r="B154" s="95" t="str">
        <f t="shared" si="8"/>
        <v>400G FR4</v>
      </c>
      <c r="C154" s="96" t="str">
        <f t="shared" si="8"/>
        <v>2 km</v>
      </c>
      <c r="D154" s="97" t="str">
        <f t="shared" si="8"/>
        <v>OSFP, QSFP-DD, QSFP112</v>
      </c>
      <c r="E154" s="107">
        <f>'Products x speed'!E165</f>
        <v>0</v>
      </c>
      <c r="F154" s="107">
        <f>'Products x speed'!F165</f>
        <v>11614.285714285714</v>
      </c>
      <c r="G154" s="107"/>
      <c r="H154" s="107"/>
      <c r="I154" s="107"/>
      <c r="J154" s="107"/>
      <c r="K154" s="107"/>
      <c r="L154" s="107"/>
      <c r="M154" s="107"/>
      <c r="N154" s="107"/>
      <c r="O154" s="107"/>
      <c r="P154" s="487"/>
    </row>
    <row r="155" spans="2:17">
      <c r="B155" s="95" t="str">
        <f t="shared" si="8"/>
        <v>400G LR8, LR4</v>
      </c>
      <c r="C155" s="96" t="str">
        <f t="shared" si="8"/>
        <v>10 km</v>
      </c>
      <c r="D155" s="97" t="str">
        <f t="shared" si="8"/>
        <v>OSFP, QSFP-DD, QSFP112</v>
      </c>
      <c r="E155" s="107">
        <f>'Products x speed'!E166</f>
        <v>0</v>
      </c>
      <c r="F155" s="107">
        <f>'Products x speed'!F166</f>
        <v>15451.219512195123</v>
      </c>
      <c r="G155" s="107"/>
      <c r="H155" s="107"/>
      <c r="I155" s="107"/>
      <c r="J155" s="107"/>
      <c r="K155" s="107"/>
      <c r="L155" s="107"/>
      <c r="M155" s="107"/>
      <c r="N155" s="107"/>
      <c r="O155" s="107"/>
      <c r="P155" s="638"/>
    </row>
    <row r="156" spans="2:17">
      <c r="B156" s="91" t="str">
        <f t="shared" si="8"/>
        <v>400G ER4</v>
      </c>
      <c r="C156" s="92" t="str">
        <f t="shared" si="8"/>
        <v>40 km</v>
      </c>
      <c r="D156" s="93" t="str">
        <f t="shared" si="8"/>
        <v>TBD</v>
      </c>
      <c r="E156" s="106">
        <f>'Products x speed'!E167</f>
        <v>0</v>
      </c>
      <c r="F156" s="106" t="str">
        <f>'Products x speed'!F167</f>
        <v/>
      </c>
      <c r="G156" s="106"/>
      <c r="H156" s="106"/>
      <c r="I156" s="106"/>
      <c r="J156" s="106"/>
      <c r="K156" s="106"/>
      <c r="L156" s="106"/>
      <c r="M156" s="106"/>
      <c r="N156" s="106"/>
      <c r="O156" s="106"/>
      <c r="P156" s="639"/>
    </row>
    <row r="157" spans="2:17" s="100" customFormat="1">
      <c r="B157" s="95" t="str">
        <f t="shared" si="8"/>
        <v>800G SR8</v>
      </c>
      <c r="C157" s="96" t="str">
        <f t="shared" si="8"/>
        <v>50 m</v>
      </c>
      <c r="D157" s="97" t="str">
        <f t="shared" si="8"/>
        <v>OSFP, QSFP-DD800</v>
      </c>
      <c r="E157" s="107">
        <f>'Products x speed'!E168</f>
        <v>0</v>
      </c>
      <c r="F157" s="107">
        <f>'Products x speed'!F168</f>
        <v>0</v>
      </c>
      <c r="G157" s="107"/>
      <c r="H157" s="107"/>
      <c r="I157" s="107"/>
      <c r="J157" s="107"/>
      <c r="K157" s="107"/>
      <c r="L157" s="107"/>
      <c r="M157" s="107"/>
      <c r="N157" s="107"/>
      <c r="O157" s="107"/>
      <c r="P157" s="487"/>
      <c r="Q157" s="82"/>
    </row>
    <row r="158" spans="2:17" s="100" customFormat="1">
      <c r="B158" s="95" t="str">
        <f t="shared" si="8"/>
        <v>800G DR8, DR4</v>
      </c>
      <c r="C158" s="96" t="str">
        <f t="shared" si="8"/>
        <v>500 m</v>
      </c>
      <c r="D158" s="96" t="str">
        <f t="shared" si="8"/>
        <v>OSFP, QSFP-DD800</v>
      </c>
      <c r="E158" s="107">
        <f>'Products x speed'!E169</f>
        <v>0</v>
      </c>
      <c r="F158" s="107">
        <f>'Products x speed'!F169</f>
        <v>0</v>
      </c>
      <c r="G158" s="107"/>
      <c r="H158" s="107"/>
      <c r="I158" s="107"/>
      <c r="J158" s="107"/>
      <c r="K158" s="107"/>
      <c r="L158" s="107"/>
      <c r="M158" s="107"/>
      <c r="N158" s="107"/>
      <c r="O158" s="107"/>
      <c r="P158" s="487"/>
      <c r="Q158" s="82"/>
    </row>
    <row r="159" spans="2:17" s="100" customFormat="1">
      <c r="B159" s="95" t="str">
        <f t="shared" si="8"/>
        <v>2x(400G FR4), 800G FR4</v>
      </c>
      <c r="C159" s="96" t="str">
        <f t="shared" si="8"/>
        <v>2 km</v>
      </c>
      <c r="D159" s="96" t="str">
        <f t="shared" si="8"/>
        <v>OSFP, QSFP-DD800</v>
      </c>
      <c r="E159" s="107">
        <f>'Products x speed'!E170</f>
        <v>0</v>
      </c>
      <c r="F159" s="107">
        <f>'Products x speed'!F170</f>
        <v>0</v>
      </c>
      <c r="G159" s="107"/>
      <c r="H159" s="107"/>
      <c r="I159" s="107"/>
      <c r="J159" s="107"/>
      <c r="K159" s="107"/>
      <c r="L159" s="107"/>
      <c r="M159" s="107"/>
      <c r="N159" s="107"/>
      <c r="O159" s="107"/>
      <c r="P159" s="487"/>
      <c r="Q159" s="82"/>
    </row>
    <row r="160" spans="2:17" s="100" customFormat="1">
      <c r="B160" s="95" t="str">
        <f t="shared" ref="B160:D172" si="9">B75</f>
        <v>800G LR8, LR4</v>
      </c>
      <c r="C160" s="96" t="str">
        <f t="shared" si="9"/>
        <v>6, 10 km</v>
      </c>
      <c r="D160" s="96" t="str">
        <f t="shared" si="9"/>
        <v>TBD</v>
      </c>
      <c r="E160" s="107">
        <f>'Products x speed'!E171</f>
        <v>0</v>
      </c>
      <c r="F160" s="107">
        <f>'Products x speed'!F171</f>
        <v>0</v>
      </c>
      <c r="G160" s="107"/>
      <c r="H160" s="107"/>
      <c r="I160" s="107"/>
      <c r="J160" s="107"/>
      <c r="K160" s="107"/>
      <c r="L160" s="107"/>
      <c r="M160" s="107"/>
      <c r="N160" s="107"/>
      <c r="O160" s="107"/>
      <c r="P160" s="487"/>
      <c r="Q160" s="82"/>
    </row>
    <row r="161" spans="2:17" s="100" customFormat="1">
      <c r="B161" s="95" t="str">
        <f t="shared" si="9"/>
        <v>800G ZRlite</v>
      </c>
      <c r="C161" s="96" t="str">
        <f t="shared" si="9"/>
        <v>10 km, 20 km</v>
      </c>
      <c r="D161" s="96" t="str">
        <f t="shared" si="9"/>
        <v>TBD</v>
      </c>
      <c r="E161" s="107">
        <f>'Products x speed'!E172</f>
        <v>0</v>
      </c>
      <c r="F161" s="107">
        <f>'Products x speed'!F172</f>
        <v>0</v>
      </c>
      <c r="G161" s="107"/>
      <c r="H161" s="107"/>
      <c r="I161" s="107"/>
      <c r="J161" s="107"/>
      <c r="K161" s="107"/>
      <c r="L161" s="107"/>
      <c r="M161" s="107"/>
      <c r="N161" s="107"/>
      <c r="O161" s="107"/>
      <c r="P161" s="487"/>
      <c r="Q161" s="82"/>
    </row>
    <row r="162" spans="2:17" s="100" customFormat="1">
      <c r="B162" s="91" t="str">
        <f t="shared" si="9"/>
        <v>800G ER4</v>
      </c>
      <c r="C162" s="92" t="str">
        <f t="shared" si="9"/>
        <v>40 km</v>
      </c>
      <c r="D162" s="92" t="str">
        <f t="shared" si="9"/>
        <v>TBD</v>
      </c>
      <c r="E162" s="106">
        <f>'Products x speed'!E173</f>
        <v>0</v>
      </c>
      <c r="F162" s="106">
        <f>'Products x speed'!F173</f>
        <v>0</v>
      </c>
      <c r="G162" s="106"/>
      <c r="H162" s="106"/>
      <c r="I162" s="106"/>
      <c r="J162" s="106"/>
      <c r="K162" s="106"/>
      <c r="L162" s="106"/>
      <c r="M162" s="106"/>
      <c r="N162" s="106"/>
      <c r="O162" s="106"/>
      <c r="P162" s="487"/>
      <c r="Q162" s="82"/>
    </row>
    <row r="163" spans="2:17" s="100" customFormat="1">
      <c r="B163" s="95" t="str">
        <f t="shared" si="9"/>
        <v>1.6T SR16</v>
      </c>
      <c r="C163" s="96" t="str">
        <f t="shared" si="9"/>
        <v>100 m</v>
      </c>
      <c r="D163" s="96" t="str">
        <f t="shared" si="9"/>
        <v>OSFP-XD and TBD</v>
      </c>
      <c r="E163" s="107">
        <f>'Products x speed'!E174</f>
        <v>0</v>
      </c>
      <c r="F163" s="107">
        <f>'Products x speed'!F174</f>
        <v>0</v>
      </c>
      <c r="G163" s="107"/>
      <c r="H163" s="107"/>
      <c r="I163" s="107"/>
      <c r="J163" s="107"/>
      <c r="K163" s="107"/>
      <c r="L163" s="107"/>
      <c r="M163" s="107"/>
      <c r="N163" s="107"/>
      <c r="O163" s="107"/>
      <c r="P163" s="487"/>
      <c r="Q163" s="82"/>
    </row>
    <row r="164" spans="2:17" s="100" customFormat="1">
      <c r="B164" s="95" t="str">
        <f t="shared" si="9"/>
        <v>1.6T DR8</v>
      </c>
      <c r="C164" s="96" t="str">
        <f t="shared" si="9"/>
        <v>500 m</v>
      </c>
      <c r="D164" s="96" t="str">
        <f t="shared" si="9"/>
        <v>OSFP-XD and TBD</v>
      </c>
      <c r="E164" s="107">
        <f>'Products x speed'!E175</f>
        <v>0</v>
      </c>
      <c r="F164" s="107">
        <f>'Products x speed'!F175</f>
        <v>0</v>
      </c>
      <c r="G164" s="107"/>
      <c r="H164" s="107"/>
      <c r="I164" s="107"/>
      <c r="J164" s="107"/>
      <c r="K164" s="107"/>
      <c r="L164" s="107"/>
      <c r="M164" s="107"/>
      <c r="N164" s="107"/>
      <c r="O164" s="107"/>
      <c r="P164" s="487"/>
      <c r="Q164" s="82"/>
    </row>
    <row r="165" spans="2:17" s="100" customFormat="1">
      <c r="B165" s="95" t="str">
        <f t="shared" si="9"/>
        <v>1.6T FR8</v>
      </c>
      <c r="C165" s="96" t="str">
        <f t="shared" si="9"/>
        <v>2 km</v>
      </c>
      <c r="D165" s="96" t="str">
        <f t="shared" si="9"/>
        <v>OSFP-XD and TBD</v>
      </c>
      <c r="E165" s="107">
        <f>'Products x speed'!E176</f>
        <v>0</v>
      </c>
      <c r="F165" s="107">
        <f>'Products x speed'!F176</f>
        <v>0</v>
      </c>
      <c r="G165" s="107"/>
      <c r="H165" s="107"/>
      <c r="I165" s="107"/>
      <c r="J165" s="107"/>
      <c r="K165" s="107"/>
      <c r="L165" s="107"/>
      <c r="M165" s="107"/>
      <c r="N165" s="107"/>
      <c r="O165" s="107"/>
      <c r="P165" s="487"/>
      <c r="Q165" s="82"/>
    </row>
    <row r="166" spans="2:17" s="100" customFormat="1">
      <c r="B166" s="95" t="str">
        <f t="shared" si="9"/>
        <v>1.6T LR8</v>
      </c>
      <c r="C166" s="96" t="str">
        <f t="shared" si="9"/>
        <v>10 km</v>
      </c>
      <c r="D166" s="96" t="str">
        <f t="shared" si="9"/>
        <v>OSFP-XD and TBD</v>
      </c>
      <c r="E166" s="107">
        <f>'Products x speed'!E177</f>
        <v>0</v>
      </c>
      <c r="F166" s="107">
        <f>'Products x speed'!F177</f>
        <v>0</v>
      </c>
      <c r="G166" s="107"/>
      <c r="H166" s="107"/>
      <c r="I166" s="107"/>
      <c r="J166" s="107"/>
      <c r="K166" s="107"/>
      <c r="L166" s="107"/>
      <c r="M166" s="107"/>
      <c r="N166" s="107"/>
      <c r="O166" s="107"/>
      <c r="P166" s="487"/>
      <c r="Q166" s="82"/>
    </row>
    <row r="167" spans="2:17" s="100" customFormat="1">
      <c r="B167" s="91" t="str">
        <f t="shared" si="9"/>
        <v>1.6T ER8</v>
      </c>
      <c r="C167" s="92" t="str">
        <f t="shared" si="9"/>
        <v>&gt;10 km</v>
      </c>
      <c r="D167" s="92" t="str">
        <f t="shared" si="9"/>
        <v>OSFP-XD and TBD</v>
      </c>
      <c r="E167" s="106">
        <f>'Products x speed'!E178</f>
        <v>0</v>
      </c>
      <c r="F167" s="106">
        <f>'Products x speed'!F178</f>
        <v>0</v>
      </c>
      <c r="G167" s="106"/>
      <c r="H167" s="106"/>
      <c r="I167" s="106"/>
      <c r="J167" s="106"/>
      <c r="K167" s="106"/>
      <c r="L167" s="106"/>
      <c r="M167" s="106"/>
      <c r="N167" s="106"/>
      <c r="O167" s="106"/>
      <c r="P167" s="487"/>
      <c r="Q167" s="82"/>
    </row>
    <row r="168" spans="2:17" s="100" customFormat="1">
      <c r="B168" s="95" t="str">
        <f t="shared" si="9"/>
        <v>3.2T SR</v>
      </c>
      <c r="C168" s="96" t="str">
        <f t="shared" si="9"/>
        <v>100 m</v>
      </c>
      <c r="D168" s="96" t="str">
        <f t="shared" si="9"/>
        <v>OSFP-XD and TBD</v>
      </c>
      <c r="E168" s="107">
        <f>'Products x speed'!E179</f>
        <v>0</v>
      </c>
      <c r="F168" s="107">
        <f>'Products x speed'!F179</f>
        <v>0</v>
      </c>
      <c r="G168" s="107"/>
      <c r="H168" s="107"/>
      <c r="I168" s="107"/>
      <c r="J168" s="107"/>
      <c r="K168" s="107"/>
      <c r="L168" s="107"/>
      <c r="M168" s="107"/>
      <c r="N168" s="107"/>
      <c r="O168" s="107"/>
      <c r="P168" s="487"/>
      <c r="Q168" s="82"/>
    </row>
    <row r="169" spans="2:17" s="100" customFormat="1">
      <c r="B169" s="95" t="str">
        <f t="shared" si="9"/>
        <v>3.2T DR</v>
      </c>
      <c r="C169" s="96" t="str">
        <f t="shared" si="9"/>
        <v>500 m</v>
      </c>
      <c r="D169" s="96" t="str">
        <f t="shared" si="9"/>
        <v>OSFP-XD and TBD</v>
      </c>
      <c r="E169" s="107">
        <f>'Products x speed'!E180</f>
        <v>0</v>
      </c>
      <c r="F169" s="107">
        <f>'Products x speed'!F180</f>
        <v>0</v>
      </c>
      <c r="G169" s="107"/>
      <c r="H169" s="107"/>
      <c r="I169" s="107"/>
      <c r="J169" s="107"/>
      <c r="K169" s="107"/>
      <c r="L169" s="107"/>
      <c r="M169" s="107"/>
      <c r="N169" s="107"/>
      <c r="O169" s="107"/>
      <c r="P169" s="487"/>
      <c r="Q169" s="82"/>
    </row>
    <row r="170" spans="2:17" s="100" customFormat="1">
      <c r="B170" s="95" t="str">
        <f t="shared" si="9"/>
        <v>3.2T FR</v>
      </c>
      <c r="C170" s="96" t="str">
        <f t="shared" si="9"/>
        <v>2 km</v>
      </c>
      <c r="D170" s="96" t="str">
        <f t="shared" si="9"/>
        <v>OSFP-XD and TBD</v>
      </c>
      <c r="E170" s="107">
        <f>'Products x speed'!E181</f>
        <v>0</v>
      </c>
      <c r="F170" s="107">
        <f>'Products x speed'!F181</f>
        <v>0</v>
      </c>
      <c r="G170" s="107"/>
      <c r="H170" s="107"/>
      <c r="I170" s="107"/>
      <c r="J170" s="107"/>
      <c r="K170" s="107"/>
      <c r="L170" s="107"/>
      <c r="M170" s="107"/>
      <c r="N170" s="107"/>
      <c r="O170" s="107"/>
      <c r="P170" s="487"/>
      <c r="Q170" s="82"/>
    </row>
    <row r="171" spans="2:17" s="100" customFormat="1">
      <c r="B171" s="95" t="str">
        <f t="shared" si="9"/>
        <v>3.2T LR</v>
      </c>
      <c r="C171" s="96" t="str">
        <f t="shared" si="9"/>
        <v>10 km</v>
      </c>
      <c r="D171" s="96" t="str">
        <f t="shared" si="9"/>
        <v>OSFP-XD and TBD</v>
      </c>
      <c r="E171" s="107">
        <f>'Products x speed'!E182</f>
        <v>0</v>
      </c>
      <c r="F171" s="107">
        <f>'Products x speed'!F182</f>
        <v>0</v>
      </c>
      <c r="G171" s="107"/>
      <c r="H171" s="107"/>
      <c r="I171" s="107"/>
      <c r="J171" s="107"/>
      <c r="K171" s="107"/>
      <c r="L171" s="107"/>
      <c r="M171" s="107"/>
      <c r="N171" s="107"/>
      <c r="O171" s="107"/>
      <c r="P171" s="487"/>
      <c r="Q171" s="82"/>
    </row>
    <row r="172" spans="2:17" s="100" customFormat="1">
      <c r="B172" s="95" t="str">
        <f t="shared" si="9"/>
        <v>3.2T ER</v>
      </c>
      <c r="C172" s="96" t="str">
        <f t="shared" si="9"/>
        <v>&gt;10 km</v>
      </c>
      <c r="D172" s="96" t="str">
        <f t="shared" si="9"/>
        <v>OSFP-XD and TBD</v>
      </c>
      <c r="E172" s="107">
        <f>'Products x speed'!E183</f>
        <v>0</v>
      </c>
      <c r="F172" s="107">
        <f>'Products x speed'!F183</f>
        <v>0</v>
      </c>
      <c r="G172" s="107"/>
      <c r="H172" s="107"/>
      <c r="I172" s="107"/>
      <c r="J172" s="107"/>
      <c r="K172" s="107"/>
      <c r="L172" s="107"/>
      <c r="M172" s="107"/>
      <c r="N172" s="107"/>
      <c r="O172" s="107"/>
      <c r="P172" s="487"/>
      <c r="Q172" s="82"/>
    </row>
    <row r="173" spans="2:17" s="100" customFormat="1">
      <c r="B173" s="91">
        <f>B88</f>
        <v>0</v>
      </c>
      <c r="C173" s="92"/>
      <c r="D173" s="92"/>
      <c r="E173" s="107">
        <f>'Products x speed'!E184</f>
        <v>0</v>
      </c>
      <c r="F173" s="107">
        <f>'Products x speed'!F184</f>
        <v>0</v>
      </c>
      <c r="G173" s="107"/>
      <c r="H173" s="107"/>
      <c r="I173" s="107"/>
      <c r="J173" s="107"/>
      <c r="K173" s="107"/>
      <c r="L173" s="107"/>
      <c r="M173" s="107"/>
      <c r="N173" s="107"/>
      <c r="O173" s="107"/>
      <c r="Q173" s="82"/>
    </row>
    <row r="174" spans="2:17">
      <c r="B174" s="44" t="s">
        <v>20</v>
      </c>
      <c r="C174" s="45"/>
      <c r="D174" s="45"/>
      <c r="E174" s="110">
        <f t="shared" ref="E174:O174" si="10">IF(E89=0,,E259*10^6/E89)</f>
        <v>215.928687643648</v>
      </c>
      <c r="F174" s="110">
        <f t="shared" si="10"/>
        <v>176.04828654569386</v>
      </c>
      <c r="G174" s="110">
        <f t="shared" si="10"/>
        <v>0</v>
      </c>
      <c r="H174" s="110">
        <f t="shared" si="10"/>
        <v>0</v>
      </c>
      <c r="I174" s="110">
        <f t="shared" si="10"/>
        <v>0</v>
      </c>
      <c r="J174" s="110">
        <f t="shared" si="10"/>
        <v>0</v>
      </c>
      <c r="K174" s="110">
        <f t="shared" si="10"/>
        <v>0</v>
      </c>
      <c r="L174" s="110">
        <f t="shared" si="10"/>
        <v>0</v>
      </c>
      <c r="M174" s="110">
        <f t="shared" si="10"/>
        <v>0</v>
      </c>
      <c r="N174" s="110">
        <f t="shared" si="10"/>
        <v>0</v>
      </c>
      <c r="O174" s="110">
        <f t="shared" si="10"/>
        <v>0</v>
      </c>
    </row>
    <row r="176" spans="2:17">
      <c r="Q176" s="488"/>
    </row>
    <row r="177" spans="2:17" ht="21">
      <c r="B177" s="15" t="s">
        <v>29</v>
      </c>
      <c r="C177" s="14"/>
      <c r="D177" s="14"/>
      <c r="Q177" s="488"/>
    </row>
    <row r="178" spans="2:17">
      <c r="B178" s="85" t="e">
        <f>#REF!</f>
        <v>#REF!</v>
      </c>
      <c r="C178" s="85" t="e">
        <f>#REF!</f>
        <v>#REF!</v>
      </c>
      <c r="D178" s="85" t="e">
        <f>#REF!</f>
        <v>#REF!</v>
      </c>
      <c r="E178" s="104">
        <v>2016</v>
      </c>
      <c r="F178" s="104">
        <v>2017</v>
      </c>
      <c r="G178" s="104">
        <v>2018</v>
      </c>
      <c r="H178" s="104">
        <v>2019</v>
      </c>
      <c r="I178" s="104">
        <v>2020</v>
      </c>
      <c r="J178" s="104">
        <v>2021</v>
      </c>
      <c r="K178" s="104">
        <v>2022</v>
      </c>
      <c r="L178" s="104">
        <v>2023</v>
      </c>
      <c r="M178" s="104">
        <v>2024</v>
      </c>
      <c r="N178" s="104">
        <v>2025</v>
      </c>
      <c r="O178" s="104">
        <v>2026</v>
      </c>
      <c r="Q178" s="488"/>
    </row>
    <row r="179" spans="2:17">
      <c r="B179" s="87" t="str">
        <f t="shared" ref="B179:D198" si="11">B9</f>
        <v>1G</v>
      </c>
      <c r="C179" s="88" t="str">
        <f t="shared" si="11"/>
        <v>500 m</v>
      </c>
      <c r="D179" s="89" t="str">
        <f t="shared" si="11"/>
        <v>SFP</v>
      </c>
      <c r="E179" s="112">
        <f t="shared" ref="E179:F179" si="12">IF(E9=0,,E9*E94/10^6)</f>
        <v>0</v>
      </c>
      <c r="F179" s="112">
        <f t="shared" si="12"/>
        <v>0</v>
      </c>
      <c r="G179" s="112"/>
      <c r="H179" s="112"/>
      <c r="I179" s="112"/>
      <c r="J179" s="112"/>
      <c r="K179" s="112"/>
      <c r="L179" s="112"/>
      <c r="M179" s="112"/>
      <c r="N179" s="112"/>
      <c r="O179" s="112"/>
      <c r="Q179" s="488"/>
    </row>
    <row r="180" spans="2:17">
      <c r="B180" s="95" t="str">
        <f t="shared" si="11"/>
        <v>1G</v>
      </c>
      <c r="C180" s="96" t="str">
        <f t="shared" si="11"/>
        <v>10 km</v>
      </c>
      <c r="D180" s="97" t="str">
        <f t="shared" si="11"/>
        <v>SFP</v>
      </c>
      <c r="E180" s="114">
        <f t="shared" ref="E180:F180" si="13">IF(E10=0,,E10*E95/10^6)</f>
        <v>21.840082044880003</v>
      </c>
      <c r="F180" s="114">
        <f t="shared" si="13"/>
        <v>14.970518448056138</v>
      </c>
      <c r="G180" s="114"/>
      <c r="H180" s="114"/>
      <c r="I180" s="114"/>
      <c r="J180" s="114"/>
      <c r="K180" s="114"/>
      <c r="L180" s="114"/>
      <c r="M180" s="114"/>
      <c r="N180" s="114"/>
      <c r="O180" s="114"/>
      <c r="Q180" s="488"/>
    </row>
    <row r="181" spans="2:17">
      <c r="B181" s="95" t="str">
        <f t="shared" si="11"/>
        <v>1G</v>
      </c>
      <c r="C181" s="96" t="str">
        <f t="shared" si="11"/>
        <v>40 km</v>
      </c>
      <c r="D181" s="97" t="str">
        <f t="shared" si="11"/>
        <v>SFP</v>
      </c>
      <c r="E181" s="114">
        <f t="shared" ref="E181:F181" si="14">IF(E11=0,,E11*E96/10^6)</f>
        <v>4.0007415413598748</v>
      </c>
      <c r="F181" s="114">
        <f t="shared" si="14"/>
        <v>2.6908476678133564</v>
      </c>
      <c r="G181" s="114"/>
      <c r="H181" s="114"/>
      <c r="I181" s="114"/>
      <c r="J181" s="114"/>
      <c r="K181" s="114"/>
      <c r="L181" s="114"/>
      <c r="M181" s="114"/>
      <c r="N181" s="114"/>
      <c r="O181" s="114"/>
      <c r="Q181" s="488"/>
    </row>
    <row r="182" spans="2:17">
      <c r="B182" s="95" t="str">
        <f t="shared" si="11"/>
        <v>1G</v>
      </c>
      <c r="C182" s="96" t="str">
        <f t="shared" si="11"/>
        <v>80 km</v>
      </c>
      <c r="D182" s="96" t="str">
        <f t="shared" si="11"/>
        <v>SFP</v>
      </c>
      <c r="E182" s="114">
        <f t="shared" ref="E182:F183" si="15">IF(E12=0,,E12*E97/10^6)</f>
        <v>5.4436485260342007</v>
      </c>
      <c r="F182" s="114">
        <f t="shared" si="15"/>
        <v>4.4704450954117947</v>
      </c>
      <c r="G182" s="114"/>
      <c r="H182" s="114"/>
      <c r="I182" s="114"/>
      <c r="J182" s="114"/>
      <c r="K182" s="114"/>
      <c r="L182" s="114"/>
      <c r="M182" s="114"/>
      <c r="N182" s="114"/>
      <c r="O182" s="114"/>
      <c r="Q182" s="488"/>
    </row>
    <row r="183" spans="2:17">
      <c r="B183" s="91" t="str">
        <f t="shared" si="11"/>
        <v>1G &amp; Fast Ethernet</v>
      </c>
      <c r="C183" s="92" t="str">
        <f t="shared" si="11"/>
        <v>Various</v>
      </c>
      <c r="D183" s="92" t="str">
        <f t="shared" si="11"/>
        <v>Legacy/discontinued</v>
      </c>
      <c r="E183" s="113">
        <f t="shared" si="15"/>
        <v>1.8</v>
      </c>
      <c r="F183" s="113"/>
      <c r="G183" s="113"/>
      <c r="H183" s="113"/>
      <c r="I183" s="113"/>
      <c r="J183" s="113"/>
      <c r="K183" s="113"/>
      <c r="L183" s="113"/>
      <c r="M183" s="113"/>
      <c r="N183" s="113"/>
      <c r="O183" s="113"/>
      <c r="Q183" s="488"/>
    </row>
    <row r="184" spans="2:17">
      <c r="B184" s="95" t="str">
        <f t="shared" si="11"/>
        <v>10G</v>
      </c>
      <c r="C184" s="96" t="str">
        <f t="shared" si="11"/>
        <v>300 m</v>
      </c>
      <c r="D184" s="96" t="str">
        <f t="shared" si="11"/>
        <v>XFP</v>
      </c>
      <c r="E184" s="114">
        <f t="shared" ref="E184:F184" si="16">IF(E14=0,,E14*E99/10^6)</f>
        <v>0</v>
      </c>
      <c r="F184" s="114">
        <f t="shared" si="16"/>
        <v>0</v>
      </c>
      <c r="G184" s="114"/>
      <c r="H184" s="114"/>
      <c r="I184" s="114"/>
      <c r="J184" s="114"/>
      <c r="K184" s="114"/>
      <c r="L184" s="114"/>
      <c r="M184" s="114"/>
      <c r="N184" s="114"/>
      <c r="O184" s="114"/>
      <c r="Q184" s="488"/>
    </row>
    <row r="185" spans="2:17">
      <c r="B185" s="95" t="str">
        <f t="shared" si="11"/>
        <v>10G</v>
      </c>
      <c r="C185" s="96" t="str">
        <f t="shared" si="11"/>
        <v>300 m</v>
      </c>
      <c r="D185" s="96" t="str">
        <f t="shared" si="11"/>
        <v>SFP+</v>
      </c>
      <c r="E185" s="114">
        <f t="shared" ref="E185:F185" si="17">IF(E15=0,,E15*E100/10^6)</f>
        <v>0</v>
      </c>
      <c r="F185" s="114">
        <f t="shared" si="17"/>
        <v>0</v>
      </c>
      <c r="G185" s="114"/>
      <c r="H185" s="114"/>
      <c r="I185" s="114"/>
      <c r="J185" s="114"/>
      <c r="K185" s="114"/>
      <c r="L185" s="114"/>
      <c r="M185" s="114"/>
      <c r="N185" s="114"/>
      <c r="O185" s="114"/>
      <c r="Q185" s="488"/>
    </row>
    <row r="186" spans="2:17">
      <c r="B186" s="95" t="str">
        <f t="shared" si="11"/>
        <v>10G LRM</v>
      </c>
      <c r="C186" s="96" t="str">
        <f t="shared" si="11"/>
        <v>220 m</v>
      </c>
      <c r="D186" s="96" t="str">
        <f t="shared" si="11"/>
        <v>SFP+</v>
      </c>
      <c r="E186" s="114">
        <f t="shared" ref="E186:F186" si="18">IF(E16=0,,E16*E101/10^6)</f>
        <v>0</v>
      </c>
      <c r="F186" s="114">
        <f t="shared" si="18"/>
        <v>0</v>
      </c>
      <c r="G186" s="114"/>
      <c r="H186" s="114"/>
      <c r="I186" s="114"/>
      <c r="J186" s="114"/>
      <c r="K186" s="114"/>
      <c r="L186" s="114"/>
      <c r="M186" s="114"/>
      <c r="N186" s="114"/>
      <c r="O186" s="114"/>
      <c r="Q186" s="488"/>
    </row>
    <row r="187" spans="2:17">
      <c r="B187" s="95" t="str">
        <f t="shared" si="11"/>
        <v>10G</v>
      </c>
      <c r="C187" s="96" t="str">
        <f t="shared" si="11"/>
        <v>10 km</v>
      </c>
      <c r="D187" s="96" t="str">
        <f t="shared" si="11"/>
        <v>XFP</v>
      </c>
      <c r="E187" s="114">
        <f t="shared" ref="E187:F187" si="19">IF(E17=0,,E17*E102/10^6)</f>
        <v>5.7838927793079176</v>
      </c>
      <c r="F187" s="114">
        <f t="shared" si="19"/>
        <v>2.3655010555899549</v>
      </c>
      <c r="G187" s="114"/>
      <c r="H187" s="114"/>
      <c r="I187" s="114"/>
      <c r="J187" s="114"/>
      <c r="K187" s="114"/>
      <c r="L187" s="114"/>
      <c r="M187" s="114"/>
      <c r="N187" s="114"/>
      <c r="O187" s="114"/>
      <c r="Q187" s="488"/>
    </row>
    <row r="188" spans="2:17">
      <c r="B188" s="95" t="str">
        <f t="shared" si="11"/>
        <v>10G</v>
      </c>
      <c r="C188" s="96" t="str">
        <f t="shared" si="11"/>
        <v>10 km</v>
      </c>
      <c r="D188" s="96" t="str">
        <f t="shared" si="11"/>
        <v>SFP+</v>
      </c>
      <c r="E188" s="114">
        <f t="shared" ref="E188:F188" si="20">IF(E18=0,,E18*E103/10^6)</f>
        <v>47.513225315240646</v>
      </c>
      <c r="F188" s="114">
        <f t="shared" si="20"/>
        <v>38.969269843312269</v>
      </c>
      <c r="G188" s="114"/>
      <c r="H188" s="114"/>
      <c r="I188" s="114"/>
      <c r="J188" s="114"/>
      <c r="K188" s="114"/>
      <c r="L188" s="114"/>
      <c r="M188" s="114"/>
      <c r="N188" s="114"/>
      <c r="O188" s="114"/>
      <c r="Q188" s="488"/>
    </row>
    <row r="189" spans="2:17">
      <c r="B189" s="95" t="str">
        <f t="shared" si="11"/>
        <v>10G</v>
      </c>
      <c r="C189" s="96" t="str">
        <f t="shared" si="11"/>
        <v>40 km</v>
      </c>
      <c r="D189" s="96" t="str">
        <f t="shared" si="11"/>
        <v>XFP</v>
      </c>
      <c r="E189" s="114">
        <f t="shared" ref="E189:F189" si="21">IF(E19=0,,E19*E104/10^6)</f>
        <v>24.783116502012003</v>
      </c>
      <c r="F189" s="114">
        <f t="shared" si="21"/>
        <v>11.965126571097626</v>
      </c>
      <c r="G189" s="114"/>
      <c r="H189" s="114"/>
      <c r="I189" s="114"/>
      <c r="J189" s="114"/>
      <c r="K189" s="114"/>
      <c r="L189" s="114"/>
      <c r="M189" s="114"/>
      <c r="N189" s="114"/>
      <c r="O189" s="114"/>
      <c r="Q189" s="488"/>
    </row>
    <row r="190" spans="2:17">
      <c r="B190" s="95" t="str">
        <f t="shared" si="11"/>
        <v>10G</v>
      </c>
      <c r="C190" s="96" t="str">
        <f t="shared" si="11"/>
        <v>40 km</v>
      </c>
      <c r="D190" s="96" t="str">
        <f t="shared" si="11"/>
        <v>SFP+</v>
      </c>
      <c r="E190" s="114">
        <f t="shared" ref="E190:F190" si="22">IF(E20=0,,E20*E105/10^6)</f>
        <v>34.519978898803679</v>
      </c>
      <c r="F190" s="114">
        <f t="shared" si="22"/>
        <v>28.16904706949456</v>
      </c>
      <c r="G190" s="114"/>
      <c r="H190" s="114"/>
      <c r="I190" s="114"/>
      <c r="J190" s="114"/>
      <c r="K190" s="114"/>
      <c r="L190" s="114"/>
      <c r="M190" s="114"/>
      <c r="N190" s="114"/>
      <c r="O190" s="114"/>
      <c r="Q190" s="488"/>
    </row>
    <row r="191" spans="2:17">
      <c r="B191" s="95" t="str">
        <f t="shared" si="11"/>
        <v>10G</v>
      </c>
      <c r="C191" s="96" t="str">
        <f t="shared" si="11"/>
        <v>80 km</v>
      </c>
      <c r="D191" s="96" t="str">
        <f t="shared" si="11"/>
        <v>XFP</v>
      </c>
      <c r="E191" s="114">
        <f t="shared" ref="E191:F191" si="23">IF(E21=0,,E21*E106/10^6)</f>
        <v>18.705963697892301</v>
      </c>
      <c r="F191" s="114">
        <f t="shared" si="23"/>
        <v>2.6384714875083346</v>
      </c>
      <c r="G191" s="114"/>
      <c r="H191" s="114"/>
      <c r="I191" s="114"/>
      <c r="J191" s="114"/>
      <c r="K191" s="114"/>
      <c r="L191" s="114"/>
      <c r="M191" s="114"/>
      <c r="N191" s="114"/>
      <c r="O191" s="114"/>
      <c r="Q191" s="488"/>
    </row>
    <row r="192" spans="2:17">
      <c r="B192" s="95" t="str">
        <f t="shared" si="11"/>
        <v>10G</v>
      </c>
      <c r="C192" s="96" t="str">
        <f t="shared" si="11"/>
        <v>80 km</v>
      </c>
      <c r="D192" s="96" t="str">
        <f t="shared" si="11"/>
        <v>SFP+</v>
      </c>
      <c r="E192" s="114">
        <f t="shared" ref="E192:F193" si="24">IF(E22=0,,E22*E107/10^6)</f>
        <v>15.89513332813862</v>
      </c>
      <c r="F192" s="114">
        <f t="shared" si="24"/>
        <v>18.666526637661988</v>
      </c>
      <c r="G192" s="114"/>
      <c r="H192" s="114"/>
      <c r="I192" s="114"/>
      <c r="J192" s="114"/>
      <c r="K192" s="114"/>
      <c r="L192" s="114"/>
      <c r="M192" s="114"/>
      <c r="N192" s="114"/>
      <c r="O192" s="114"/>
      <c r="Q192" s="488"/>
    </row>
    <row r="193" spans="2:17">
      <c r="B193" s="95" t="str">
        <f t="shared" si="11"/>
        <v>10G</v>
      </c>
      <c r="C193" s="96" t="str">
        <f t="shared" si="11"/>
        <v>Various</v>
      </c>
      <c r="D193" s="96" t="str">
        <f t="shared" si="11"/>
        <v>Legacy/discontinued</v>
      </c>
      <c r="E193" s="114">
        <f t="shared" si="24"/>
        <v>3.2231545150000001</v>
      </c>
      <c r="F193" s="114">
        <f t="shared" si="24"/>
        <v>1.1468830000000003</v>
      </c>
      <c r="G193" s="114"/>
      <c r="H193" s="114"/>
      <c r="I193" s="114"/>
      <c r="J193" s="114"/>
      <c r="K193" s="114"/>
      <c r="L193" s="114"/>
      <c r="M193" s="114"/>
      <c r="N193" s="114"/>
      <c r="O193" s="114"/>
      <c r="Q193" s="488"/>
    </row>
    <row r="194" spans="2:17">
      <c r="B194" s="87" t="str">
        <f t="shared" si="11"/>
        <v>25G SR, eSR</v>
      </c>
      <c r="C194" s="88" t="str">
        <f t="shared" si="11"/>
        <v>100 - 300 m</v>
      </c>
      <c r="D194" s="89" t="str">
        <f t="shared" si="11"/>
        <v>SFP28</v>
      </c>
      <c r="E194" s="112">
        <f t="shared" ref="E194:F194" si="25">IF(E24=0,,E24*E109/10^6)</f>
        <v>0</v>
      </c>
      <c r="F194" s="112">
        <f t="shared" si="25"/>
        <v>0</v>
      </c>
      <c r="G194" s="112"/>
      <c r="H194" s="112"/>
      <c r="I194" s="112"/>
      <c r="J194" s="112"/>
      <c r="K194" s="112"/>
      <c r="L194" s="112"/>
      <c r="M194" s="112"/>
      <c r="N194" s="112"/>
      <c r="O194" s="112"/>
      <c r="Q194" s="488"/>
    </row>
    <row r="195" spans="2:17">
      <c r="B195" s="95" t="str">
        <f t="shared" si="11"/>
        <v>25G LR</v>
      </c>
      <c r="C195" s="96" t="str">
        <f t="shared" si="11"/>
        <v>10 km</v>
      </c>
      <c r="D195" s="97" t="str">
        <f t="shared" si="11"/>
        <v>SFP28</v>
      </c>
      <c r="E195" s="114">
        <f t="shared" ref="E195:F195" si="26">IF(E25=0,,E25*E110/10^6)</f>
        <v>0.62249429999999994</v>
      </c>
      <c r="F195" s="114">
        <f t="shared" si="26"/>
        <v>1.6978488920742698</v>
      </c>
      <c r="G195" s="114"/>
      <c r="H195" s="114"/>
      <c r="I195" s="114"/>
      <c r="J195" s="114"/>
      <c r="K195" s="114"/>
      <c r="L195" s="114"/>
      <c r="M195" s="114"/>
      <c r="N195" s="114"/>
      <c r="O195" s="114"/>
      <c r="Q195" s="488"/>
    </row>
    <row r="196" spans="2:17">
      <c r="B196" s="91" t="str">
        <f t="shared" si="11"/>
        <v>25G ER</v>
      </c>
      <c r="C196" s="92" t="str">
        <f t="shared" si="11"/>
        <v>40 km</v>
      </c>
      <c r="D196" s="93" t="str">
        <f t="shared" si="11"/>
        <v>SFP28</v>
      </c>
      <c r="E196" s="113">
        <f t="shared" ref="E196:F196" si="27">IF(E26=0,,E26*E111/10^6)</f>
        <v>0</v>
      </c>
      <c r="F196" s="113">
        <f t="shared" si="27"/>
        <v>0</v>
      </c>
      <c r="G196" s="113"/>
      <c r="H196" s="113"/>
      <c r="I196" s="113"/>
      <c r="J196" s="113"/>
      <c r="K196" s="113"/>
      <c r="L196" s="113"/>
      <c r="M196" s="113"/>
      <c r="N196" s="113"/>
      <c r="O196" s="113"/>
      <c r="Q196" s="488"/>
    </row>
    <row r="197" spans="2:17">
      <c r="B197" s="87" t="str">
        <f t="shared" si="11"/>
        <v>40G SR4</v>
      </c>
      <c r="C197" s="88" t="str">
        <f t="shared" si="11"/>
        <v>100 m</v>
      </c>
      <c r="D197" s="89" t="str">
        <f t="shared" si="11"/>
        <v>QSFP+</v>
      </c>
      <c r="E197" s="112">
        <f t="shared" ref="E197:F197" si="28">IF(E27=0,,E27*E112/10^6)</f>
        <v>3.0907281104444446</v>
      </c>
      <c r="F197" s="112">
        <f t="shared" si="28"/>
        <v>3.1903223936670364</v>
      </c>
      <c r="G197" s="112"/>
      <c r="H197" s="112"/>
      <c r="I197" s="112"/>
      <c r="J197" s="112"/>
      <c r="K197" s="112"/>
      <c r="L197" s="112"/>
      <c r="M197" s="112"/>
      <c r="N197" s="112"/>
      <c r="O197" s="112"/>
      <c r="Q197" s="488"/>
    </row>
    <row r="198" spans="2:17">
      <c r="B198" s="95" t="str">
        <f t="shared" si="11"/>
        <v>40G MM duplex</v>
      </c>
      <c r="C198" s="96" t="str">
        <f t="shared" si="11"/>
        <v>100 m</v>
      </c>
      <c r="D198" s="97" t="str">
        <f t="shared" si="11"/>
        <v>QSFP+</v>
      </c>
      <c r="E198" s="114">
        <f t="shared" ref="E198:F198" si="29">IF(E28=0,,E28*E113/10^6)</f>
        <v>0</v>
      </c>
      <c r="F198" s="114">
        <f t="shared" si="29"/>
        <v>0</v>
      </c>
      <c r="G198" s="114"/>
      <c r="H198" s="114"/>
      <c r="I198" s="114"/>
      <c r="J198" s="114"/>
      <c r="K198" s="114"/>
      <c r="L198" s="114"/>
      <c r="M198" s="114"/>
      <c r="N198" s="114"/>
      <c r="O198" s="114"/>
      <c r="Q198" s="488"/>
    </row>
    <row r="199" spans="2:17">
      <c r="B199" s="95" t="str">
        <f t="shared" ref="B199:D218" si="30">B29</f>
        <v>40G eSR4</v>
      </c>
      <c r="C199" s="96" t="str">
        <f t="shared" si="30"/>
        <v>300 m</v>
      </c>
      <c r="D199" s="97" t="str">
        <f t="shared" si="30"/>
        <v>QSFP+</v>
      </c>
      <c r="E199" s="114">
        <f t="shared" ref="E199:F199" si="31">IF(E29=0,,E29*E114/10^6)</f>
        <v>1.4680941655000002</v>
      </c>
      <c r="F199" s="114">
        <f t="shared" si="31"/>
        <v>1.8894499999999999</v>
      </c>
      <c r="G199" s="114"/>
      <c r="H199" s="114"/>
      <c r="I199" s="114"/>
      <c r="J199" s="114"/>
      <c r="K199" s="114"/>
      <c r="L199" s="114"/>
      <c r="M199" s="114"/>
      <c r="N199" s="114"/>
      <c r="O199" s="114"/>
      <c r="Q199" s="488"/>
    </row>
    <row r="200" spans="2:17">
      <c r="B200" s="95" t="str">
        <f t="shared" si="30"/>
        <v>40 G PSM4</v>
      </c>
      <c r="C200" s="96" t="str">
        <f t="shared" si="30"/>
        <v>500 m</v>
      </c>
      <c r="D200" s="97" t="str">
        <f t="shared" si="30"/>
        <v>QSFP+</v>
      </c>
      <c r="E200" s="114">
        <f t="shared" ref="E200:F200" si="32">IF(E30=0,,E30*E115/10^6)</f>
        <v>0</v>
      </c>
      <c r="F200" s="114">
        <f t="shared" si="32"/>
        <v>0</v>
      </c>
      <c r="G200" s="114"/>
      <c r="H200" s="114"/>
      <c r="I200" s="114"/>
      <c r="J200" s="114"/>
      <c r="K200" s="114"/>
      <c r="L200" s="114"/>
      <c r="M200" s="114"/>
      <c r="N200" s="114"/>
      <c r="O200" s="114"/>
      <c r="Q200" s="488"/>
    </row>
    <row r="201" spans="2:17">
      <c r="B201" s="95" t="str">
        <f t="shared" si="30"/>
        <v>40G (FR)</v>
      </c>
      <c r="C201" s="96" t="str">
        <f t="shared" si="30"/>
        <v>2 km</v>
      </c>
      <c r="D201" s="97" t="str">
        <f t="shared" si="30"/>
        <v>CFP</v>
      </c>
      <c r="E201" s="114">
        <f t="shared" ref="E201:F201" si="33">IF(E31=0,,E31*E116/10^6)</f>
        <v>3.6147868986222091</v>
      </c>
      <c r="F201" s="114">
        <f t="shared" si="33"/>
        <v>2.1111758458730683</v>
      </c>
      <c r="G201" s="114"/>
      <c r="H201" s="114"/>
      <c r="I201" s="114"/>
      <c r="J201" s="114"/>
      <c r="K201" s="114"/>
      <c r="L201" s="114"/>
      <c r="M201" s="114"/>
      <c r="N201" s="114"/>
      <c r="O201" s="114"/>
      <c r="Q201" s="488"/>
    </row>
    <row r="202" spans="2:17">
      <c r="B202" s="95" t="str">
        <f t="shared" si="30"/>
        <v>40G (LR4 subspec)</v>
      </c>
      <c r="C202" s="96" t="str">
        <f t="shared" si="30"/>
        <v>2 km</v>
      </c>
      <c r="D202" s="97" t="str">
        <f t="shared" si="30"/>
        <v>QSFP+</v>
      </c>
      <c r="E202" s="114">
        <f t="shared" ref="E202:F202" si="34">IF(E32=0,,E32*E117/10^6)</f>
        <v>0</v>
      </c>
      <c r="F202" s="114">
        <f t="shared" si="34"/>
        <v>0</v>
      </c>
      <c r="G202" s="114"/>
      <c r="H202" s="114"/>
      <c r="I202" s="114"/>
      <c r="J202" s="114"/>
      <c r="K202" s="114"/>
      <c r="L202" s="114"/>
      <c r="M202" s="114"/>
      <c r="N202" s="114"/>
      <c r="O202" s="114"/>
      <c r="Q202" s="488"/>
    </row>
    <row r="203" spans="2:17">
      <c r="B203" s="95" t="str">
        <f t="shared" si="30"/>
        <v>40G</v>
      </c>
      <c r="C203" s="96" t="str">
        <f t="shared" si="30"/>
        <v>10 km</v>
      </c>
      <c r="D203" s="97" t="str">
        <f t="shared" si="30"/>
        <v>CFP</v>
      </c>
      <c r="E203" s="114">
        <f t="shared" ref="E203:F203" si="35">IF(E33=0,,E33*E118/10^6)</f>
        <v>7.4284258264680547</v>
      </c>
      <c r="F203" s="114">
        <f t="shared" si="35"/>
        <v>3.6524276733586274</v>
      </c>
      <c r="G203" s="114"/>
      <c r="H203" s="114"/>
      <c r="I203" s="114"/>
      <c r="J203" s="114"/>
      <c r="K203" s="114"/>
      <c r="L203" s="114"/>
      <c r="M203" s="114"/>
      <c r="N203" s="114"/>
      <c r="O203" s="114"/>
      <c r="Q203" s="488"/>
    </row>
    <row r="204" spans="2:17">
      <c r="B204" s="95" t="str">
        <f t="shared" si="30"/>
        <v>40G</v>
      </c>
      <c r="C204" s="96" t="str">
        <f t="shared" si="30"/>
        <v>10 km</v>
      </c>
      <c r="D204" s="97" t="str">
        <f t="shared" si="30"/>
        <v>QSFP+</v>
      </c>
      <c r="E204" s="114">
        <f t="shared" ref="E204:F204" si="36">IF(E34=0,,E34*E119/10^6)</f>
        <v>0</v>
      </c>
      <c r="F204" s="114">
        <f t="shared" si="36"/>
        <v>0</v>
      </c>
      <c r="G204" s="114"/>
      <c r="H204" s="114"/>
      <c r="I204" s="114"/>
      <c r="J204" s="114"/>
      <c r="K204" s="114"/>
      <c r="L204" s="114"/>
      <c r="M204" s="114"/>
      <c r="N204" s="114"/>
      <c r="O204" s="114"/>
      <c r="Q204" s="488"/>
    </row>
    <row r="205" spans="2:17">
      <c r="B205" s="91" t="str">
        <f t="shared" si="30"/>
        <v>40G</v>
      </c>
      <c r="C205" s="92" t="str">
        <f t="shared" si="30"/>
        <v>40 km</v>
      </c>
      <c r="D205" s="93" t="str">
        <f t="shared" si="30"/>
        <v>QSFP+</v>
      </c>
      <c r="E205" s="113">
        <f t="shared" ref="E205:F205" si="37">IF(E35=0,,E35*E120/10^6)</f>
        <v>2.456382628644874</v>
      </c>
      <c r="F205" s="113">
        <f t="shared" si="37"/>
        <v>1.8231073760232492</v>
      </c>
      <c r="G205" s="113"/>
      <c r="H205" s="113"/>
      <c r="I205" s="113"/>
      <c r="J205" s="113"/>
      <c r="K205" s="113"/>
      <c r="L205" s="113"/>
      <c r="M205" s="113"/>
      <c r="N205" s="113"/>
      <c r="O205" s="113"/>
      <c r="Q205" s="488"/>
    </row>
    <row r="206" spans="2:17">
      <c r="B206" s="87" t="str">
        <f t="shared" si="30"/>
        <v xml:space="preserve">50G </v>
      </c>
      <c r="C206" s="88" t="str">
        <f t="shared" si="30"/>
        <v>100 m</v>
      </c>
      <c r="D206" s="89" t="str">
        <f t="shared" si="30"/>
        <v>all</v>
      </c>
      <c r="E206" s="112">
        <f t="shared" ref="E206:F206" si="38">IF(E36=0,,E36*E121/10^6)</f>
        <v>0</v>
      </c>
      <c r="F206" s="112">
        <f t="shared" si="38"/>
        <v>0</v>
      </c>
      <c r="G206" s="112"/>
      <c r="H206" s="112"/>
      <c r="I206" s="112"/>
      <c r="J206" s="112"/>
      <c r="K206" s="112"/>
      <c r="L206" s="112"/>
      <c r="M206" s="112"/>
      <c r="N206" s="112"/>
      <c r="O206" s="112"/>
      <c r="Q206" s="488"/>
    </row>
    <row r="207" spans="2:17">
      <c r="B207" s="95" t="str">
        <f t="shared" si="30"/>
        <v xml:space="preserve">50G </v>
      </c>
      <c r="C207" s="96" t="str">
        <f t="shared" si="30"/>
        <v>2 km</v>
      </c>
      <c r="D207" s="97" t="str">
        <f t="shared" si="30"/>
        <v>all</v>
      </c>
      <c r="E207" s="114">
        <f t="shared" ref="E207:F207" si="39">IF(E37=0,,E37*E122/10^6)</f>
        <v>0</v>
      </c>
      <c r="F207" s="114">
        <f t="shared" si="39"/>
        <v>0</v>
      </c>
      <c r="G207" s="114"/>
      <c r="H207" s="114"/>
      <c r="I207" s="114"/>
      <c r="J207" s="114"/>
      <c r="K207" s="114"/>
      <c r="L207" s="114"/>
      <c r="M207" s="114"/>
      <c r="N207" s="114"/>
      <c r="O207" s="114"/>
      <c r="Q207" s="488"/>
    </row>
    <row r="208" spans="2:17">
      <c r="B208" s="95" t="str">
        <f t="shared" si="30"/>
        <v xml:space="preserve">50G </v>
      </c>
      <c r="C208" s="96" t="str">
        <f t="shared" si="30"/>
        <v>10 km</v>
      </c>
      <c r="D208" s="97" t="str">
        <f t="shared" si="30"/>
        <v>all</v>
      </c>
      <c r="E208" s="114">
        <f t="shared" ref="E208:F208" si="40">IF(E38=0,,E38*E123/10^6)</f>
        <v>0</v>
      </c>
      <c r="F208" s="114">
        <f t="shared" si="40"/>
        <v>0</v>
      </c>
      <c r="G208" s="114"/>
      <c r="H208" s="114"/>
      <c r="I208" s="114"/>
      <c r="J208" s="114"/>
      <c r="K208" s="114"/>
      <c r="L208" s="114"/>
      <c r="M208" s="114"/>
      <c r="N208" s="114"/>
      <c r="O208" s="114"/>
      <c r="Q208" s="488"/>
    </row>
    <row r="209" spans="2:17">
      <c r="B209" s="95" t="str">
        <f t="shared" si="30"/>
        <v xml:space="preserve">50G </v>
      </c>
      <c r="C209" s="96" t="str">
        <f t="shared" si="30"/>
        <v>40 km</v>
      </c>
      <c r="D209" s="97" t="str">
        <f t="shared" si="30"/>
        <v>all</v>
      </c>
      <c r="E209" s="114">
        <f t="shared" ref="E209:F209" si="41">IF(E39=0,,E39*E124/10^6)</f>
        <v>0</v>
      </c>
      <c r="F209" s="114">
        <f t="shared" si="41"/>
        <v>0</v>
      </c>
      <c r="G209" s="114"/>
      <c r="H209" s="114"/>
      <c r="I209" s="114"/>
      <c r="J209" s="114"/>
      <c r="K209" s="114"/>
      <c r="L209" s="114"/>
      <c r="M209" s="114"/>
      <c r="N209" s="114"/>
      <c r="O209" s="114"/>
      <c r="Q209" s="488"/>
    </row>
    <row r="210" spans="2:17">
      <c r="B210" s="95" t="str">
        <f t="shared" si="30"/>
        <v xml:space="preserve">50G </v>
      </c>
      <c r="C210" s="96" t="str">
        <f t="shared" si="30"/>
        <v>80 km</v>
      </c>
      <c r="D210" s="97" t="str">
        <f t="shared" si="30"/>
        <v>all</v>
      </c>
      <c r="E210" s="114">
        <f t="shared" ref="E210:F210" si="42">IF(E40=0,,E40*E125/10^6)</f>
        <v>0</v>
      </c>
      <c r="F210" s="114">
        <f t="shared" si="42"/>
        <v>0</v>
      </c>
      <c r="G210" s="114"/>
      <c r="H210" s="114"/>
      <c r="I210" s="114"/>
      <c r="J210" s="114"/>
      <c r="K210" s="114"/>
      <c r="L210" s="114"/>
      <c r="M210" s="114"/>
      <c r="N210" s="114"/>
      <c r="O210" s="114"/>
      <c r="Q210" s="488"/>
    </row>
    <row r="211" spans="2:17">
      <c r="B211" s="87" t="str">
        <f t="shared" si="30"/>
        <v>100G SR4</v>
      </c>
      <c r="C211" s="88" t="str">
        <f t="shared" si="30"/>
        <v>100 m</v>
      </c>
      <c r="D211" s="89" t="str">
        <f t="shared" si="30"/>
        <v>CFP</v>
      </c>
      <c r="E211" s="112">
        <f t="shared" ref="E211:F211" si="43">IF(E41=0,,E41*E126/10^6)</f>
        <v>21.078782</v>
      </c>
      <c r="F211" s="112">
        <f t="shared" si="43"/>
        <v>8.8030050000000024</v>
      </c>
      <c r="G211" s="112"/>
      <c r="H211" s="112"/>
      <c r="I211" s="112"/>
      <c r="J211" s="112"/>
      <c r="K211" s="112"/>
      <c r="L211" s="112"/>
      <c r="M211" s="112"/>
      <c r="N211" s="112"/>
      <c r="O211" s="112"/>
      <c r="Q211" s="488"/>
    </row>
    <row r="212" spans="2:17">
      <c r="B212" s="95" t="str">
        <f t="shared" si="30"/>
        <v>100G SR4</v>
      </c>
      <c r="C212" s="96" t="str">
        <f t="shared" si="30"/>
        <v>100 m</v>
      </c>
      <c r="D212" s="97" t="str">
        <f t="shared" si="30"/>
        <v>CFP2/4</v>
      </c>
      <c r="E212" s="114">
        <f t="shared" ref="E212:F212" si="44">IF(E42=0,,E42*E127/10^6)</f>
        <v>5.2611999999999997</v>
      </c>
      <c r="F212" s="114">
        <f t="shared" si="44"/>
        <v>2.4791280000000007</v>
      </c>
      <c r="G212" s="114"/>
      <c r="H212" s="114"/>
      <c r="I212" s="114"/>
      <c r="J212" s="114"/>
      <c r="K212" s="114"/>
      <c r="L212" s="114"/>
      <c r="M212" s="114"/>
      <c r="N212" s="114"/>
      <c r="O212" s="114"/>
      <c r="Q212" s="488"/>
    </row>
    <row r="213" spans="2:17">
      <c r="B213" s="95" t="str">
        <f t="shared" si="30"/>
        <v>100G SR4</v>
      </c>
      <c r="C213" s="96" t="str">
        <f t="shared" si="30"/>
        <v>100 m</v>
      </c>
      <c r="D213" s="97" t="str">
        <f t="shared" si="30"/>
        <v>QSFP28</v>
      </c>
      <c r="E213" s="114">
        <f t="shared" ref="E213:F213" si="45">IF(E43=0,,E43*E128/10^6)</f>
        <v>0</v>
      </c>
      <c r="F213" s="114">
        <f t="shared" si="45"/>
        <v>0</v>
      </c>
      <c r="G213" s="114"/>
      <c r="H213" s="114"/>
      <c r="I213" s="114"/>
      <c r="J213" s="114"/>
      <c r="K213" s="114"/>
      <c r="L213" s="114"/>
      <c r="M213" s="114"/>
      <c r="N213" s="114"/>
      <c r="O213" s="114"/>
      <c r="Q213" s="488"/>
    </row>
    <row r="214" spans="2:17">
      <c r="B214" s="95" t="str">
        <f t="shared" si="30"/>
        <v>100G SR2</v>
      </c>
      <c r="C214" s="96" t="str">
        <f t="shared" si="30"/>
        <v>100 m</v>
      </c>
      <c r="D214" s="97" t="str">
        <f t="shared" si="30"/>
        <v>All</v>
      </c>
      <c r="E214" s="114">
        <f t="shared" ref="E214:F214" si="46">IF(E44=0,,E44*E129/10^6)</f>
        <v>0</v>
      </c>
      <c r="F214" s="114">
        <f t="shared" si="46"/>
        <v>0</v>
      </c>
      <c r="G214" s="114"/>
      <c r="H214" s="114"/>
      <c r="I214" s="114"/>
      <c r="J214" s="114"/>
      <c r="K214" s="114"/>
      <c r="L214" s="114"/>
      <c r="M214" s="114"/>
      <c r="N214" s="114"/>
      <c r="O214" s="114"/>
      <c r="Q214" s="488"/>
    </row>
    <row r="215" spans="2:17">
      <c r="B215" s="95" t="str">
        <f t="shared" si="30"/>
        <v>100G MM Duplex</v>
      </c>
      <c r="C215" s="96" t="str">
        <f t="shared" si="30"/>
        <v>100 - 300 m</v>
      </c>
      <c r="D215" s="97" t="str">
        <f t="shared" si="30"/>
        <v>QSFP28</v>
      </c>
      <c r="E215" s="114">
        <f t="shared" ref="E215:F215" si="47">IF(E45=0,,E45*E130/10^6)</f>
        <v>0</v>
      </c>
      <c r="F215" s="114">
        <f t="shared" si="47"/>
        <v>0</v>
      </c>
      <c r="G215" s="114"/>
      <c r="H215" s="114"/>
      <c r="I215" s="114"/>
      <c r="J215" s="114"/>
      <c r="K215" s="114"/>
      <c r="L215" s="114"/>
      <c r="M215" s="114"/>
      <c r="N215" s="114"/>
      <c r="O215" s="114"/>
      <c r="Q215" s="488"/>
    </row>
    <row r="216" spans="2:17">
      <c r="B216" s="95" t="str">
        <f t="shared" si="30"/>
        <v>100G eSR4</v>
      </c>
      <c r="C216" s="96" t="str">
        <f t="shared" si="30"/>
        <v>300 m</v>
      </c>
      <c r="D216" s="97" t="str">
        <f t="shared" si="30"/>
        <v>QSFP28</v>
      </c>
      <c r="E216" s="114">
        <f t="shared" ref="E216:F216" si="48">IF(E46=0,,E46*E131/10^6)</f>
        <v>0</v>
      </c>
      <c r="F216" s="114">
        <f t="shared" si="48"/>
        <v>0</v>
      </c>
      <c r="G216" s="114"/>
      <c r="H216" s="114"/>
      <c r="I216" s="114"/>
      <c r="J216" s="114"/>
      <c r="K216" s="114"/>
      <c r="L216" s="114"/>
      <c r="M216" s="114"/>
      <c r="N216" s="114"/>
      <c r="O216" s="114"/>
      <c r="Q216" s="488"/>
    </row>
    <row r="217" spans="2:17">
      <c r="B217" s="95" t="str">
        <f t="shared" si="30"/>
        <v>100G PSM4</v>
      </c>
      <c r="C217" s="96" t="str">
        <f t="shared" si="30"/>
        <v>500 m</v>
      </c>
      <c r="D217" s="97" t="str">
        <f t="shared" si="30"/>
        <v>QSFP28</v>
      </c>
      <c r="E217" s="114">
        <f t="shared" ref="E217:F217" si="49">IF(E47=0,,E47*E132/10^6)</f>
        <v>0</v>
      </c>
      <c r="F217" s="114">
        <f t="shared" si="49"/>
        <v>0</v>
      </c>
      <c r="G217" s="114"/>
      <c r="H217" s="114"/>
      <c r="I217" s="114"/>
      <c r="J217" s="114"/>
      <c r="K217" s="114"/>
      <c r="L217" s="114"/>
      <c r="M217" s="114"/>
      <c r="N217" s="114"/>
      <c r="O217" s="114"/>
      <c r="Q217" s="488"/>
    </row>
    <row r="218" spans="2:17">
      <c r="B218" s="95" t="str">
        <f t="shared" si="30"/>
        <v>100G DR</v>
      </c>
      <c r="C218" s="96" t="str">
        <f t="shared" si="30"/>
        <v>500m</v>
      </c>
      <c r="D218" s="97" t="str">
        <f t="shared" si="30"/>
        <v>QSFP28</v>
      </c>
      <c r="E218" s="114">
        <f t="shared" ref="E218:F218" si="50">IF(E48=0,,E48*E133/10^6)</f>
        <v>0</v>
      </c>
      <c r="F218" s="114">
        <f t="shared" si="50"/>
        <v>0</v>
      </c>
      <c r="G218" s="114"/>
      <c r="H218" s="114"/>
      <c r="I218" s="114"/>
      <c r="J218" s="114"/>
      <c r="K218" s="114"/>
      <c r="L218" s="114"/>
      <c r="M218" s="114"/>
      <c r="N218" s="114"/>
      <c r="O218" s="114"/>
      <c r="Q218" s="488"/>
    </row>
    <row r="219" spans="2:17">
      <c r="B219" s="95" t="str">
        <f t="shared" ref="B219:D232" si="51">B49</f>
        <v>100G CWDM4-subspec</v>
      </c>
      <c r="C219" s="96" t="str">
        <f t="shared" si="51"/>
        <v>500 m</v>
      </c>
      <c r="D219" s="97" t="str">
        <f t="shared" si="51"/>
        <v>QSFP28</v>
      </c>
      <c r="E219" s="114">
        <f t="shared" ref="E219:F219" si="52">IF(E49=0,,E49*E134/10^6)</f>
        <v>0</v>
      </c>
      <c r="F219" s="114">
        <f t="shared" si="52"/>
        <v>0</v>
      </c>
      <c r="G219" s="114"/>
      <c r="H219" s="114"/>
      <c r="I219" s="114"/>
      <c r="J219" s="114"/>
      <c r="K219" s="114"/>
      <c r="L219" s="114"/>
      <c r="M219" s="114"/>
      <c r="N219" s="114"/>
      <c r="O219" s="114"/>
      <c r="Q219" s="488"/>
    </row>
    <row r="220" spans="2:17">
      <c r="B220" s="95" t="str">
        <f t="shared" si="51"/>
        <v>100G CWDM4</v>
      </c>
      <c r="C220" s="96" t="str">
        <f t="shared" si="51"/>
        <v>2 km</v>
      </c>
      <c r="D220" s="97" t="str">
        <f t="shared" si="51"/>
        <v>QSFP28</v>
      </c>
      <c r="E220" s="114">
        <f t="shared" ref="E220:F220" si="53">IF(E50=0,,E50*E135/10^6)</f>
        <v>0</v>
      </c>
      <c r="F220" s="114">
        <f t="shared" si="53"/>
        <v>0</v>
      </c>
      <c r="G220" s="114"/>
      <c r="H220" s="114"/>
      <c r="I220" s="114"/>
      <c r="J220" s="114"/>
      <c r="K220" s="114"/>
      <c r="L220" s="114"/>
      <c r="M220" s="114"/>
      <c r="N220" s="114"/>
      <c r="O220" s="114"/>
      <c r="Q220" s="488"/>
    </row>
    <row r="221" spans="2:17">
      <c r="B221" s="95" t="str">
        <f t="shared" si="51"/>
        <v>100G FR, DR+</v>
      </c>
      <c r="C221" s="96" t="str">
        <f t="shared" si="51"/>
        <v>2 km</v>
      </c>
      <c r="D221" s="97" t="str">
        <f t="shared" si="51"/>
        <v>QSFP28</v>
      </c>
      <c r="E221" s="114">
        <f t="shared" ref="E221:F221" si="54">IF(E51=0,,E51*E136/10^6)</f>
        <v>0</v>
      </c>
      <c r="F221" s="114">
        <f t="shared" si="54"/>
        <v>0</v>
      </c>
      <c r="G221" s="114"/>
      <c r="H221" s="114"/>
      <c r="I221" s="114"/>
      <c r="J221" s="114"/>
      <c r="K221" s="114"/>
      <c r="L221" s="114"/>
      <c r="M221" s="114"/>
      <c r="N221" s="114"/>
      <c r="O221" s="114"/>
    </row>
    <row r="222" spans="2:17">
      <c r="B222" s="95" t="str">
        <f t="shared" si="51"/>
        <v>100G LR4</v>
      </c>
      <c r="C222" s="96" t="str">
        <f t="shared" si="51"/>
        <v>10 km</v>
      </c>
      <c r="D222" s="97" t="str">
        <f t="shared" si="51"/>
        <v>CFP</v>
      </c>
      <c r="E222" s="114">
        <f t="shared" ref="E222:F222" si="55">IF(E52=0,,E52*E137/10^6)</f>
        <v>387.84002208207454</v>
      </c>
      <c r="F222" s="114">
        <f t="shared" si="55"/>
        <v>186.42675405916248</v>
      </c>
      <c r="G222" s="114"/>
      <c r="H222" s="114"/>
      <c r="I222" s="114"/>
      <c r="J222" s="114"/>
      <c r="K222" s="114"/>
      <c r="L222" s="114"/>
      <c r="M222" s="114"/>
      <c r="N222" s="114"/>
      <c r="O222" s="114"/>
    </row>
    <row r="223" spans="2:17">
      <c r="B223" s="95" t="str">
        <f t="shared" si="51"/>
        <v>100G LR4</v>
      </c>
      <c r="C223" s="96" t="str">
        <f t="shared" si="51"/>
        <v>10 km</v>
      </c>
      <c r="D223" s="97" t="str">
        <f t="shared" si="51"/>
        <v>CFP2/4</v>
      </c>
      <c r="E223" s="114">
        <f t="shared" ref="E223:F223" si="56">IF(E53=0,,E53*E138/10^6)</f>
        <v>265.89292589706986</v>
      </c>
      <c r="F223" s="114">
        <f t="shared" si="56"/>
        <v>167.37814313065076</v>
      </c>
      <c r="G223" s="114"/>
      <c r="H223" s="114"/>
      <c r="I223" s="114"/>
      <c r="J223" s="114"/>
      <c r="K223" s="114"/>
      <c r="L223" s="114"/>
      <c r="M223" s="114"/>
      <c r="N223" s="114"/>
      <c r="O223" s="114"/>
    </row>
    <row r="224" spans="2:17">
      <c r="B224" s="95" t="str">
        <f t="shared" si="51"/>
        <v>100G LR4 and LR1</v>
      </c>
      <c r="C224" s="96" t="str">
        <f t="shared" si="51"/>
        <v>10 km</v>
      </c>
      <c r="D224" s="97" t="str">
        <f t="shared" si="51"/>
        <v>QSFP28</v>
      </c>
      <c r="E224" s="114">
        <f t="shared" ref="E224:F224" si="57">IF(E54=0,,E54*E139/10^6)</f>
        <v>35.058421943272599</v>
      </c>
      <c r="F224" s="114">
        <f t="shared" si="57"/>
        <v>130.44672</v>
      </c>
      <c r="G224" s="114"/>
      <c r="H224" s="114"/>
      <c r="I224" s="114"/>
      <c r="J224" s="114"/>
      <c r="K224" s="114"/>
      <c r="L224" s="114"/>
      <c r="M224" s="114"/>
      <c r="N224" s="114"/>
      <c r="O224" s="114"/>
    </row>
    <row r="225" spans="2:15">
      <c r="B225" s="95" t="str">
        <f t="shared" si="51"/>
        <v>100G 4WDM10</v>
      </c>
      <c r="C225" s="96" t="str">
        <f t="shared" si="51"/>
        <v>10 km</v>
      </c>
      <c r="D225" s="97" t="str">
        <f t="shared" si="51"/>
        <v>QSFP28</v>
      </c>
      <c r="E225" s="114">
        <f t="shared" ref="E225:F225" si="58">IF(E55=0,,E55*E140/10^6)</f>
        <v>0</v>
      </c>
      <c r="F225" s="114">
        <f t="shared" si="58"/>
        <v>0</v>
      </c>
      <c r="G225" s="114"/>
      <c r="H225" s="114"/>
      <c r="I225" s="114"/>
      <c r="J225" s="114"/>
      <c r="K225" s="114"/>
      <c r="L225" s="114"/>
      <c r="M225" s="114"/>
      <c r="N225" s="114"/>
      <c r="O225" s="114"/>
    </row>
    <row r="226" spans="2:15" ht="12.75" customHeight="1">
      <c r="B226" s="95" t="str">
        <f t="shared" si="51"/>
        <v>100G 4WDM20</v>
      </c>
      <c r="C226" s="96" t="str">
        <f t="shared" si="51"/>
        <v>20 km</v>
      </c>
      <c r="D226" s="97" t="str">
        <f t="shared" si="51"/>
        <v>QSFP28</v>
      </c>
      <c r="E226" s="114">
        <f t="shared" ref="E226:F226" si="59">IF(E56=0,,E56*E141/10^6)</f>
        <v>0</v>
      </c>
      <c r="F226" s="114">
        <f t="shared" si="59"/>
        <v>0</v>
      </c>
      <c r="G226" s="114"/>
      <c r="H226" s="114"/>
      <c r="I226" s="114"/>
      <c r="J226" s="114"/>
      <c r="K226" s="114"/>
      <c r="L226" s="114"/>
      <c r="M226" s="114"/>
      <c r="N226" s="114"/>
      <c r="O226" s="114"/>
    </row>
    <row r="227" spans="2:15" ht="12.75" customHeight="1">
      <c r="B227" s="95" t="str">
        <f t="shared" si="51"/>
        <v>100G ER4-Lite</v>
      </c>
      <c r="C227" s="96" t="str">
        <f t="shared" si="51"/>
        <v>30 km</v>
      </c>
      <c r="D227" s="97" t="str">
        <f t="shared" si="51"/>
        <v>QSFP28</v>
      </c>
      <c r="E227" s="114">
        <f t="shared" ref="E227:F227" si="60">IF(E57=0,,E57*E142/10^6)</f>
        <v>0</v>
      </c>
      <c r="F227" s="114">
        <f t="shared" si="60"/>
        <v>5.5795878312070659</v>
      </c>
      <c r="G227" s="114"/>
      <c r="H227" s="114"/>
      <c r="I227" s="114"/>
      <c r="J227" s="114"/>
      <c r="K227" s="114"/>
      <c r="L227" s="114"/>
      <c r="M227" s="114"/>
      <c r="N227" s="114"/>
      <c r="O227" s="114"/>
    </row>
    <row r="228" spans="2:15" ht="12.75" customHeight="1">
      <c r="B228" s="95" t="str">
        <f t="shared" si="51"/>
        <v>100G ER4</v>
      </c>
      <c r="C228" s="96" t="str">
        <f t="shared" si="51"/>
        <v>40 km</v>
      </c>
      <c r="D228" s="97" t="str">
        <f t="shared" si="51"/>
        <v>QSFP28</v>
      </c>
      <c r="E228" s="114">
        <f t="shared" ref="E228:F228" si="61">IF(E58=0,,E58*E143/10^6)</f>
        <v>53.637631627312636</v>
      </c>
      <c r="F228" s="114">
        <f t="shared" si="61"/>
        <v>44.175693291689278</v>
      </c>
      <c r="G228" s="114"/>
      <c r="H228" s="114"/>
      <c r="I228" s="114"/>
      <c r="J228" s="114"/>
      <c r="K228" s="114"/>
      <c r="L228" s="114"/>
      <c r="M228" s="114"/>
      <c r="N228" s="114"/>
      <c r="O228" s="114"/>
    </row>
    <row r="229" spans="2:15">
      <c r="B229" s="91" t="str">
        <f t="shared" si="51"/>
        <v>100G ZR4</v>
      </c>
      <c r="C229" s="92" t="str">
        <f t="shared" si="51"/>
        <v>80 km</v>
      </c>
      <c r="D229" s="93" t="str">
        <f t="shared" si="51"/>
        <v>QSFP28</v>
      </c>
      <c r="E229" s="113">
        <f t="shared" ref="E229:F229" si="62">IF(E59=0,,E59*E144/10^6)</f>
        <v>0</v>
      </c>
      <c r="F229" s="113">
        <f t="shared" si="62"/>
        <v>0</v>
      </c>
      <c r="G229" s="113"/>
      <c r="H229" s="113"/>
      <c r="I229" s="113"/>
      <c r="J229" s="113"/>
      <c r="K229" s="113"/>
      <c r="L229" s="113"/>
      <c r="M229" s="113"/>
      <c r="N229" s="113"/>
      <c r="O229" s="113"/>
    </row>
    <row r="230" spans="2:15">
      <c r="B230" s="87" t="str">
        <f t="shared" si="51"/>
        <v>200G SR4</v>
      </c>
      <c r="C230" s="88" t="str">
        <f t="shared" si="51"/>
        <v>100 m</v>
      </c>
      <c r="D230" s="89" t="str">
        <f t="shared" si="51"/>
        <v>QSFP56</v>
      </c>
      <c r="E230" s="112">
        <f t="shared" ref="E230:F230" si="63">IF(E60=0,,E60*E145/10^6)</f>
        <v>0</v>
      </c>
      <c r="F230" s="112">
        <f t="shared" si="63"/>
        <v>0</v>
      </c>
      <c r="G230" s="112"/>
      <c r="H230" s="112"/>
      <c r="I230" s="112"/>
      <c r="J230" s="112"/>
      <c r="K230" s="112"/>
      <c r="L230" s="112"/>
      <c r="M230" s="112"/>
      <c r="N230" s="112"/>
      <c r="O230" s="112"/>
    </row>
    <row r="231" spans="2:15">
      <c r="B231" s="95" t="str">
        <f t="shared" si="51"/>
        <v>200G DR</v>
      </c>
      <c r="C231" s="96" t="str">
        <f t="shared" si="51"/>
        <v>500 m</v>
      </c>
      <c r="D231" s="97" t="str">
        <f t="shared" si="51"/>
        <v>TBD</v>
      </c>
      <c r="E231" s="114">
        <f t="shared" ref="E231:F232" si="64">IF(E61=0,,E61*E146/10^6)</f>
        <v>0</v>
      </c>
      <c r="F231" s="114">
        <f t="shared" si="64"/>
        <v>0</v>
      </c>
      <c r="G231" s="114"/>
      <c r="H231" s="114"/>
      <c r="I231" s="114"/>
      <c r="J231" s="114"/>
      <c r="K231" s="114"/>
      <c r="L231" s="114"/>
      <c r="M231" s="114"/>
      <c r="N231" s="114"/>
      <c r="O231" s="114"/>
    </row>
    <row r="232" spans="2:15">
      <c r="B232" s="95" t="str">
        <f t="shared" si="51"/>
        <v>200G FR4</v>
      </c>
      <c r="C232" s="96" t="str">
        <f t="shared" si="51"/>
        <v>3 km</v>
      </c>
      <c r="D232" s="97" t="str">
        <f t="shared" si="51"/>
        <v>QSFP56</v>
      </c>
      <c r="E232" s="114">
        <f t="shared" si="64"/>
        <v>0</v>
      </c>
      <c r="F232" s="114">
        <f t="shared" si="64"/>
        <v>0</v>
      </c>
      <c r="G232" s="114"/>
      <c r="H232" s="114"/>
      <c r="I232" s="114"/>
      <c r="J232" s="114"/>
      <c r="K232" s="114"/>
      <c r="L232" s="114"/>
      <c r="M232" s="114"/>
      <c r="N232" s="114"/>
      <c r="O232" s="114"/>
    </row>
    <row r="233" spans="2:15">
      <c r="B233" s="95" t="str">
        <f t="shared" ref="B233:D233" si="65">B63</f>
        <v>200G LR</v>
      </c>
      <c r="C233" s="96" t="str">
        <f t="shared" si="65"/>
        <v>10 km</v>
      </c>
      <c r="D233" s="97" t="str">
        <f t="shared" si="65"/>
        <v>TBD</v>
      </c>
      <c r="E233" s="114">
        <f t="shared" ref="E233:F233" si="66">IF(E63=0,,E63*E148/10^6)</f>
        <v>0</v>
      </c>
      <c r="F233" s="114">
        <f t="shared" si="66"/>
        <v>0</v>
      </c>
      <c r="G233" s="114"/>
      <c r="H233" s="114"/>
      <c r="I233" s="114"/>
      <c r="J233" s="114"/>
      <c r="K233" s="114"/>
      <c r="L233" s="114"/>
      <c r="M233" s="114"/>
      <c r="N233" s="114"/>
      <c r="O233" s="114"/>
    </row>
    <row r="234" spans="2:15">
      <c r="B234" s="95" t="str">
        <f t="shared" ref="B234:D234" si="67">B64</f>
        <v>200G ER4</v>
      </c>
      <c r="C234" s="96" t="str">
        <f t="shared" si="67"/>
        <v>40 km</v>
      </c>
      <c r="D234" s="97" t="str">
        <f t="shared" si="67"/>
        <v>TBD</v>
      </c>
      <c r="E234" s="114">
        <f t="shared" ref="E234:F234" si="68">IF(E64=0,,E64*E149/10^6)</f>
        <v>0</v>
      </c>
      <c r="F234" s="114">
        <f t="shared" si="68"/>
        <v>0</v>
      </c>
      <c r="G234" s="114"/>
      <c r="H234" s="114"/>
      <c r="I234" s="114"/>
      <c r="J234" s="114"/>
      <c r="K234" s="114"/>
      <c r="L234" s="114"/>
      <c r="M234" s="114"/>
      <c r="N234" s="114"/>
      <c r="O234" s="114"/>
    </row>
    <row r="235" spans="2:15">
      <c r="B235" s="87" t="str">
        <f t="shared" ref="B235:D244" si="69">B65</f>
        <v>2x200 (400G-SR8)</v>
      </c>
      <c r="C235" s="88" t="str">
        <f t="shared" si="69"/>
        <v>100 m</v>
      </c>
      <c r="D235" s="89" t="str">
        <f t="shared" si="69"/>
        <v>OSFP, QSFP-DD</v>
      </c>
      <c r="E235" s="112">
        <f t="shared" ref="E235:F235" si="70">IF(E65=0,,E65*E150/10^6)</f>
        <v>0</v>
      </c>
      <c r="F235" s="112">
        <f t="shared" si="70"/>
        <v>0</v>
      </c>
      <c r="G235" s="112"/>
      <c r="H235" s="112"/>
      <c r="I235" s="112"/>
      <c r="J235" s="112"/>
      <c r="K235" s="112"/>
      <c r="L235" s="112"/>
      <c r="M235" s="112"/>
      <c r="N235" s="112"/>
      <c r="O235" s="112"/>
    </row>
    <row r="236" spans="2:15">
      <c r="B236" s="95" t="str">
        <f t="shared" si="69"/>
        <v>400G SR4</v>
      </c>
      <c r="C236" s="96" t="str">
        <f t="shared" si="69"/>
        <v>100 m</v>
      </c>
      <c r="D236" s="97" t="str">
        <f t="shared" si="69"/>
        <v>OSFP112, QSFP112</v>
      </c>
      <c r="E236" s="114">
        <f t="shared" ref="E236:F236" si="71">IF(E66=0,,E66*E151/10^6)</f>
        <v>0</v>
      </c>
      <c r="F236" s="114">
        <f t="shared" si="71"/>
        <v>0</v>
      </c>
      <c r="G236" s="114"/>
      <c r="H236" s="114"/>
      <c r="I236" s="114"/>
      <c r="J236" s="114"/>
      <c r="K236" s="114"/>
      <c r="L236" s="114"/>
      <c r="M236" s="114"/>
      <c r="N236" s="114"/>
      <c r="O236" s="114"/>
    </row>
    <row r="237" spans="2:15">
      <c r="B237" s="95" t="str">
        <f t="shared" si="69"/>
        <v>400G DR4</v>
      </c>
      <c r="C237" s="96" t="str">
        <f t="shared" si="69"/>
        <v>500 m</v>
      </c>
      <c r="D237" s="97" t="str">
        <f t="shared" si="69"/>
        <v>OSFP, QSFP-DD, QSFP112</v>
      </c>
      <c r="E237" s="114">
        <f t="shared" ref="E237:F237" si="72">IF(E67=0,,E67*E152/10^6)</f>
        <v>0</v>
      </c>
      <c r="F237" s="114">
        <f t="shared" si="72"/>
        <v>0</v>
      </c>
      <c r="G237" s="114"/>
      <c r="H237" s="114"/>
      <c r="I237" s="114"/>
      <c r="J237" s="114"/>
      <c r="K237" s="114"/>
      <c r="L237" s="114"/>
      <c r="M237" s="114"/>
      <c r="N237" s="114"/>
      <c r="O237" s="114"/>
    </row>
    <row r="238" spans="2:15">
      <c r="B238" s="95" t="str">
        <f t="shared" si="69"/>
        <v>2x(200G FR4)</v>
      </c>
      <c r="C238" s="96" t="str">
        <f t="shared" si="69"/>
        <v>2 km</v>
      </c>
      <c r="D238" s="97" t="str">
        <f t="shared" si="69"/>
        <v>OSFP</v>
      </c>
      <c r="E238" s="114">
        <f t="shared" ref="E238:F238" si="73">IF(E68=0,,E68*E153/10^6)</f>
        <v>0</v>
      </c>
      <c r="F238" s="114">
        <f t="shared" si="73"/>
        <v>0</v>
      </c>
      <c r="G238" s="114"/>
      <c r="H238" s="114"/>
      <c r="I238" s="114"/>
      <c r="J238" s="114"/>
      <c r="K238" s="114"/>
      <c r="L238" s="114"/>
      <c r="M238" s="114"/>
      <c r="N238" s="114"/>
      <c r="O238" s="114"/>
    </row>
    <row r="239" spans="2:15">
      <c r="B239" s="95" t="str">
        <f t="shared" si="69"/>
        <v>400G FR4</v>
      </c>
      <c r="C239" s="96" t="str">
        <f t="shared" si="69"/>
        <v>2 km</v>
      </c>
      <c r="D239" s="97" t="str">
        <f t="shared" si="69"/>
        <v>OSFP, QSFP-DD, QSFP112</v>
      </c>
      <c r="E239" s="114">
        <f t="shared" ref="E239:F239" si="74">IF(E69=0,,E69*E154/10^6)</f>
        <v>0</v>
      </c>
      <c r="F239" s="114">
        <f t="shared" si="74"/>
        <v>0</v>
      </c>
      <c r="G239" s="114"/>
      <c r="H239" s="114"/>
      <c r="I239" s="114"/>
      <c r="J239" s="114"/>
      <c r="K239" s="114"/>
      <c r="L239" s="114"/>
      <c r="M239" s="114"/>
      <c r="N239" s="114"/>
      <c r="O239" s="114"/>
    </row>
    <row r="240" spans="2:15">
      <c r="B240" s="91" t="str">
        <f t="shared" si="69"/>
        <v>400G LR8, LR4</v>
      </c>
      <c r="C240" s="92" t="str">
        <f t="shared" si="69"/>
        <v>10 km</v>
      </c>
      <c r="D240" s="93" t="str">
        <f t="shared" si="69"/>
        <v>OSFP, QSFP-DD, QSFP112</v>
      </c>
      <c r="E240" s="113">
        <f t="shared" ref="E240:F241" si="75">IF(E70=0,,E70*E155/10^6)</f>
        <v>0</v>
      </c>
      <c r="F240" s="113">
        <f t="shared" si="75"/>
        <v>1.2669999999999999</v>
      </c>
      <c r="G240" s="113"/>
      <c r="H240" s="113"/>
      <c r="I240" s="113"/>
      <c r="J240" s="113"/>
      <c r="K240" s="113"/>
      <c r="L240" s="113"/>
      <c r="M240" s="113"/>
      <c r="N240" s="113"/>
      <c r="O240" s="113"/>
    </row>
    <row r="241" spans="2:15">
      <c r="B241" s="91" t="str">
        <f t="shared" si="69"/>
        <v>400G ER4</v>
      </c>
      <c r="C241" s="92" t="str">
        <f t="shared" si="69"/>
        <v>40 km</v>
      </c>
      <c r="D241" s="93" t="str">
        <f t="shared" si="69"/>
        <v>TBD</v>
      </c>
      <c r="E241" s="113">
        <f t="shared" si="75"/>
        <v>0</v>
      </c>
      <c r="F241" s="113">
        <f t="shared" si="75"/>
        <v>0</v>
      </c>
      <c r="G241" s="113"/>
      <c r="H241" s="113"/>
      <c r="I241" s="113"/>
      <c r="J241" s="113"/>
      <c r="K241" s="113"/>
      <c r="L241" s="113"/>
      <c r="M241" s="113"/>
      <c r="N241" s="113"/>
      <c r="O241" s="113"/>
    </row>
    <row r="242" spans="2:15" s="100" customFormat="1">
      <c r="B242" s="95" t="str">
        <f t="shared" si="69"/>
        <v>800G SR8</v>
      </c>
      <c r="C242" s="96" t="str">
        <f t="shared" si="69"/>
        <v>50 m</v>
      </c>
      <c r="D242" s="97" t="str">
        <f t="shared" si="69"/>
        <v>OSFP, QSFP-DD800</v>
      </c>
      <c r="E242" s="114">
        <f t="shared" ref="E242:F242" si="76">IF(E72=0,,E72*E157/10^6)</f>
        <v>0</v>
      </c>
      <c r="F242" s="114">
        <f t="shared" si="76"/>
        <v>0</v>
      </c>
      <c r="G242" s="114"/>
      <c r="H242" s="114"/>
      <c r="I242" s="114"/>
      <c r="J242" s="114"/>
      <c r="K242" s="114"/>
      <c r="L242" s="114"/>
      <c r="M242" s="114"/>
      <c r="N242" s="114"/>
      <c r="O242" s="114"/>
    </row>
    <row r="243" spans="2:15" s="100" customFormat="1">
      <c r="B243" s="95" t="str">
        <f t="shared" si="69"/>
        <v>800G DR8, DR4</v>
      </c>
      <c r="C243" s="96" t="str">
        <f t="shared" si="69"/>
        <v>500 m</v>
      </c>
      <c r="D243" s="97" t="str">
        <f t="shared" si="69"/>
        <v>OSFP, QSFP-DD800</v>
      </c>
      <c r="E243" s="114">
        <f t="shared" ref="E243:F243" si="77">IF(E73=0,,E73*E158/10^6)</f>
        <v>0</v>
      </c>
      <c r="F243" s="114">
        <f t="shared" si="77"/>
        <v>0</v>
      </c>
      <c r="G243" s="114"/>
      <c r="H243" s="114"/>
      <c r="I243" s="114"/>
      <c r="J243" s="114"/>
      <c r="K243" s="114"/>
      <c r="L243" s="114"/>
      <c r="M243" s="114"/>
      <c r="N243" s="114"/>
      <c r="O243" s="114"/>
    </row>
    <row r="244" spans="2:15" s="100" customFormat="1">
      <c r="B244" s="95" t="str">
        <f t="shared" si="69"/>
        <v>2x(400G FR4), 800G FR4</v>
      </c>
      <c r="C244" s="96" t="str">
        <f t="shared" si="69"/>
        <v>2 km</v>
      </c>
      <c r="D244" s="97" t="str">
        <f t="shared" si="69"/>
        <v>OSFP, QSFP-DD800</v>
      </c>
      <c r="E244" s="114">
        <f t="shared" ref="E244:F244" si="78">IF(E74=0,,E74*E159/10^6)</f>
        <v>0</v>
      </c>
      <c r="F244" s="114">
        <f t="shared" si="78"/>
        <v>0</v>
      </c>
      <c r="G244" s="114"/>
      <c r="H244" s="114"/>
      <c r="I244" s="114"/>
      <c r="J244" s="114"/>
      <c r="K244" s="114"/>
      <c r="L244" s="114"/>
      <c r="M244" s="114"/>
      <c r="N244" s="114"/>
      <c r="O244" s="114"/>
    </row>
    <row r="245" spans="2:15" s="100" customFormat="1">
      <c r="B245" s="95" t="str">
        <f t="shared" ref="B245:D257" si="79">B75</f>
        <v>800G LR8, LR4</v>
      </c>
      <c r="C245" s="96" t="str">
        <f t="shared" si="79"/>
        <v>6, 10 km</v>
      </c>
      <c r="D245" s="97" t="str">
        <f t="shared" si="79"/>
        <v>TBD</v>
      </c>
      <c r="E245" s="114">
        <f t="shared" ref="E245:F245" si="80">IF(E75=0,,E75*E160/10^6)</f>
        <v>0</v>
      </c>
      <c r="F245" s="114">
        <f t="shared" si="80"/>
        <v>0</v>
      </c>
      <c r="G245" s="114"/>
      <c r="H245" s="114"/>
      <c r="I245" s="114"/>
      <c r="J245" s="114"/>
      <c r="K245" s="114"/>
      <c r="L245" s="114"/>
      <c r="M245" s="114"/>
      <c r="N245" s="114"/>
      <c r="O245" s="114"/>
    </row>
    <row r="246" spans="2:15" s="100" customFormat="1">
      <c r="B246" s="95" t="str">
        <f t="shared" si="79"/>
        <v>800G ZRlite</v>
      </c>
      <c r="C246" s="96" t="str">
        <f t="shared" si="79"/>
        <v>10 km, 20 km</v>
      </c>
      <c r="D246" s="97" t="str">
        <f t="shared" si="79"/>
        <v>TBD</v>
      </c>
      <c r="E246" s="114">
        <f t="shared" ref="E246:F246" si="81">IF(E76=0,,E76*E161/10^6)</f>
        <v>0</v>
      </c>
      <c r="F246" s="114">
        <f t="shared" si="81"/>
        <v>0</v>
      </c>
      <c r="G246" s="114"/>
      <c r="H246" s="114"/>
      <c r="I246" s="114"/>
      <c r="J246" s="114"/>
      <c r="K246" s="114"/>
      <c r="L246" s="114"/>
      <c r="M246" s="114"/>
      <c r="N246" s="114"/>
      <c r="O246" s="114"/>
    </row>
    <row r="247" spans="2:15" s="100" customFormat="1">
      <c r="B247" s="91" t="str">
        <f t="shared" si="79"/>
        <v>800G ER4</v>
      </c>
      <c r="C247" s="92" t="str">
        <f t="shared" si="79"/>
        <v>40 km</v>
      </c>
      <c r="D247" s="93" t="str">
        <f t="shared" si="79"/>
        <v>TBD</v>
      </c>
      <c r="E247" s="113">
        <f t="shared" ref="E247:F247" si="82">IF(E77=0,,E77*E162/10^6)</f>
        <v>0</v>
      </c>
      <c r="F247" s="113">
        <f t="shared" si="82"/>
        <v>0</v>
      </c>
      <c r="G247" s="113"/>
      <c r="H247" s="113"/>
      <c r="I247" s="113"/>
      <c r="J247" s="113"/>
      <c r="K247" s="113"/>
      <c r="L247" s="113"/>
      <c r="M247" s="113"/>
      <c r="N247" s="113"/>
      <c r="O247" s="113"/>
    </row>
    <row r="248" spans="2:15" s="100" customFormat="1">
      <c r="B248" s="95" t="str">
        <f t="shared" si="79"/>
        <v>1.6T SR16</v>
      </c>
      <c r="C248" s="96" t="str">
        <f t="shared" si="79"/>
        <v>100 m</v>
      </c>
      <c r="D248" s="97" t="str">
        <f t="shared" si="79"/>
        <v>OSFP-XD and TBD</v>
      </c>
      <c r="E248" s="114">
        <f t="shared" ref="E248:F248" si="83">IF(E78=0,,E78*E163/10^6)</f>
        <v>0</v>
      </c>
      <c r="F248" s="114">
        <f t="shared" si="83"/>
        <v>0</v>
      </c>
      <c r="G248" s="114"/>
      <c r="H248" s="114"/>
      <c r="I248" s="114"/>
      <c r="J248" s="114"/>
      <c r="K248" s="114"/>
      <c r="L248" s="114"/>
      <c r="M248" s="114"/>
      <c r="N248" s="114"/>
      <c r="O248" s="114"/>
    </row>
    <row r="249" spans="2:15" s="100" customFormat="1">
      <c r="B249" s="95" t="str">
        <f t="shared" si="79"/>
        <v>1.6T DR8</v>
      </c>
      <c r="C249" s="96" t="str">
        <f t="shared" si="79"/>
        <v>500 m</v>
      </c>
      <c r="D249" s="97" t="str">
        <f t="shared" si="79"/>
        <v>OSFP-XD and TBD</v>
      </c>
      <c r="E249" s="114">
        <f t="shared" ref="E249:F249" si="84">IF(E79=0,,E79*E164/10^6)</f>
        <v>0</v>
      </c>
      <c r="F249" s="114">
        <f t="shared" si="84"/>
        <v>0</v>
      </c>
      <c r="G249" s="114"/>
      <c r="H249" s="114"/>
      <c r="I249" s="114"/>
      <c r="J249" s="114"/>
      <c r="K249" s="114"/>
      <c r="L249" s="114"/>
      <c r="M249" s="114"/>
      <c r="N249" s="114"/>
      <c r="O249" s="114"/>
    </row>
    <row r="250" spans="2:15" s="100" customFormat="1">
      <c r="B250" s="95" t="str">
        <f t="shared" si="79"/>
        <v>1.6T FR8</v>
      </c>
      <c r="C250" s="96" t="str">
        <f t="shared" si="79"/>
        <v>2 km</v>
      </c>
      <c r="D250" s="97" t="str">
        <f t="shared" si="79"/>
        <v>OSFP-XD and TBD</v>
      </c>
      <c r="E250" s="114">
        <f t="shared" ref="E250:F250" si="85">IF(E80=0,,E80*E165/10^6)</f>
        <v>0</v>
      </c>
      <c r="F250" s="114">
        <f t="shared" si="85"/>
        <v>0</v>
      </c>
      <c r="G250" s="114"/>
      <c r="H250" s="114"/>
      <c r="I250" s="114"/>
      <c r="J250" s="114"/>
      <c r="K250" s="114"/>
      <c r="L250" s="114"/>
      <c r="M250" s="114"/>
      <c r="N250" s="114"/>
      <c r="O250" s="114"/>
    </row>
    <row r="251" spans="2:15" s="100" customFormat="1">
      <c r="B251" s="95" t="str">
        <f t="shared" si="79"/>
        <v>1.6T LR8</v>
      </c>
      <c r="C251" s="96" t="str">
        <f t="shared" si="79"/>
        <v>10 km</v>
      </c>
      <c r="D251" s="97" t="str">
        <f t="shared" si="79"/>
        <v>OSFP-XD and TBD</v>
      </c>
      <c r="E251" s="114">
        <f t="shared" ref="E251:F251" si="86">IF(E81=0,,E81*E166/10^6)</f>
        <v>0</v>
      </c>
      <c r="F251" s="114">
        <f t="shared" si="86"/>
        <v>0</v>
      </c>
      <c r="G251" s="114"/>
      <c r="H251" s="114"/>
      <c r="I251" s="114"/>
      <c r="J251" s="114"/>
      <c r="K251" s="114"/>
      <c r="L251" s="114"/>
      <c r="M251" s="114"/>
      <c r="N251" s="114"/>
      <c r="O251" s="114"/>
    </row>
    <row r="252" spans="2:15" s="100" customFormat="1">
      <c r="B252" s="91" t="str">
        <f t="shared" si="79"/>
        <v>1.6T ER8</v>
      </c>
      <c r="C252" s="92" t="str">
        <f t="shared" si="79"/>
        <v>&gt;10 km</v>
      </c>
      <c r="D252" s="93" t="str">
        <f t="shared" si="79"/>
        <v>OSFP-XD and TBD</v>
      </c>
      <c r="E252" s="113">
        <f t="shared" ref="E252:F252" si="87">IF(E82=0,,E82*E167/10^6)</f>
        <v>0</v>
      </c>
      <c r="F252" s="113">
        <f t="shared" si="87"/>
        <v>0</v>
      </c>
      <c r="G252" s="113"/>
      <c r="H252" s="113"/>
      <c r="I252" s="113"/>
      <c r="J252" s="113"/>
      <c r="K252" s="113"/>
      <c r="L252" s="113"/>
      <c r="M252" s="113"/>
      <c r="N252" s="113"/>
      <c r="O252" s="113"/>
    </row>
    <row r="253" spans="2:15" s="100" customFormat="1">
      <c r="B253" s="95" t="str">
        <f t="shared" si="79"/>
        <v>3.2T SR</v>
      </c>
      <c r="C253" s="96" t="str">
        <f t="shared" si="79"/>
        <v>100 m</v>
      </c>
      <c r="D253" s="97" t="str">
        <f t="shared" si="79"/>
        <v>OSFP-XD and TBD</v>
      </c>
      <c r="E253" s="114">
        <f t="shared" ref="E253:F253" si="88">IF(E83=0,,E83*E168/10^6)</f>
        <v>0</v>
      </c>
      <c r="F253" s="114">
        <f t="shared" si="88"/>
        <v>0</v>
      </c>
      <c r="G253" s="114"/>
      <c r="H253" s="114"/>
      <c r="I253" s="114"/>
      <c r="J253" s="114"/>
      <c r="K253" s="114"/>
      <c r="L253" s="114"/>
      <c r="M253" s="114"/>
      <c r="N253" s="114"/>
      <c r="O253" s="114"/>
    </row>
    <row r="254" spans="2:15" s="100" customFormat="1">
      <c r="B254" s="95" t="str">
        <f t="shared" si="79"/>
        <v>3.2T DR</v>
      </c>
      <c r="C254" s="96" t="str">
        <f t="shared" si="79"/>
        <v>500 m</v>
      </c>
      <c r="D254" s="97" t="str">
        <f t="shared" si="79"/>
        <v>OSFP-XD and TBD</v>
      </c>
      <c r="E254" s="114">
        <f t="shared" ref="E254:F254" si="89">IF(E84=0,,E84*E169/10^6)</f>
        <v>0</v>
      </c>
      <c r="F254" s="114">
        <f t="shared" si="89"/>
        <v>0</v>
      </c>
      <c r="G254" s="114"/>
      <c r="H254" s="114"/>
      <c r="I254" s="114"/>
      <c r="J254" s="114"/>
      <c r="K254" s="114"/>
      <c r="L254" s="114"/>
      <c r="M254" s="114"/>
      <c r="N254" s="114"/>
      <c r="O254" s="114"/>
    </row>
    <row r="255" spans="2:15" s="100" customFormat="1">
      <c r="B255" s="95" t="str">
        <f t="shared" si="79"/>
        <v>3.2T FR</v>
      </c>
      <c r="C255" s="96" t="str">
        <f t="shared" si="79"/>
        <v>2 km</v>
      </c>
      <c r="D255" s="97" t="str">
        <f t="shared" si="79"/>
        <v>OSFP-XD and TBD</v>
      </c>
      <c r="E255" s="114">
        <f t="shared" ref="E255:F255" si="90">IF(E85=0,,E85*E170/10^6)</f>
        <v>0</v>
      </c>
      <c r="F255" s="114">
        <f t="shared" si="90"/>
        <v>0</v>
      </c>
      <c r="G255" s="114"/>
      <c r="H255" s="114"/>
      <c r="I255" s="114"/>
      <c r="J255" s="114"/>
      <c r="K255" s="114"/>
      <c r="L255" s="114"/>
      <c r="M255" s="114"/>
      <c r="N255" s="114"/>
      <c r="O255" s="114"/>
    </row>
    <row r="256" spans="2:15" s="100" customFormat="1">
      <c r="B256" s="95" t="str">
        <f t="shared" si="79"/>
        <v>3.2T LR</v>
      </c>
      <c r="C256" s="96" t="str">
        <f t="shared" si="79"/>
        <v>10 km</v>
      </c>
      <c r="D256" s="97" t="str">
        <f t="shared" si="79"/>
        <v>OSFP-XD and TBD</v>
      </c>
      <c r="E256" s="114">
        <f t="shared" ref="E256:F256" si="91">IF(E86=0,,E86*E171/10^6)</f>
        <v>0</v>
      </c>
      <c r="F256" s="114">
        <f t="shared" si="91"/>
        <v>0</v>
      </c>
      <c r="G256" s="114"/>
      <c r="H256" s="114"/>
      <c r="I256" s="114"/>
      <c r="J256" s="114"/>
      <c r="K256" s="114"/>
      <c r="L256" s="114"/>
      <c r="M256" s="114"/>
      <c r="N256" s="114"/>
      <c r="O256" s="114"/>
    </row>
    <row r="257" spans="2:15" s="100" customFormat="1">
      <c r="B257" s="95" t="str">
        <f t="shared" si="79"/>
        <v>3.2T ER</v>
      </c>
      <c r="C257" s="96" t="str">
        <f t="shared" si="79"/>
        <v>&gt;10 km</v>
      </c>
      <c r="D257" s="97" t="str">
        <f t="shared" si="79"/>
        <v>OSFP-XD and TBD</v>
      </c>
      <c r="E257" s="114">
        <f t="shared" ref="E257:F257" si="92">IF(E87=0,,E87*E172/10^6)</f>
        <v>0</v>
      </c>
      <c r="F257" s="114">
        <f t="shared" si="92"/>
        <v>0</v>
      </c>
      <c r="G257" s="114"/>
      <c r="H257" s="114"/>
      <c r="I257" s="114"/>
      <c r="J257" s="114"/>
      <c r="K257" s="114"/>
      <c r="L257" s="114"/>
      <c r="M257" s="114"/>
      <c r="N257" s="114"/>
      <c r="O257" s="114"/>
    </row>
    <row r="258" spans="2:15" s="100" customFormat="1">
      <c r="B258" s="95"/>
      <c r="C258" s="96"/>
      <c r="D258" s="97"/>
      <c r="E258" s="114"/>
      <c r="F258" s="114"/>
      <c r="G258" s="114"/>
      <c r="H258" s="114"/>
      <c r="I258" s="114"/>
      <c r="J258" s="114"/>
      <c r="K258" s="114"/>
      <c r="L258" s="114"/>
      <c r="M258" s="114"/>
      <c r="N258" s="114"/>
      <c r="O258" s="114"/>
    </row>
    <row r="259" spans="2:15">
      <c r="B259" s="44" t="s">
        <v>20</v>
      </c>
      <c r="C259" s="45"/>
      <c r="D259" s="46"/>
      <c r="E259" s="625">
        <f t="shared" ref="E259:O259" si="93">SUM(E179:E258)</f>
        <v>970.95883262807854</v>
      </c>
      <c r="F259" s="626">
        <f t="shared" si="93"/>
        <v>686.97300036965203</v>
      </c>
      <c r="G259" s="626">
        <f t="shared" si="93"/>
        <v>0</v>
      </c>
      <c r="H259" s="626">
        <f t="shared" si="93"/>
        <v>0</v>
      </c>
      <c r="I259" s="626">
        <f t="shared" si="93"/>
        <v>0</v>
      </c>
      <c r="J259" s="626">
        <f t="shared" si="93"/>
        <v>0</v>
      </c>
      <c r="K259" s="626">
        <f t="shared" si="93"/>
        <v>0</v>
      </c>
      <c r="L259" s="626">
        <f t="shared" si="93"/>
        <v>0</v>
      </c>
      <c r="M259" s="626">
        <f t="shared" si="93"/>
        <v>0</v>
      </c>
      <c r="N259" s="626">
        <f t="shared" si="93"/>
        <v>0</v>
      </c>
      <c r="O259" s="626">
        <f t="shared" si="93"/>
        <v>0</v>
      </c>
    </row>
    <row r="260" spans="2:15">
      <c r="D260" s="102"/>
      <c r="E260" s="103"/>
      <c r="F260" s="103"/>
      <c r="G260" s="103"/>
      <c r="H260" s="103"/>
      <c r="I260" s="103"/>
      <c r="J260" s="103"/>
      <c r="K260" s="103"/>
      <c r="L260" s="103"/>
      <c r="M260" s="103"/>
      <c r="N260" s="103"/>
      <c r="O260" s="103"/>
    </row>
  </sheetData>
  <conditionalFormatting sqref="E260:M260">
    <cfRule type="cellIs" dxfId="7" priority="11" operator="lessThan">
      <formula>0</formula>
    </cfRule>
    <cfRule type="cellIs" dxfId="6" priority="12" operator="greaterThan">
      <formula>0</formula>
    </cfRule>
  </conditionalFormatting>
  <conditionalFormatting sqref="N260:O260">
    <cfRule type="cellIs" dxfId="5" priority="1" operator="lessThan">
      <formula>0</formula>
    </cfRule>
    <cfRule type="cellIs" dxfId="4" priority="2" operator="greaterThan">
      <formula>0</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Introduction</vt:lpstr>
      <vt:lpstr>Methodology</vt:lpstr>
      <vt:lpstr>Products</vt:lpstr>
      <vt:lpstr>Summary</vt:lpstr>
      <vt:lpstr>Dashboard</vt:lpstr>
      <vt:lpstr>Products x speed</vt:lpstr>
      <vt:lpstr>112 Adoption</vt:lpstr>
      <vt:lpstr>Cost per Gbps</vt:lpstr>
      <vt:lpstr>Telecom</vt:lpstr>
      <vt:lpstr>Enterprise</vt:lpstr>
      <vt:lpstr>Cloud</vt:lpstr>
      <vt:lpstr>Products x segment</vt:lpstr>
      <vt:lpstr>Segment dashbd</vt:lpstr>
      <vt:lpstr>PriceDCE</vt:lpstr>
      <vt:lpstr>PriceDCM</vt:lpstr>
      <vt:lpstr>PriceTEL</vt:lpstr>
      <vt:lpstr>RevDCE</vt:lpstr>
      <vt:lpstr>RevDCM</vt:lpstr>
      <vt:lpstr>Revenue</vt:lpstr>
      <vt:lpstr>RevTEL</vt:lpstr>
      <vt:lpstr>VolDCE</vt:lpstr>
      <vt:lpstr>VolDCM</vt:lpstr>
      <vt:lpstr>VolTEL</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2021-09-30T22:02:44Z</dcterms:modified>
</cp:coreProperties>
</file>